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95CE6751-B0B2-47B6-A480-71CFA4E29A8B}" xr6:coauthVersionLast="45" xr6:coauthVersionMax="45" xr10:uidLastSave="{00000000-0000-0000-0000-000000000000}"/>
  <bookViews>
    <workbookView xWindow="-110" yWindow="-110" windowWidth="19420" windowHeight="10420" tabRatio="905" xr2:uid="{00000000-000D-0000-FFFF-FFFF00000000}"/>
  </bookViews>
  <sheets>
    <sheet name="data 2021" sheetId="15" r:id="rId1"/>
    <sheet name="data 2Q21-4Q21" sheetId="1" r:id="rId2"/>
    <sheet name="data 1Q21 (2)" sheetId="16" r:id="rId3"/>
    <sheet name="data 1Q21" sheetId="14" r:id="rId4"/>
    <sheet name="Transmittal" sheetId="2" r:id="rId5"/>
    <sheet name="INFO_PG1" sheetId="3" r:id="rId6"/>
    <sheet name="INFO_PG2" sheetId="4" r:id="rId7"/>
    <sheet name="SS2_3_5_6" sheetId="5" r:id="rId8"/>
    <sheet name="SS4" sheetId="6" r:id="rId9"/>
    <sheet name="SS8" sheetId="7" r:id="rId10"/>
    <sheet name="FS" sheetId="8" r:id="rId11"/>
    <sheet name="CC's" sheetId="9" r:id="rId12"/>
    <sheet name="PRIOR YEAR" sheetId="13" r:id="rId13"/>
  </sheets>
  <externalReferences>
    <externalReference r:id="rId14"/>
  </externalReferences>
  <definedNames>
    <definedName name="_Fill" localSheetId="3" hidden="1">'data 1Q21'!$DR$921:$DR$966</definedName>
    <definedName name="_Fill" localSheetId="2" hidden="1">'data 1Q21 (2)'!$DR$921:$DR$966</definedName>
    <definedName name="_Fill" localSheetId="0" hidden="1">'data 2021'!$DR$921:$DR$966</definedName>
    <definedName name="_Fill" localSheetId="12" hidden="1">'PRIOR YEAR'!$DR$921:$DR$966</definedName>
    <definedName name="_Fill" hidden="1">'data 2Q21-4Q21'!$DR$921:$DR$966</definedName>
    <definedName name="Costcenter" localSheetId="3">'data 1Q21'!$A$732:$W$813</definedName>
    <definedName name="Costcenter" localSheetId="2">'data 1Q21 (2)'!$A$732:$W$813</definedName>
    <definedName name="Costcenter" localSheetId="0">'data 2021'!$A$732:$W$813</definedName>
    <definedName name="Costcenter" localSheetId="12">'PRIOR YEAR'!$A$732:$W$813</definedName>
    <definedName name="Costcenter">'data 2Q21-4Q21'!$A$732:$W$813</definedName>
    <definedName name="Edit" localSheetId="3">'data 1Q21'!$A$411:$E$478</definedName>
    <definedName name="Edit" localSheetId="2">'data 1Q21 (2)'!$A$411:$E$478</definedName>
    <definedName name="Edit" localSheetId="0">'data 2021'!$A$411:$E$478</definedName>
    <definedName name="Edit" localSheetId="12">'PRIOR YEAR'!$A$411:$E$478</definedName>
    <definedName name="Edit">'data 2Q21-4Q21'!$A$411:$E$478</definedName>
    <definedName name="Funds" localSheetId="3">'data 1Q21'!$A$728:$CF$730</definedName>
    <definedName name="Funds" localSheetId="2">'data 1Q21 (2)'!$A$728:$CF$730</definedName>
    <definedName name="Funds" localSheetId="0">'data 2021'!$A$728:$CF$730</definedName>
    <definedName name="Funds" localSheetId="12">'PRIOR YEAR'!$A$728:$CF$730</definedName>
    <definedName name="Funds">'data 2Q21-4Q21'!$A$728:$CF$730</definedName>
    <definedName name="Hospital" localSheetId="3">'data 1Q21'!$A$724:$BR$726</definedName>
    <definedName name="Hospital" localSheetId="2">'data 1Q21 (2)'!$A$724:$BR$726</definedName>
    <definedName name="Hospital" localSheetId="0">'data 2021'!$A$724:$BR$726</definedName>
    <definedName name="Hospital" localSheetId="12">'PRIOR YEAR'!$A$724:$BR$726</definedName>
    <definedName name="Hospital">'data 2Q21-4Q21'!$A$724:$BR$726</definedName>
    <definedName name="_xlnm.Print_Area" localSheetId="11">'CC''s'!$A$1:$I$384</definedName>
    <definedName name="_xlnm.Print_Area" localSheetId="3">'data 1Q21'!$A$411:$E$478</definedName>
    <definedName name="_xlnm.Print_Area" localSheetId="2">'data 1Q21 (2)'!$A$411:$E$478</definedName>
    <definedName name="_xlnm.Print_Area" localSheetId="0">'data 2021'!$A$411:$E$478</definedName>
    <definedName name="_xlnm.Print_Area" localSheetId="1">'data 2Q21-4Q21'!$A$411:$E$478</definedName>
    <definedName name="_xlnm.Print_Area" localSheetId="10">FS!$A$1:$D$153</definedName>
    <definedName name="_xlnm.Print_Area" localSheetId="5">INFO_PG1!$A$1:$G$40</definedName>
    <definedName name="_xlnm.Print_Area" localSheetId="6">INFO_PG2!$A$1:$G$33</definedName>
    <definedName name="_xlnm.Print_Area" localSheetId="12">'PRIOR YEAR'!$A$411:$E$478</definedName>
    <definedName name="_xlnm.Print_Area" localSheetId="7">SS2_3_5_6!$A$1:$C$40</definedName>
    <definedName name="_xlnm.Print_Area" localSheetId="8">'SS4'!$A$1:$F$32</definedName>
    <definedName name="_xlnm.Print_Area" localSheetId="9">'SS8'!$A$1:$D$34</definedName>
    <definedName name="Support" localSheetId="3">'data 1Q21'!$A$720:$CD$722</definedName>
    <definedName name="Support" localSheetId="2">'data 1Q21 (2)'!$A$720:$CD$722</definedName>
    <definedName name="Support" localSheetId="0">'data 2021'!$A$720:$CD$722</definedName>
    <definedName name="Support" localSheetId="12">'PRIOR YEAR'!$A$720:$CD$722</definedName>
    <definedName name="Support">'data 2Q21-4Q21'!$A$720:$CD$722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0" i="15" l="1"/>
  <c r="D546" i="15"/>
  <c r="D545" i="15"/>
  <c r="D544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0" i="15"/>
  <c r="D519" i="15"/>
  <c r="D518" i="15"/>
  <c r="D517" i="15"/>
  <c r="D516" i="15"/>
  <c r="D515" i="15"/>
  <c r="D514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B575" i="15"/>
  <c r="B574" i="15"/>
  <c r="B573" i="15"/>
  <c r="B572" i="15"/>
  <c r="B571" i="15"/>
  <c r="B570" i="15"/>
  <c r="B569" i="15"/>
  <c r="B568" i="15"/>
  <c r="B567" i="15"/>
  <c r="B566" i="15"/>
  <c r="B565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F493" i="15"/>
  <c r="D493" i="15"/>
  <c r="B493" i="15"/>
  <c r="C74" i="16" l="1"/>
  <c r="C73" i="16"/>
  <c r="CE73" i="16" s="1"/>
  <c r="C379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74" i="15"/>
  <c r="C73" i="15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D75" i="15" l="1"/>
  <c r="L75" i="15"/>
  <c r="T75" i="15"/>
  <c r="AB75" i="15"/>
  <c r="AJ75" i="15"/>
  <c r="AR75" i="15"/>
  <c r="E75" i="15"/>
  <c r="F75" i="15"/>
  <c r="G75" i="15"/>
  <c r="H75" i="15"/>
  <c r="I75" i="15"/>
  <c r="J75" i="15"/>
  <c r="K75" i="15"/>
  <c r="M75" i="15"/>
  <c r="N75" i="15"/>
  <c r="O75" i="15"/>
  <c r="P75" i="15"/>
  <c r="Q75" i="15"/>
  <c r="R75" i="15"/>
  <c r="S75" i="15"/>
  <c r="U75" i="15"/>
  <c r="V75" i="15"/>
  <c r="W75" i="15"/>
  <c r="X75" i="15"/>
  <c r="Y75" i="15"/>
  <c r="Z75" i="15"/>
  <c r="AA75" i="15"/>
  <c r="AC75" i="15"/>
  <c r="AD75" i="15"/>
  <c r="AE75" i="15"/>
  <c r="AF75" i="15"/>
  <c r="AG75" i="15"/>
  <c r="AH75" i="15"/>
  <c r="AI75" i="15"/>
  <c r="AK75" i="15"/>
  <c r="AL75" i="15"/>
  <c r="AM75" i="15"/>
  <c r="AN75" i="15"/>
  <c r="AO75" i="15"/>
  <c r="AP75" i="15"/>
  <c r="AQ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B142" i="15"/>
  <c r="C142" i="15"/>
  <c r="D142" i="15"/>
  <c r="C141" i="15"/>
  <c r="D141" i="15"/>
  <c r="B141" i="15"/>
  <c r="D138" i="16"/>
  <c r="D139" i="16"/>
  <c r="D139" i="15" s="1"/>
  <c r="D140" i="16"/>
  <c r="D140" i="15" s="1"/>
  <c r="D141" i="16"/>
  <c r="D142" i="16"/>
  <c r="C138" i="16"/>
  <c r="C139" i="16"/>
  <c r="C139" i="15" s="1"/>
  <c r="C140" i="16"/>
  <c r="C141" i="16"/>
  <c r="C142" i="16"/>
  <c r="B139" i="16"/>
  <c r="B140" i="16"/>
  <c r="B141" i="16"/>
  <c r="B142" i="16"/>
  <c r="B138" i="16"/>
  <c r="H360" i="16"/>
  <c r="H359" i="16"/>
  <c r="G360" i="16"/>
  <c r="G359" i="16"/>
  <c r="C140" i="15"/>
  <c r="B140" i="15"/>
  <c r="B139" i="15"/>
  <c r="D138" i="15"/>
  <c r="C138" i="15"/>
  <c r="B138" i="15"/>
  <c r="I360" i="15"/>
  <c r="I359" i="15"/>
  <c r="H360" i="15"/>
  <c r="H359" i="15"/>
  <c r="G360" i="15"/>
  <c r="G359" i="15"/>
  <c r="CA61" i="16"/>
  <c r="CH73" i="16"/>
  <c r="CH74" i="16"/>
  <c r="CH75" i="16"/>
  <c r="CH72" i="15"/>
  <c r="CG72" i="15"/>
  <c r="CF72" i="15"/>
  <c r="CF73" i="15"/>
  <c r="CF74" i="15"/>
  <c r="CF75" i="15"/>
  <c r="L139" i="15"/>
  <c r="O139" i="15" s="1"/>
  <c r="M139" i="15"/>
  <c r="N139" i="15"/>
  <c r="L140" i="15"/>
  <c r="O140" i="15" s="1"/>
  <c r="M140" i="15"/>
  <c r="N140" i="15"/>
  <c r="L141" i="15"/>
  <c r="M141" i="15"/>
  <c r="N141" i="15"/>
  <c r="L142" i="15"/>
  <c r="M142" i="15"/>
  <c r="N142" i="15"/>
  <c r="M138" i="15"/>
  <c r="N138" i="15"/>
  <c r="L138" i="15"/>
  <c r="O138" i="15" s="1"/>
  <c r="O142" i="15"/>
  <c r="O141" i="15"/>
  <c r="H139" i="15"/>
  <c r="I139" i="15"/>
  <c r="K139" i="15" s="1"/>
  <c r="J139" i="15"/>
  <c r="H140" i="15"/>
  <c r="I140" i="15"/>
  <c r="J140" i="15"/>
  <c r="H141" i="15"/>
  <c r="K141" i="15" s="1"/>
  <c r="I141" i="15"/>
  <c r="J141" i="15"/>
  <c r="H142" i="15"/>
  <c r="K142" i="15" s="1"/>
  <c r="I142" i="15"/>
  <c r="J142" i="15"/>
  <c r="I138" i="15"/>
  <c r="J138" i="15"/>
  <c r="H138" i="15"/>
  <c r="K138" i="15" s="1"/>
  <c r="K140" i="15"/>
  <c r="G142" i="1"/>
  <c r="G141" i="1"/>
  <c r="F142" i="1"/>
  <c r="F141" i="1"/>
  <c r="C385" i="15" l="1"/>
  <c r="C384" i="15"/>
  <c r="C383" i="15"/>
  <c r="C382" i="15"/>
  <c r="C381" i="15"/>
  <c r="C378" i="15"/>
  <c r="B210" i="15" l="1"/>
  <c r="B211" i="15"/>
  <c r="B212" i="15"/>
  <c r="B213" i="15"/>
  <c r="B214" i="15"/>
  <c r="B215" i="15"/>
  <c r="B216" i="15"/>
  <c r="B209" i="15"/>
  <c r="B196" i="15"/>
  <c r="B197" i="15"/>
  <c r="B198" i="15"/>
  <c r="B199" i="15"/>
  <c r="B200" i="15"/>
  <c r="B201" i="15"/>
  <c r="B202" i="15"/>
  <c r="B203" i="15"/>
  <c r="B195" i="15"/>
  <c r="I384" i="9" l="1"/>
  <c r="D384" i="9"/>
  <c r="C384" i="9"/>
  <c r="I383" i="9"/>
  <c r="D383" i="9"/>
  <c r="C383" i="9"/>
  <c r="D382" i="9"/>
  <c r="C382" i="9"/>
  <c r="I381" i="9"/>
  <c r="D381" i="9"/>
  <c r="C381" i="9"/>
  <c r="I380" i="9"/>
  <c r="D380" i="9"/>
  <c r="C380" i="9"/>
  <c r="C378" i="9"/>
  <c r="D377" i="9"/>
  <c r="C377" i="9"/>
  <c r="D376" i="9"/>
  <c r="C376" i="9"/>
  <c r="I374" i="9"/>
  <c r="I373" i="9"/>
  <c r="E373" i="9"/>
  <c r="D373" i="9"/>
  <c r="C373" i="9"/>
  <c r="I372" i="9"/>
  <c r="E372" i="9"/>
  <c r="D372" i="9"/>
  <c r="C372" i="9"/>
  <c r="I371" i="9"/>
  <c r="E371" i="9"/>
  <c r="D371" i="9"/>
  <c r="C371" i="9"/>
  <c r="I370" i="9"/>
  <c r="D370" i="9"/>
  <c r="C370" i="9"/>
  <c r="I369" i="9"/>
  <c r="D369" i="9"/>
  <c r="C369" i="9"/>
  <c r="I368" i="9"/>
  <c r="D368" i="9"/>
  <c r="C368" i="9"/>
  <c r="I367" i="9"/>
  <c r="D367" i="9"/>
  <c r="C367" i="9"/>
  <c r="I366" i="9"/>
  <c r="D366" i="9"/>
  <c r="C366" i="9"/>
  <c r="I365" i="9"/>
  <c r="D365" i="9"/>
  <c r="C365" i="9"/>
  <c r="I364" i="9"/>
  <c r="D364" i="9"/>
  <c r="C364" i="9"/>
  <c r="I363" i="9"/>
  <c r="D363" i="9"/>
  <c r="C363" i="9"/>
  <c r="I362" i="9"/>
  <c r="D362" i="9"/>
  <c r="C362" i="9"/>
  <c r="H356" i="9"/>
  <c r="A356" i="9"/>
  <c r="I352" i="9"/>
  <c r="H352" i="9"/>
  <c r="G352" i="9"/>
  <c r="F352" i="9"/>
  <c r="E352" i="9"/>
  <c r="D352" i="9"/>
  <c r="C352" i="9"/>
  <c r="I351" i="9"/>
  <c r="H351" i="9"/>
  <c r="G351" i="9"/>
  <c r="F351" i="9"/>
  <c r="E351" i="9"/>
  <c r="D351" i="9"/>
  <c r="C351" i="9"/>
  <c r="I350" i="9"/>
  <c r="H350" i="9"/>
  <c r="G350" i="9"/>
  <c r="F350" i="9"/>
  <c r="E350" i="9"/>
  <c r="D350" i="9"/>
  <c r="C350" i="9"/>
  <c r="I349" i="9"/>
  <c r="H349" i="9"/>
  <c r="G349" i="9"/>
  <c r="F349" i="9"/>
  <c r="E349" i="9"/>
  <c r="D349" i="9"/>
  <c r="C349" i="9"/>
  <c r="I348" i="9"/>
  <c r="H348" i="9"/>
  <c r="G348" i="9"/>
  <c r="F348" i="9"/>
  <c r="E348" i="9"/>
  <c r="D348" i="9"/>
  <c r="C348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344" i="9"/>
  <c r="H344" i="9"/>
  <c r="G344" i="9"/>
  <c r="F344" i="9"/>
  <c r="E344" i="9"/>
  <c r="D344" i="9"/>
  <c r="C344" i="9"/>
  <c r="I341" i="9"/>
  <c r="H341" i="9"/>
  <c r="G341" i="9"/>
  <c r="F341" i="9"/>
  <c r="E341" i="9"/>
  <c r="D341" i="9"/>
  <c r="C341" i="9"/>
  <c r="I340" i="9"/>
  <c r="H340" i="9"/>
  <c r="G340" i="9"/>
  <c r="F340" i="9"/>
  <c r="E340" i="9"/>
  <c r="D340" i="9"/>
  <c r="C340" i="9"/>
  <c r="I339" i="9"/>
  <c r="H339" i="9"/>
  <c r="G339" i="9"/>
  <c r="F339" i="9"/>
  <c r="E339" i="9"/>
  <c r="D339" i="9"/>
  <c r="C339" i="9"/>
  <c r="I338" i="9"/>
  <c r="H338" i="9"/>
  <c r="G338" i="9"/>
  <c r="F338" i="9"/>
  <c r="E338" i="9"/>
  <c r="D338" i="9"/>
  <c r="C338" i="9"/>
  <c r="I337" i="9"/>
  <c r="H337" i="9"/>
  <c r="G337" i="9"/>
  <c r="F337" i="9"/>
  <c r="E337" i="9"/>
  <c r="D337" i="9"/>
  <c r="C337" i="9"/>
  <c r="I336" i="9"/>
  <c r="H336" i="9"/>
  <c r="G336" i="9"/>
  <c r="F336" i="9"/>
  <c r="E336" i="9"/>
  <c r="D336" i="9"/>
  <c r="C336" i="9"/>
  <c r="I335" i="9"/>
  <c r="H335" i="9"/>
  <c r="G335" i="9"/>
  <c r="F335" i="9"/>
  <c r="E335" i="9"/>
  <c r="D335" i="9"/>
  <c r="C335" i="9"/>
  <c r="I334" i="9"/>
  <c r="H334" i="9"/>
  <c r="G334" i="9"/>
  <c r="F334" i="9"/>
  <c r="E334" i="9"/>
  <c r="D334" i="9"/>
  <c r="C334" i="9"/>
  <c r="I333" i="9"/>
  <c r="H333" i="9"/>
  <c r="G333" i="9"/>
  <c r="F333" i="9"/>
  <c r="E333" i="9"/>
  <c r="D333" i="9"/>
  <c r="C333" i="9"/>
  <c r="I332" i="9"/>
  <c r="H332" i="9"/>
  <c r="G332" i="9"/>
  <c r="F332" i="9"/>
  <c r="E332" i="9"/>
  <c r="D332" i="9"/>
  <c r="C332" i="9"/>
  <c r="I331" i="9"/>
  <c r="H331" i="9"/>
  <c r="G331" i="9"/>
  <c r="F331" i="9"/>
  <c r="E331" i="9"/>
  <c r="D331" i="9"/>
  <c r="C331" i="9"/>
  <c r="I330" i="9"/>
  <c r="H330" i="9"/>
  <c r="G330" i="9"/>
  <c r="F330" i="9"/>
  <c r="E330" i="9"/>
  <c r="D330" i="9"/>
  <c r="C330" i="9"/>
  <c r="H324" i="9"/>
  <c r="A324" i="9"/>
  <c r="I320" i="9"/>
  <c r="H320" i="9"/>
  <c r="G320" i="9"/>
  <c r="F320" i="9"/>
  <c r="E320" i="9"/>
  <c r="D320" i="9"/>
  <c r="C320" i="9"/>
  <c r="I319" i="9"/>
  <c r="H319" i="9"/>
  <c r="G319" i="9"/>
  <c r="F319" i="9"/>
  <c r="E319" i="9"/>
  <c r="D319" i="9"/>
  <c r="C319" i="9"/>
  <c r="I318" i="9"/>
  <c r="H318" i="9"/>
  <c r="G318" i="9"/>
  <c r="F318" i="9"/>
  <c r="E318" i="9"/>
  <c r="D318" i="9"/>
  <c r="C318" i="9"/>
  <c r="I317" i="9"/>
  <c r="H317" i="9"/>
  <c r="G317" i="9"/>
  <c r="F317" i="9"/>
  <c r="E317" i="9"/>
  <c r="D317" i="9"/>
  <c r="C317" i="9"/>
  <c r="I316" i="9"/>
  <c r="H316" i="9"/>
  <c r="G316" i="9"/>
  <c r="F316" i="9"/>
  <c r="E316" i="9"/>
  <c r="D316" i="9"/>
  <c r="C316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I312" i="9"/>
  <c r="H312" i="9"/>
  <c r="G312" i="9"/>
  <c r="F312" i="9"/>
  <c r="E312" i="9"/>
  <c r="D312" i="9"/>
  <c r="C312" i="9"/>
  <c r="I309" i="9"/>
  <c r="H309" i="9"/>
  <c r="G309" i="9"/>
  <c r="F309" i="9"/>
  <c r="E309" i="9"/>
  <c r="D309" i="9"/>
  <c r="C309" i="9"/>
  <c r="I308" i="9"/>
  <c r="H308" i="9"/>
  <c r="G308" i="9"/>
  <c r="F308" i="9"/>
  <c r="E308" i="9"/>
  <c r="D308" i="9"/>
  <c r="C308" i="9"/>
  <c r="I307" i="9"/>
  <c r="H307" i="9"/>
  <c r="G307" i="9"/>
  <c r="F307" i="9"/>
  <c r="E307" i="9"/>
  <c r="D307" i="9"/>
  <c r="C307" i="9"/>
  <c r="I306" i="9"/>
  <c r="H306" i="9"/>
  <c r="G306" i="9"/>
  <c r="F306" i="9"/>
  <c r="E306" i="9"/>
  <c r="D306" i="9"/>
  <c r="C306" i="9"/>
  <c r="I305" i="9"/>
  <c r="H305" i="9"/>
  <c r="G305" i="9"/>
  <c r="F305" i="9"/>
  <c r="E305" i="9"/>
  <c r="D305" i="9"/>
  <c r="C305" i="9"/>
  <c r="I304" i="9"/>
  <c r="H304" i="9"/>
  <c r="G304" i="9"/>
  <c r="F304" i="9"/>
  <c r="E304" i="9"/>
  <c r="D304" i="9"/>
  <c r="C304" i="9"/>
  <c r="I303" i="9"/>
  <c r="H303" i="9"/>
  <c r="G303" i="9"/>
  <c r="F303" i="9"/>
  <c r="E303" i="9"/>
  <c r="D303" i="9"/>
  <c r="C303" i="9"/>
  <c r="I302" i="9"/>
  <c r="H302" i="9"/>
  <c r="G302" i="9"/>
  <c r="F302" i="9"/>
  <c r="E302" i="9"/>
  <c r="D302" i="9"/>
  <c r="C302" i="9"/>
  <c r="I301" i="9"/>
  <c r="H301" i="9"/>
  <c r="G301" i="9"/>
  <c r="F301" i="9"/>
  <c r="E301" i="9"/>
  <c r="D301" i="9"/>
  <c r="C301" i="9"/>
  <c r="I300" i="9"/>
  <c r="H300" i="9"/>
  <c r="G300" i="9"/>
  <c r="F300" i="9"/>
  <c r="E300" i="9"/>
  <c r="D300" i="9"/>
  <c r="C300" i="9"/>
  <c r="I299" i="9"/>
  <c r="H299" i="9"/>
  <c r="G299" i="9"/>
  <c r="F299" i="9"/>
  <c r="E299" i="9"/>
  <c r="D299" i="9"/>
  <c r="C299" i="9"/>
  <c r="I298" i="9"/>
  <c r="H298" i="9"/>
  <c r="G298" i="9"/>
  <c r="F298" i="9"/>
  <c r="E298" i="9"/>
  <c r="D298" i="9"/>
  <c r="C298" i="9"/>
  <c r="H292" i="9"/>
  <c r="A292" i="9"/>
  <c r="I288" i="9"/>
  <c r="H288" i="9"/>
  <c r="G288" i="9"/>
  <c r="F288" i="9"/>
  <c r="E288" i="9"/>
  <c r="D288" i="9"/>
  <c r="C288" i="9"/>
  <c r="I287" i="9"/>
  <c r="H287" i="9"/>
  <c r="G287" i="9"/>
  <c r="F287" i="9"/>
  <c r="E287" i="9"/>
  <c r="D287" i="9"/>
  <c r="C287" i="9"/>
  <c r="I286" i="9"/>
  <c r="H286" i="9"/>
  <c r="G286" i="9"/>
  <c r="F286" i="9"/>
  <c r="E286" i="9"/>
  <c r="D286" i="9"/>
  <c r="C286" i="9"/>
  <c r="I285" i="9"/>
  <c r="H285" i="9"/>
  <c r="G285" i="9"/>
  <c r="F285" i="9"/>
  <c r="E285" i="9"/>
  <c r="D285" i="9"/>
  <c r="C285" i="9"/>
  <c r="I284" i="9"/>
  <c r="H284" i="9"/>
  <c r="G284" i="9"/>
  <c r="F284" i="9"/>
  <c r="E284" i="9"/>
  <c r="D284" i="9"/>
  <c r="C284" i="9"/>
  <c r="I282" i="9"/>
  <c r="H282" i="9"/>
  <c r="G282" i="9"/>
  <c r="F282" i="9"/>
  <c r="E282" i="9"/>
  <c r="D282" i="9"/>
  <c r="C282" i="9"/>
  <c r="I281" i="9"/>
  <c r="H281" i="9"/>
  <c r="G281" i="9"/>
  <c r="F281" i="9"/>
  <c r="E281" i="9"/>
  <c r="D281" i="9"/>
  <c r="C281" i="9"/>
  <c r="I280" i="9"/>
  <c r="H280" i="9"/>
  <c r="G280" i="9"/>
  <c r="F280" i="9"/>
  <c r="E280" i="9"/>
  <c r="D280" i="9"/>
  <c r="C280" i="9"/>
  <c r="I277" i="9"/>
  <c r="H277" i="9"/>
  <c r="G277" i="9"/>
  <c r="F277" i="9"/>
  <c r="E277" i="9"/>
  <c r="D277" i="9"/>
  <c r="C277" i="9"/>
  <c r="I276" i="9"/>
  <c r="H276" i="9"/>
  <c r="G276" i="9"/>
  <c r="F276" i="9"/>
  <c r="E276" i="9"/>
  <c r="D276" i="9"/>
  <c r="C276" i="9"/>
  <c r="I275" i="9"/>
  <c r="H275" i="9"/>
  <c r="G275" i="9"/>
  <c r="F275" i="9"/>
  <c r="E275" i="9"/>
  <c r="D275" i="9"/>
  <c r="C275" i="9"/>
  <c r="I274" i="9"/>
  <c r="H274" i="9"/>
  <c r="G274" i="9"/>
  <c r="F274" i="9"/>
  <c r="E274" i="9"/>
  <c r="D274" i="9"/>
  <c r="C274" i="9"/>
  <c r="I273" i="9"/>
  <c r="H273" i="9"/>
  <c r="G273" i="9"/>
  <c r="F273" i="9"/>
  <c r="E273" i="9"/>
  <c r="D273" i="9"/>
  <c r="C273" i="9"/>
  <c r="I272" i="9"/>
  <c r="H272" i="9"/>
  <c r="G272" i="9"/>
  <c r="F272" i="9"/>
  <c r="E272" i="9"/>
  <c r="D272" i="9"/>
  <c r="C272" i="9"/>
  <c r="I271" i="9"/>
  <c r="H271" i="9"/>
  <c r="G271" i="9"/>
  <c r="F271" i="9"/>
  <c r="E271" i="9"/>
  <c r="D271" i="9"/>
  <c r="C271" i="9"/>
  <c r="I270" i="9"/>
  <c r="H270" i="9"/>
  <c r="G270" i="9"/>
  <c r="F270" i="9"/>
  <c r="E270" i="9"/>
  <c r="D270" i="9"/>
  <c r="C270" i="9"/>
  <c r="I269" i="9"/>
  <c r="H269" i="9"/>
  <c r="G269" i="9"/>
  <c r="F269" i="9"/>
  <c r="E269" i="9"/>
  <c r="D269" i="9"/>
  <c r="C269" i="9"/>
  <c r="I268" i="9"/>
  <c r="H268" i="9"/>
  <c r="G268" i="9"/>
  <c r="F268" i="9"/>
  <c r="E268" i="9"/>
  <c r="D268" i="9"/>
  <c r="C268" i="9"/>
  <c r="I267" i="9"/>
  <c r="H267" i="9"/>
  <c r="G267" i="9"/>
  <c r="F267" i="9"/>
  <c r="E267" i="9"/>
  <c r="D267" i="9"/>
  <c r="C267" i="9"/>
  <c r="I266" i="9"/>
  <c r="H266" i="9"/>
  <c r="G266" i="9"/>
  <c r="F266" i="9"/>
  <c r="E266" i="9"/>
  <c r="D266" i="9"/>
  <c r="C266" i="9"/>
  <c r="H260" i="9"/>
  <c r="A260" i="9"/>
  <c r="I256" i="9"/>
  <c r="H256" i="9"/>
  <c r="G256" i="9"/>
  <c r="F256" i="9"/>
  <c r="E256" i="9"/>
  <c r="D256" i="9"/>
  <c r="C256" i="9"/>
  <c r="I255" i="9"/>
  <c r="H255" i="9"/>
  <c r="G255" i="9"/>
  <c r="F255" i="9"/>
  <c r="E255" i="9"/>
  <c r="D255" i="9"/>
  <c r="C255" i="9"/>
  <c r="I254" i="9"/>
  <c r="H254" i="9"/>
  <c r="G254" i="9"/>
  <c r="F254" i="9"/>
  <c r="E254" i="9"/>
  <c r="D254" i="9"/>
  <c r="C254" i="9"/>
  <c r="I253" i="9"/>
  <c r="H253" i="9"/>
  <c r="G253" i="9"/>
  <c r="F253" i="9"/>
  <c r="E253" i="9"/>
  <c r="D253" i="9"/>
  <c r="C253" i="9"/>
  <c r="I252" i="9"/>
  <c r="H252" i="9"/>
  <c r="G252" i="9"/>
  <c r="F252" i="9"/>
  <c r="E252" i="9"/>
  <c r="D252" i="9"/>
  <c r="C252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I248" i="9"/>
  <c r="H248" i="9"/>
  <c r="G248" i="9"/>
  <c r="F248" i="9"/>
  <c r="E248" i="9"/>
  <c r="D248" i="9"/>
  <c r="C248" i="9"/>
  <c r="I245" i="9"/>
  <c r="H245" i="9"/>
  <c r="G245" i="9"/>
  <c r="F245" i="9"/>
  <c r="E245" i="9"/>
  <c r="D245" i="9"/>
  <c r="C245" i="9"/>
  <c r="I244" i="9"/>
  <c r="H244" i="9"/>
  <c r="G244" i="9"/>
  <c r="F244" i="9"/>
  <c r="E244" i="9"/>
  <c r="D244" i="9"/>
  <c r="C244" i="9"/>
  <c r="I243" i="9"/>
  <c r="H243" i="9"/>
  <c r="G243" i="9"/>
  <c r="F243" i="9"/>
  <c r="E243" i="9"/>
  <c r="D243" i="9"/>
  <c r="C243" i="9"/>
  <c r="I242" i="9"/>
  <c r="H242" i="9"/>
  <c r="G242" i="9"/>
  <c r="F242" i="9"/>
  <c r="E242" i="9"/>
  <c r="D242" i="9"/>
  <c r="C242" i="9"/>
  <c r="I241" i="9"/>
  <c r="H241" i="9"/>
  <c r="G241" i="9"/>
  <c r="F241" i="9"/>
  <c r="E241" i="9"/>
  <c r="D241" i="9"/>
  <c r="C241" i="9"/>
  <c r="I240" i="9"/>
  <c r="H240" i="9"/>
  <c r="G240" i="9"/>
  <c r="F240" i="9"/>
  <c r="E240" i="9"/>
  <c r="D240" i="9"/>
  <c r="C240" i="9"/>
  <c r="I239" i="9"/>
  <c r="H239" i="9"/>
  <c r="G239" i="9"/>
  <c r="F239" i="9"/>
  <c r="E239" i="9"/>
  <c r="D239" i="9"/>
  <c r="C239" i="9"/>
  <c r="I238" i="9"/>
  <c r="H238" i="9"/>
  <c r="G238" i="9"/>
  <c r="F238" i="9"/>
  <c r="E238" i="9"/>
  <c r="D238" i="9"/>
  <c r="C238" i="9"/>
  <c r="I237" i="9"/>
  <c r="H237" i="9"/>
  <c r="G237" i="9"/>
  <c r="F237" i="9"/>
  <c r="E237" i="9"/>
  <c r="D237" i="9"/>
  <c r="C237" i="9"/>
  <c r="I236" i="9"/>
  <c r="H236" i="9"/>
  <c r="G236" i="9"/>
  <c r="F236" i="9"/>
  <c r="E236" i="9"/>
  <c r="D236" i="9"/>
  <c r="C236" i="9"/>
  <c r="I235" i="9"/>
  <c r="H235" i="9"/>
  <c r="G235" i="9"/>
  <c r="F235" i="9"/>
  <c r="E235" i="9"/>
  <c r="D235" i="9"/>
  <c r="C235" i="9"/>
  <c r="I234" i="9"/>
  <c r="H234" i="9"/>
  <c r="G234" i="9"/>
  <c r="F234" i="9"/>
  <c r="E234" i="9"/>
  <c r="D234" i="9"/>
  <c r="C234" i="9"/>
  <c r="H233" i="9"/>
  <c r="D233" i="9"/>
  <c r="C233" i="9"/>
  <c r="H228" i="9"/>
  <c r="A228" i="9"/>
  <c r="I224" i="9"/>
  <c r="H224" i="9"/>
  <c r="G224" i="9"/>
  <c r="F224" i="9"/>
  <c r="E224" i="9"/>
  <c r="D224" i="9"/>
  <c r="C224" i="9"/>
  <c r="I223" i="9"/>
  <c r="H223" i="9"/>
  <c r="G223" i="9"/>
  <c r="F223" i="9"/>
  <c r="E223" i="9"/>
  <c r="D223" i="9"/>
  <c r="C223" i="9"/>
  <c r="I222" i="9"/>
  <c r="H222" i="9"/>
  <c r="G222" i="9"/>
  <c r="F222" i="9"/>
  <c r="E222" i="9"/>
  <c r="D222" i="9"/>
  <c r="C222" i="9"/>
  <c r="I221" i="9"/>
  <c r="H221" i="9"/>
  <c r="G221" i="9"/>
  <c r="F221" i="9"/>
  <c r="E221" i="9"/>
  <c r="D221" i="9"/>
  <c r="C221" i="9"/>
  <c r="I220" i="9"/>
  <c r="H220" i="9"/>
  <c r="G220" i="9"/>
  <c r="F220" i="9"/>
  <c r="E220" i="9"/>
  <c r="D220" i="9"/>
  <c r="C220" i="9"/>
  <c r="I218" i="9"/>
  <c r="H218" i="9"/>
  <c r="G218" i="9"/>
  <c r="I217" i="9"/>
  <c r="H217" i="9"/>
  <c r="G217" i="9"/>
  <c r="F217" i="9"/>
  <c r="E217" i="9"/>
  <c r="D217" i="9"/>
  <c r="C217" i="9"/>
  <c r="I216" i="9"/>
  <c r="H216" i="9"/>
  <c r="G216" i="9"/>
  <c r="F216" i="9"/>
  <c r="E216" i="9"/>
  <c r="D216" i="9"/>
  <c r="C216" i="9"/>
  <c r="I213" i="9"/>
  <c r="H213" i="9"/>
  <c r="G213" i="9"/>
  <c r="F213" i="9"/>
  <c r="E213" i="9"/>
  <c r="D213" i="9"/>
  <c r="C213" i="9"/>
  <c r="I212" i="9"/>
  <c r="H212" i="9"/>
  <c r="G212" i="9"/>
  <c r="F212" i="9"/>
  <c r="E212" i="9"/>
  <c r="D212" i="9"/>
  <c r="C212" i="9"/>
  <c r="I211" i="9"/>
  <c r="H211" i="9"/>
  <c r="G211" i="9"/>
  <c r="F211" i="9"/>
  <c r="E211" i="9"/>
  <c r="D211" i="9"/>
  <c r="C211" i="9"/>
  <c r="I210" i="9"/>
  <c r="H210" i="9"/>
  <c r="G210" i="9"/>
  <c r="F210" i="9"/>
  <c r="E210" i="9"/>
  <c r="D210" i="9"/>
  <c r="C210" i="9"/>
  <c r="I209" i="9"/>
  <c r="H209" i="9"/>
  <c r="G209" i="9"/>
  <c r="F209" i="9"/>
  <c r="E209" i="9"/>
  <c r="D209" i="9"/>
  <c r="C209" i="9"/>
  <c r="I208" i="9"/>
  <c r="H208" i="9"/>
  <c r="G208" i="9"/>
  <c r="F208" i="9"/>
  <c r="E208" i="9"/>
  <c r="D208" i="9"/>
  <c r="C208" i="9"/>
  <c r="I207" i="9"/>
  <c r="H207" i="9"/>
  <c r="G207" i="9"/>
  <c r="F207" i="9"/>
  <c r="E207" i="9"/>
  <c r="D207" i="9"/>
  <c r="C207" i="9"/>
  <c r="I206" i="9"/>
  <c r="H206" i="9"/>
  <c r="G206" i="9"/>
  <c r="F206" i="9"/>
  <c r="E206" i="9"/>
  <c r="D206" i="9"/>
  <c r="C206" i="9"/>
  <c r="I205" i="9"/>
  <c r="H205" i="9"/>
  <c r="G205" i="9"/>
  <c r="F205" i="9"/>
  <c r="E205" i="9"/>
  <c r="D205" i="9"/>
  <c r="C205" i="9"/>
  <c r="I204" i="9"/>
  <c r="H204" i="9"/>
  <c r="G204" i="9"/>
  <c r="F204" i="9"/>
  <c r="E204" i="9"/>
  <c r="D204" i="9"/>
  <c r="C204" i="9"/>
  <c r="I203" i="9"/>
  <c r="H203" i="9"/>
  <c r="G203" i="9"/>
  <c r="F203" i="9"/>
  <c r="E203" i="9"/>
  <c r="D203" i="9"/>
  <c r="C203" i="9"/>
  <c r="I202" i="9"/>
  <c r="H202" i="9"/>
  <c r="G202" i="9"/>
  <c r="F202" i="9"/>
  <c r="E202" i="9"/>
  <c r="D202" i="9"/>
  <c r="C202" i="9"/>
  <c r="I201" i="9"/>
  <c r="E201" i="9"/>
  <c r="D201" i="9"/>
  <c r="C201" i="9"/>
  <c r="H196" i="9"/>
  <c r="A196" i="9"/>
  <c r="I192" i="9"/>
  <c r="H192" i="9"/>
  <c r="G192" i="9"/>
  <c r="F192" i="9"/>
  <c r="E192" i="9"/>
  <c r="D192" i="9"/>
  <c r="C192" i="9"/>
  <c r="I191" i="9"/>
  <c r="H191" i="9"/>
  <c r="G191" i="9"/>
  <c r="F191" i="9"/>
  <c r="E191" i="9"/>
  <c r="D191" i="9"/>
  <c r="C191" i="9"/>
  <c r="I190" i="9"/>
  <c r="H190" i="9"/>
  <c r="G190" i="9"/>
  <c r="F190" i="9"/>
  <c r="E190" i="9"/>
  <c r="D190" i="9"/>
  <c r="C190" i="9"/>
  <c r="I189" i="9"/>
  <c r="H189" i="9"/>
  <c r="G189" i="9"/>
  <c r="F189" i="9"/>
  <c r="E189" i="9"/>
  <c r="D189" i="9"/>
  <c r="C189" i="9"/>
  <c r="I188" i="9"/>
  <c r="H188" i="9"/>
  <c r="G188" i="9"/>
  <c r="F188" i="9"/>
  <c r="E188" i="9"/>
  <c r="D188" i="9"/>
  <c r="C188" i="9"/>
  <c r="I185" i="9"/>
  <c r="H185" i="9"/>
  <c r="G185" i="9"/>
  <c r="F185" i="9"/>
  <c r="E185" i="9"/>
  <c r="D185" i="9"/>
  <c r="C185" i="9"/>
  <c r="I184" i="9"/>
  <c r="H184" i="9"/>
  <c r="G184" i="9"/>
  <c r="F184" i="9"/>
  <c r="E184" i="9"/>
  <c r="D184" i="9"/>
  <c r="C184" i="9"/>
  <c r="I181" i="9"/>
  <c r="H181" i="9"/>
  <c r="G181" i="9"/>
  <c r="F181" i="9"/>
  <c r="E181" i="9"/>
  <c r="D181" i="9"/>
  <c r="C181" i="9"/>
  <c r="I180" i="9"/>
  <c r="H180" i="9"/>
  <c r="G180" i="9"/>
  <c r="F180" i="9"/>
  <c r="E180" i="9"/>
  <c r="D180" i="9"/>
  <c r="C180" i="9"/>
  <c r="I179" i="9"/>
  <c r="H179" i="9"/>
  <c r="G179" i="9"/>
  <c r="F179" i="9"/>
  <c r="E179" i="9"/>
  <c r="D179" i="9"/>
  <c r="C179" i="9"/>
  <c r="I178" i="9"/>
  <c r="H178" i="9"/>
  <c r="G178" i="9"/>
  <c r="F178" i="9"/>
  <c r="E178" i="9"/>
  <c r="D178" i="9"/>
  <c r="C178" i="9"/>
  <c r="I177" i="9"/>
  <c r="H177" i="9"/>
  <c r="G177" i="9"/>
  <c r="F177" i="9"/>
  <c r="E177" i="9"/>
  <c r="D177" i="9"/>
  <c r="C177" i="9"/>
  <c r="I176" i="9"/>
  <c r="H176" i="9"/>
  <c r="G176" i="9"/>
  <c r="F176" i="9"/>
  <c r="E176" i="9"/>
  <c r="D176" i="9"/>
  <c r="C176" i="9"/>
  <c r="I175" i="9"/>
  <c r="H175" i="9"/>
  <c r="G175" i="9"/>
  <c r="F175" i="9"/>
  <c r="E175" i="9"/>
  <c r="D175" i="9"/>
  <c r="C175" i="9"/>
  <c r="I174" i="9"/>
  <c r="H174" i="9"/>
  <c r="G174" i="9"/>
  <c r="F174" i="9"/>
  <c r="E174" i="9"/>
  <c r="D174" i="9"/>
  <c r="C174" i="9"/>
  <c r="I173" i="9"/>
  <c r="H173" i="9"/>
  <c r="G173" i="9"/>
  <c r="F173" i="9"/>
  <c r="E173" i="9"/>
  <c r="D173" i="9"/>
  <c r="C173" i="9"/>
  <c r="I172" i="9"/>
  <c r="H172" i="9"/>
  <c r="G172" i="9"/>
  <c r="F172" i="9"/>
  <c r="E172" i="9"/>
  <c r="D172" i="9"/>
  <c r="C172" i="9"/>
  <c r="I171" i="9"/>
  <c r="H171" i="9"/>
  <c r="G171" i="9"/>
  <c r="F171" i="9"/>
  <c r="E171" i="9"/>
  <c r="D171" i="9"/>
  <c r="C171" i="9"/>
  <c r="I170" i="9"/>
  <c r="H170" i="9"/>
  <c r="G170" i="9"/>
  <c r="F170" i="9"/>
  <c r="E170" i="9"/>
  <c r="D170" i="9"/>
  <c r="C170" i="9"/>
  <c r="I169" i="9"/>
  <c r="H169" i="9"/>
  <c r="G169" i="9"/>
  <c r="F169" i="9"/>
  <c r="E169" i="9"/>
  <c r="D169" i="9"/>
  <c r="C169" i="9"/>
  <c r="H164" i="9"/>
  <c r="A164" i="9"/>
  <c r="I160" i="9"/>
  <c r="H160" i="9"/>
  <c r="G160" i="9"/>
  <c r="F160" i="9"/>
  <c r="E160" i="9"/>
  <c r="D160" i="9"/>
  <c r="C160" i="9"/>
  <c r="I159" i="9"/>
  <c r="H159" i="9"/>
  <c r="G159" i="9"/>
  <c r="F159" i="9"/>
  <c r="E159" i="9"/>
  <c r="D159" i="9"/>
  <c r="C159" i="9"/>
  <c r="I158" i="9"/>
  <c r="H158" i="9"/>
  <c r="G158" i="9"/>
  <c r="F158" i="9"/>
  <c r="E158" i="9"/>
  <c r="D158" i="9"/>
  <c r="C158" i="9"/>
  <c r="I157" i="9"/>
  <c r="H157" i="9"/>
  <c r="G157" i="9"/>
  <c r="F157" i="9"/>
  <c r="E157" i="9"/>
  <c r="D157" i="9"/>
  <c r="C157" i="9"/>
  <c r="I156" i="9"/>
  <c r="H156" i="9"/>
  <c r="G156" i="9"/>
  <c r="F156" i="9"/>
  <c r="E156" i="9"/>
  <c r="D156" i="9"/>
  <c r="C156" i="9"/>
  <c r="I153" i="9"/>
  <c r="H153" i="9"/>
  <c r="G153" i="9"/>
  <c r="F153" i="9"/>
  <c r="E153" i="9"/>
  <c r="D153" i="9"/>
  <c r="C153" i="9"/>
  <c r="I152" i="9"/>
  <c r="H152" i="9"/>
  <c r="G152" i="9"/>
  <c r="F152" i="9"/>
  <c r="E152" i="9"/>
  <c r="D152" i="9"/>
  <c r="C152" i="9"/>
  <c r="I149" i="9"/>
  <c r="H149" i="9"/>
  <c r="G149" i="9"/>
  <c r="F149" i="9"/>
  <c r="E149" i="9"/>
  <c r="D149" i="9"/>
  <c r="C149" i="9"/>
  <c r="I148" i="9"/>
  <c r="H148" i="9"/>
  <c r="G148" i="9"/>
  <c r="F148" i="9"/>
  <c r="E148" i="9"/>
  <c r="D148" i="9"/>
  <c r="C148" i="9"/>
  <c r="I147" i="9"/>
  <c r="H147" i="9"/>
  <c r="G147" i="9"/>
  <c r="F147" i="9"/>
  <c r="E147" i="9"/>
  <c r="D147" i="9"/>
  <c r="C147" i="9"/>
  <c r="I146" i="9"/>
  <c r="H146" i="9"/>
  <c r="G146" i="9"/>
  <c r="F146" i="9"/>
  <c r="E146" i="9"/>
  <c r="D146" i="9"/>
  <c r="C146" i="9"/>
  <c r="I145" i="9"/>
  <c r="H145" i="9"/>
  <c r="G145" i="9"/>
  <c r="F145" i="9"/>
  <c r="E145" i="9"/>
  <c r="D145" i="9"/>
  <c r="C145" i="9"/>
  <c r="I144" i="9"/>
  <c r="H144" i="9"/>
  <c r="G144" i="9"/>
  <c r="F144" i="9"/>
  <c r="E144" i="9"/>
  <c r="D144" i="9"/>
  <c r="C144" i="9"/>
  <c r="I143" i="9"/>
  <c r="H143" i="9"/>
  <c r="G143" i="9"/>
  <c r="F143" i="9"/>
  <c r="E143" i="9"/>
  <c r="D143" i="9"/>
  <c r="C143" i="9"/>
  <c r="I142" i="9"/>
  <c r="H142" i="9"/>
  <c r="G142" i="9"/>
  <c r="F142" i="9"/>
  <c r="E142" i="9"/>
  <c r="D142" i="9"/>
  <c r="C142" i="9"/>
  <c r="I141" i="9"/>
  <c r="H141" i="9"/>
  <c r="G141" i="9"/>
  <c r="F141" i="9"/>
  <c r="E141" i="9"/>
  <c r="D141" i="9"/>
  <c r="C141" i="9"/>
  <c r="I140" i="9"/>
  <c r="H140" i="9"/>
  <c r="G140" i="9"/>
  <c r="F140" i="9"/>
  <c r="E140" i="9"/>
  <c r="D140" i="9"/>
  <c r="C140" i="9"/>
  <c r="I139" i="9"/>
  <c r="H139" i="9"/>
  <c r="G139" i="9"/>
  <c r="F139" i="9"/>
  <c r="E139" i="9"/>
  <c r="D139" i="9"/>
  <c r="C139" i="9"/>
  <c r="I138" i="9"/>
  <c r="H138" i="9"/>
  <c r="G138" i="9"/>
  <c r="F138" i="9"/>
  <c r="E138" i="9"/>
  <c r="D138" i="9"/>
  <c r="C138" i="9"/>
  <c r="I137" i="9"/>
  <c r="H137" i="9"/>
  <c r="G137" i="9"/>
  <c r="F137" i="9"/>
  <c r="E137" i="9"/>
  <c r="D137" i="9"/>
  <c r="C137" i="9"/>
  <c r="H132" i="9"/>
  <c r="A132" i="9"/>
  <c r="I128" i="9"/>
  <c r="H128" i="9"/>
  <c r="G128" i="9"/>
  <c r="F128" i="9"/>
  <c r="E128" i="9"/>
  <c r="D128" i="9"/>
  <c r="C128" i="9"/>
  <c r="I127" i="9"/>
  <c r="H127" i="9"/>
  <c r="G127" i="9"/>
  <c r="F127" i="9"/>
  <c r="E127" i="9"/>
  <c r="D127" i="9"/>
  <c r="C127" i="9"/>
  <c r="I126" i="9"/>
  <c r="H126" i="9"/>
  <c r="G126" i="9"/>
  <c r="F126" i="9"/>
  <c r="E126" i="9"/>
  <c r="D126" i="9"/>
  <c r="C126" i="9"/>
  <c r="I125" i="9"/>
  <c r="H125" i="9"/>
  <c r="G125" i="9"/>
  <c r="F125" i="9"/>
  <c r="E125" i="9"/>
  <c r="D125" i="9"/>
  <c r="C125" i="9"/>
  <c r="I124" i="9"/>
  <c r="H124" i="9"/>
  <c r="G124" i="9"/>
  <c r="F124" i="9"/>
  <c r="E124" i="9"/>
  <c r="D124" i="9"/>
  <c r="C124" i="9"/>
  <c r="I121" i="9"/>
  <c r="H121" i="9"/>
  <c r="G121" i="9"/>
  <c r="F121" i="9"/>
  <c r="E121" i="9"/>
  <c r="D121" i="9"/>
  <c r="C121" i="9"/>
  <c r="I120" i="9"/>
  <c r="H120" i="9"/>
  <c r="G120" i="9"/>
  <c r="F120" i="9"/>
  <c r="E120" i="9"/>
  <c r="D120" i="9"/>
  <c r="C120" i="9"/>
  <c r="I117" i="9"/>
  <c r="H117" i="9"/>
  <c r="G117" i="9"/>
  <c r="F117" i="9"/>
  <c r="E117" i="9"/>
  <c r="D117" i="9"/>
  <c r="C117" i="9"/>
  <c r="I116" i="9"/>
  <c r="H116" i="9"/>
  <c r="G116" i="9"/>
  <c r="F116" i="9"/>
  <c r="E116" i="9"/>
  <c r="D116" i="9"/>
  <c r="C116" i="9"/>
  <c r="I115" i="9"/>
  <c r="H115" i="9"/>
  <c r="G115" i="9"/>
  <c r="F115" i="9"/>
  <c r="E115" i="9"/>
  <c r="D115" i="9"/>
  <c r="C115" i="9"/>
  <c r="I114" i="9"/>
  <c r="H114" i="9"/>
  <c r="G114" i="9"/>
  <c r="F114" i="9"/>
  <c r="E114" i="9"/>
  <c r="D114" i="9"/>
  <c r="C114" i="9"/>
  <c r="I113" i="9"/>
  <c r="H113" i="9"/>
  <c r="G113" i="9"/>
  <c r="F113" i="9"/>
  <c r="E113" i="9"/>
  <c r="D113" i="9"/>
  <c r="C113" i="9"/>
  <c r="I112" i="9"/>
  <c r="H112" i="9"/>
  <c r="G112" i="9"/>
  <c r="F112" i="9"/>
  <c r="E112" i="9"/>
  <c r="D112" i="9"/>
  <c r="C112" i="9"/>
  <c r="I111" i="9"/>
  <c r="H111" i="9"/>
  <c r="G111" i="9"/>
  <c r="F111" i="9"/>
  <c r="E111" i="9"/>
  <c r="D111" i="9"/>
  <c r="C111" i="9"/>
  <c r="I110" i="9"/>
  <c r="H110" i="9"/>
  <c r="G110" i="9"/>
  <c r="F110" i="9"/>
  <c r="E110" i="9"/>
  <c r="D110" i="9"/>
  <c r="C110" i="9"/>
  <c r="I109" i="9"/>
  <c r="H109" i="9"/>
  <c r="G109" i="9"/>
  <c r="F109" i="9"/>
  <c r="E109" i="9"/>
  <c r="D109" i="9"/>
  <c r="C109" i="9"/>
  <c r="I108" i="9"/>
  <c r="H108" i="9"/>
  <c r="G108" i="9"/>
  <c r="F108" i="9"/>
  <c r="E108" i="9"/>
  <c r="D108" i="9"/>
  <c r="C108" i="9"/>
  <c r="I107" i="9"/>
  <c r="H107" i="9"/>
  <c r="G107" i="9"/>
  <c r="F107" i="9"/>
  <c r="E107" i="9"/>
  <c r="D107" i="9"/>
  <c r="C107" i="9"/>
  <c r="I106" i="9"/>
  <c r="H106" i="9"/>
  <c r="G106" i="9"/>
  <c r="F106" i="9"/>
  <c r="E106" i="9"/>
  <c r="D106" i="9"/>
  <c r="C106" i="9"/>
  <c r="I105" i="9"/>
  <c r="H105" i="9"/>
  <c r="F105" i="9"/>
  <c r="E105" i="9"/>
  <c r="D105" i="9"/>
  <c r="C105" i="9"/>
  <c r="H100" i="9"/>
  <c r="A100" i="9"/>
  <c r="I96" i="9"/>
  <c r="H96" i="9"/>
  <c r="G96" i="9"/>
  <c r="F96" i="9"/>
  <c r="E96" i="9"/>
  <c r="D96" i="9"/>
  <c r="C96" i="9"/>
  <c r="I95" i="9"/>
  <c r="H95" i="9"/>
  <c r="G95" i="9"/>
  <c r="F95" i="9"/>
  <c r="E95" i="9"/>
  <c r="D95" i="9"/>
  <c r="C95" i="9"/>
  <c r="I94" i="9"/>
  <c r="H94" i="9"/>
  <c r="G94" i="9"/>
  <c r="F94" i="9"/>
  <c r="E94" i="9"/>
  <c r="D94" i="9"/>
  <c r="C94" i="9"/>
  <c r="I93" i="9"/>
  <c r="H93" i="9"/>
  <c r="G93" i="9"/>
  <c r="F93" i="9"/>
  <c r="E93" i="9"/>
  <c r="D93" i="9"/>
  <c r="C93" i="9"/>
  <c r="I92" i="9"/>
  <c r="H92" i="9"/>
  <c r="G92" i="9"/>
  <c r="F92" i="9"/>
  <c r="E92" i="9"/>
  <c r="D92" i="9"/>
  <c r="C92" i="9"/>
  <c r="I89" i="9"/>
  <c r="H89" i="9"/>
  <c r="G89" i="9"/>
  <c r="F89" i="9"/>
  <c r="E89" i="9"/>
  <c r="D89" i="9"/>
  <c r="C89" i="9"/>
  <c r="I88" i="9"/>
  <c r="H88" i="9"/>
  <c r="G88" i="9"/>
  <c r="F88" i="9"/>
  <c r="E88" i="9"/>
  <c r="D88" i="9"/>
  <c r="C88" i="9"/>
  <c r="I85" i="9"/>
  <c r="H85" i="9"/>
  <c r="G85" i="9"/>
  <c r="F85" i="9"/>
  <c r="E85" i="9"/>
  <c r="D85" i="9"/>
  <c r="C85" i="9"/>
  <c r="I84" i="9"/>
  <c r="H84" i="9"/>
  <c r="G84" i="9"/>
  <c r="F84" i="9"/>
  <c r="E84" i="9"/>
  <c r="D84" i="9"/>
  <c r="C84" i="9"/>
  <c r="I83" i="9"/>
  <c r="H83" i="9"/>
  <c r="G83" i="9"/>
  <c r="F83" i="9"/>
  <c r="E83" i="9"/>
  <c r="D83" i="9"/>
  <c r="C83" i="9"/>
  <c r="I82" i="9"/>
  <c r="H82" i="9"/>
  <c r="G82" i="9"/>
  <c r="F82" i="9"/>
  <c r="E82" i="9"/>
  <c r="D82" i="9"/>
  <c r="C82" i="9"/>
  <c r="I81" i="9"/>
  <c r="H81" i="9"/>
  <c r="G81" i="9"/>
  <c r="F81" i="9"/>
  <c r="E81" i="9"/>
  <c r="D81" i="9"/>
  <c r="C81" i="9"/>
  <c r="I80" i="9"/>
  <c r="H80" i="9"/>
  <c r="G80" i="9"/>
  <c r="F80" i="9"/>
  <c r="E80" i="9"/>
  <c r="D80" i="9"/>
  <c r="C80" i="9"/>
  <c r="I79" i="9"/>
  <c r="H79" i="9"/>
  <c r="G79" i="9"/>
  <c r="F79" i="9"/>
  <c r="E79" i="9"/>
  <c r="D79" i="9"/>
  <c r="C79" i="9"/>
  <c r="I78" i="9"/>
  <c r="H78" i="9"/>
  <c r="G78" i="9"/>
  <c r="F78" i="9"/>
  <c r="E78" i="9"/>
  <c r="D78" i="9"/>
  <c r="C78" i="9"/>
  <c r="I77" i="9"/>
  <c r="H77" i="9"/>
  <c r="G77" i="9"/>
  <c r="F77" i="9"/>
  <c r="E77" i="9"/>
  <c r="D77" i="9"/>
  <c r="C77" i="9"/>
  <c r="I76" i="9"/>
  <c r="H76" i="9"/>
  <c r="G76" i="9"/>
  <c r="F76" i="9"/>
  <c r="E76" i="9"/>
  <c r="D76" i="9"/>
  <c r="C76" i="9"/>
  <c r="I75" i="9"/>
  <c r="H75" i="9"/>
  <c r="G75" i="9"/>
  <c r="F75" i="9"/>
  <c r="E75" i="9"/>
  <c r="D75" i="9"/>
  <c r="C75" i="9"/>
  <c r="I74" i="9"/>
  <c r="H74" i="9"/>
  <c r="G74" i="9"/>
  <c r="F74" i="9"/>
  <c r="E74" i="9"/>
  <c r="D74" i="9"/>
  <c r="C74" i="9"/>
  <c r="I73" i="9"/>
  <c r="H73" i="9"/>
  <c r="G73" i="9"/>
  <c r="D73" i="9"/>
  <c r="C73" i="9"/>
  <c r="H68" i="9"/>
  <c r="A68" i="9"/>
  <c r="I64" i="9"/>
  <c r="H64" i="9"/>
  <c r="G64" i="9"/>
  <c r="F64" i="9"/>
  <c r="E64" i="9"/>
  <c r="D64" i="9"/>
  <c r="C64" i="9"/>
  <c r="I63" i="9"/>
  <c r="H63" i="9"/>
  <c r="G63" i="9"/>
  <c r="F63" i="9"/>
  <c r="E63" i="9"/>
  <c r="D63" i="9"/>
  <c r="C63" i="9"/>
  <c r="I62" i="9"/>
  <c r="H62" i="9"/>
  <c r="G62" i="9"/>
  <c r="F62" i="9"/>
  <c r="E62" i="9"/>
  <c r="D62" i="9"/>
  <c r="C62" i="9"/>
  <c r="I61" i="9"/>
  <c r="H61" i="9"/>
  <c r="G61" i="9"/>
  <c r="F61" i="9"/>
  <c r="E61" i="9"/>
  <c r="D61" i="9"/>
  <c r="C61" i="9"/>
  <c r="I60" i="9"/>
  <c r="H60" i="9"/>
  <c r="G60" i="9"/>
  <c r="F60" i="9"/>
  <c r="E60" i="9"/>
  <c r="D60" i="9"/>
  <c r="C60" i="9"/>
  <c r="I57" i="9"/>
  <c r="H57" i="9"/>
  <c r="G57" i="9"/>
  <c r="F57" i="9"/>
  <c r="E57" i="9"/>
  <c r="D57" i="9"/>
  <c r="C57" i="9"/>
  <c r="I56" i="9"/>
  <c r="H56" i="9"/>
  <c r="G56" i="9"/>
  <c r="F56" i="9"/>
  <c r="E56" i="9"/>
  <c r="D56" i="9"/>
  <c r="C56" i="9"/>
  <c r="I53" i="9"/>
  <c r="H53" i="9"/>
  <c r="G53" i="9"/>
  <c r="F53" i="9"/>
  <c r="E53" i="9"/>
  <c r="D53" i="9"/>
  <c r="C53" i="9"/>
  <c r="I52" i="9"/>
  <c r="H52" i="9"/>
  <c r="G52" i="9"/>
  <c r="F52" i="9"/>
  <c r="E52" i="9"/>
  <c r="D52" i="9"/>
  <c r="C52" i="9"/>
  <c r="I51" i="9"/>
  <c r="H51" i="9"/>
  <c r="G51" i="9"/>
  <c r="F51" i="9"/>
  <c r="E51" i="9"/>
  <c r="D51" i="9"/>
  <c r="C51" i="9"/>
  <c r="I50" i="9"/>
  <c r="H50" i="9"/>
  <c r="G50" i="9"/>
  <c r="F50" i="9"/>
  <c r="E50" i="9"/>
  <c r="D50" i="9"/>
  <c r="C50" i="9"/>
  <c r="I49" i="9"/>
  <c r="H49" i="9"/>
  <c r="G49" i="9"/>
  <c r="F49" i="9"/>
  <c r="E49" i="9"/>
  <c r="D49" i="9"/>
  <c r="C49" i="9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4" i="9"/>
  <c r="H44" i="9"/>
  <c r="G44" i="9"/>
  <c r="F44" i="9"/>
  <c r="E44" i="9"/>
  <c r="D44" i="9"/>
  <c r="C44" i="9"/>
  <c r="I43" i="9"/>
  <c r="H43" i="9"/>
  <c r="G43" i="9"/>
  <c r="F43" i="9"/>
  <c r="E43" i="9"/>
  <c r="D43" i="9"/>
  <c r="C43" i="9"/>
  <c r="I42" i="9"/>
  <c r="H42" i="9"/>
  <c r="G42" i="9"/>
  <c r="F42" i="9"/>
  <c r="E42" i="9"/>
  <c r="D42" i="9"/>
  <c r="C42" i="9"/>
  <c r="I41" i="9"/>
  <c r="H41" i="9"/>
  <c r="G41" i="9"/>
  <c r="F41" i="9"/>
  <c r="E41" i="9"/>
  <c r="D41" i="9"/>
  <c r="C41" i="9"/>
  <c r="H36" i="9"/>
  <c r="A36" i="9"/>
  <c r="I32" i="9"/>
  <c r="H32" i="9"/>
  <c r="G32" i="9"/>
  <c r="F32" i="9"/>
  <c r="E32" i="9"/>
  <c r="D32" i="9"/>
  <c r="C32" i="9"/>
  <c r="I31" i="9"/>
  <c r="H31" i="9"/>
  <c r="G31" i="9"/>
  <c r="F31" i="9"/>
  <c r="E31" i="9"/>
  <c r="D31" i="9"/>
  <c r="C31" i="9"/>
  <c r="I30" i="9"/>
  <c r="H30" i="9"/>
  <c r="G30" i="9"/>
  <c r="F30" i="9"/>
  <c r="E30" i="9"/>
  <c r="D30" i="9"/>
  <c r="C30" i="9"/>
  <c r="I29" i="9"/>
  <c r="H29" i="9"/>
  <c r="G29" i="9"/>
  <c r="F29" i="9"/>
  <c r="E29" i="9"/>
  <c r="D29" i="9"/>
  <c r="C29" i="9"/>
  <c r="I28" i="9"/>
  <c r="H28" i="9"/>
  <c r="G28" i="9"/>
  <c r="F28" i="9"/>
  <c r="E28" i="9"/>
  <c r="D28" i="9"/>
  <c r="C28" i="9"/>
  <c r="I25" i="9"/>
  <c r="H25" i="9"/>
  <c r="G25" i="9"/>
  <c r="F25" i="9"/>
  <c r="E25" i="9"/>
  <c r="D25" i="9"/>
  <c r="C25" i="9"/>
  <c r="I24" i="9"/>
  <c r="H24" i="9"/>
  <c r="G24" i="9"/>
  <c r="F24" i="9"/>
  <c r="E24" i="9"/>
  <c r="D24" i="9"/>
  <c r="C24" i="9"/>
  <c r="I21" i="9"/>
  <c r="H21" i="9"/>
  <c r="G21" i="9"/>
  <c r="F21" i="9"/>
  <c r="E21" i="9"/>
  <c r="D21" i="9"/>
  <c r="C21" i="9"/>
  <c r="I20" i="9"/>
  <c r="H20" i="9"/>
  <c r="G20" i="9"/>
  <c r="F20" i="9"/>
  <c r="E20" i="9"/>
  <c r="D20" i="9"/>
  <c r="C20" i="9"/>
  <c r="I19" i="9"/>
  <c r="H19" i="9"/>
  <c r="G19" i="9"/>
  <c r="F19" i="9"/>
  <c r="E19" i="9"/>
  <c r="D19" i="9"/>
  <c r="C19" i="9"/>
  <c r="I18" i="9"/>
  <c r="H18" i="9"/>
  <c r="G18" i="9"/>
  <c r="F18" i="9"/>
  <c r="E18" i="9"/>
  <c r="D18" i="9"/>
  <c r="C18" i="9"/>
  <c r="I17" i="9"/>
  <c r="H17" i="9"/>
  <c r="G17" i="9"/>
  <c r="F17" i="9"/>
  <c r="E17" i="9"/>
  <c r="D17" i="9"/>
  <c r="C17" i="9"/>
  <c r="I16" i="9"/>
  <c r="H16" i="9"/>
  <c r="G16" i="9"/>
  <c r="F16" i="9"/>
  <c r="E16" i="9"/>
  <c r="D16" i="9"/>
  <c r="C16" i="9"/>
  <c r="I15" i="9"/>
  <c r="H15" i="9"/>
  <c r="G15" i="9"/>
  <c r="F15" i="9"/>
  <c r="E15" i="9"/>
  <c r="D15" i="9"/>
  <c r="C15" i="9"/>
  <c r="I14" i="9"/>
  <c r="H14" i="9"/>
  <c r="G14" i="9"/>
  <c r="F14" i="9"/>
  <c r="E14" i="9"/>
  <c r="D14" i="9"/>
  <c r="C14" i="9"/>
  <c r="I13" i="9"/>
  <c r="H13" i="9"/>
  <c r="G13" i="9"/>
  <c r="F13" i="9"/>
  <c r="E13" i="9"/>
  <c r="D13" i="9"/>
  <c r="C13" i="9"/>
  <c r="I12" i="9"/>
  <c r="H12" i="9"/>
  <c r="G12" i="9"/>
  <c r="F12" i="9"/>
  <c r="E12" i="9"/>
  <c r="D12" i="9"/>
  <c r="C12" i="9"/>
  <c r="I11" i="9"/>
  <c r="H11" i="9"/>
  <c r="G11" i="9"/>
  <c r="F11" i="9"/>
  <c r="E11" i="9"/>
  <c r="D11" i="9"/>
  <c r="C11" i="9"/>
  <c r="I10" i="9"/>
  <c r="H10" i="9"/>
  <c r="G10" i="9"/>
  <c r="F10" i="9"/>
  <c r="E10" i="9"/>
  <c r="D10" i="9"/>
  <c r="C10" i="9"/>
  <c r="I9" i="9"/>
  <c r="H9" i="9"/>
  <c r="G9" i="9"/>
  <c r="F9" i="9"/>
  <c r="E9" i="9"/>
  <c r="D9" i="9"/>
  <c r="C9" i="9"/>
  <c r="H4" i="9"/>
  <c r="A4" i="9"/>
  <c r="C149" i="8"/>
  <c r="C148" i="8"/>
  <c r="C144" i="8"/>
  <c r="C140" i="8"/>
  <c r="C139" i="8"/>
  <c r="C138" i="8"/>
  <c r="C137" i="8"/>
  <c r="C136" i="8"/>
  <c r="C135" i="8"/>
  <c r="C134" i="8"/>
  <c r="C133" i="8"/>
  <c r="C132" i="8"/>
  <c r="C131" i="8"/>
  <c r="C130" i="8"/>
  <c r="C126" i="8"/>
  <c r="C125" i="8"/>
  <c r="C124" i="8"/>
  <c r="C123" i="8"/>
  <c r="C120" i="8"/>
  <c r="C119" i="8"/>
  <c r="C118" i="8"/>
  <c r="C117" i="8"/>
  <c r="C116" i="8"/>
  <c r="C115" i="8"/>
  <c r="C112" i="8"/>
  <c r="C111" i="8"/>
  <c r="C110" i="8"/>
  <c r="C107" i="8"/>
  <c r="A107" i="8"/>
  <c r="C102" i="8"/>
  <c r="C101" i="8"/>
  <c r="C100" i="8"/>
  <c r="C97" i="8"/>
  <c r="C95" i="8"/>
  <c r="C93" i="8"/>
  <c r="C91" i="8"/>
  <c r="C88" i="8"/>
  <c r="C86" i="8"/>
  <c r="C85" i="8"/>
  <c r="C84" i="8"/>
  <c r="C83" i="8"/>
  <c r="C82" i="8"/>
  <c r="C81" i="8"/>
  <c r="C80" i="8"/>
  <c r="C79" i="8"/>
  <c r="C78" i="8"/>
  <c r="C77" i="8"/>
  <c r="C74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22" i="7"/>
  <c r="D19" i="7"/>
  <c r="D18" i="7"/>
  <c r="D16" i="7"/>
  <c r="D13" i="7"/>
  <c r="D12" i="7"/>
  <c r="D11" i="7"/>
  <c r="D10" i="7"/>
  <c r="D9" i="7"/>
  <c r="D8" i="7"/>
  <c r="D7" i="7"/>
  <c r="D5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40" i="5"/>
  <c r="C39" i="5"/>
  <c r="C38" i="5"/>
  <c r="C34" i="5"/>
  <c r="C33" i="5"/>
  <c r="C32" i="5"/>
  <c r="C31" i="5"/>
  <c r="C27" i="5"/>
  <c r="C26" i="5"/>
  <c r="C25" i="5"/>
  <c r="C20" i="5"/>
  <c r="C19" i="5"/>
  <c r="C18" i="5"/>
  <c r="C14" i="5"/>
  <c r="C13" i="5"/>
  <c r="C12" i="5"/>
  <c r="C11" i="5"/>
  <c r="C10" i="5"/>
  <c r="C9" i="5"/>
  <c r="C8" i="5"/>
  <c r="C7" i="5"/>
  <c r="C6" i="5"/>
  <c r="C3" i="5"/>
  <c r="A3" i="5"/>
  <c r="C33" i="4"/>
  <c r="C32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G34" i="3"/>
  <c r="D34" i="3"/>
  <c r="G33" i="3"/>
  <c r="D33" i="3"/>
  <c r="G32" i="3"/>
  <c r="D32" i="3"/>
  <c r="G31" i="3"/>
  <c r="D31" i="3"/>
  <c r="G30" i="3"/>
  <c r="D30" i="3"/>
  <c r="G25" i="3"/>
  <c r="F25" i="3"/>
  <c r="G24" i="3"/>
  <c r="F24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C228" i="15"/>
  <c r="C234" i="1"/>
  <c r="C233" i="1"/>
  <c r="D398" i="15" l="1"/>
  <c r="CD69" i="15" l="1"/>
  <c r="CG69" i="15"/>
  <c r="C189" i="15"/>
  <c r="C188" i="15"/>
  <c r="C184" i="15"/>
  <c r="C185" i="15"/>
  <c r="C183" i="15"/>
  <c r="C180" i="15"/>
  <c r="C179" i="15"/>
  <c r="C176" i="15"/>
  <c r="C175" i="15"/>
  <c r="C166" i="15"/>
  <c r="C167" i="15"/>
  <c r="C168" i="15"/>
  <c r="C169" i="15"/>
  <c r="C170" i="15"/>
  <c r="C171" i="15"/>
  <c r="C172" i="15"/>
  <c r="C165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AC68" i="15"/>
  <c r="AD68" i="15"/>
  <c r="AE68" i="15"/>
  <c r="AF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S68" i="15"/>
  <c r="AT68" i="15"/>
  <c r="AU68" i="15"/>
  <c r="AV68" i="15"/>
  <c r="AW68" i="15"/>
  <c r="AX68" i="15"/>
  <c r="AY68" i="15"/>
  <c r="AZ68" i="15"/>
  <c r="BA68" i="15"/>
  <c r="BB68" i="15"/>
  <c r="BC68" i="15"/>
  <c r="BD68" i="15"/>
  <c r="BE68" i="15"/>
  <c r="BF68" i="15"/>
  <c r="BG68" i="15"/>
  <c r="BH68" i="15"/>
  <c r="BI68" i="15"/>
  <c r="BJ68" i="15"/>
  <c r="BK68" i="15"/>
  <c r="BL68" i="15"/>
  <c r="BM68" i="15"/>
  <c r="BN68" i="15"/>
  <c r="BO68" i="15"/>
  <c r="BP68" i="15"/>
  <c r="BQ68" i="15"/>
  <c r="BR68" i="15"/>
  <c r="BS68" i="15"/>
  <c r="BT68" i="15"/>
  <c r="BU68" i="15"/>
  <c r="BV68" i="15"/>
  <c r="BW68" i="15"/>
  <c r="BX68" i="15"/>
  <c r="BY68" i="15"/>
  <c r="BZ68" i="15"/>
  <c r="CA68" i="15"/>
  <c r="CB68" i="15"/>
  <c r="CC68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C69" i="15"/>
  <c r="AD69" i="15"/>
  <c r="AE69" i="15"/>
  <c r="AF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AS69" i="15"/>
  <c r="AT69" i="15"/>
  <c r="AU69" i="15"/>
  <c r="AV69" i="15"/>
  <c r="AW69" i="15"/>
  <c r="AX69" i="15"/>
  <c r="AY69" i="15"/>
  <c r="AZ69" i="15"/>
  <c r="BA69" i="15"/>
  <c r="BB69" i="15"/>
  <c r="BC69" i="15"/>
  <c r="BD69" i="15"/>
  <c r="BE69" i="15"/>
  <c r="BF69" i="15"/>
  <c r="BG69" i="15"/>
  <c r="BH69" i="15"/>
  <c r="BI69" i="15"/>
  <c r="BJ69" i="15"/>
  <c r="BK69" i="15"/>
  <c r="BL69" i="15"/>
  <c r="BM69" i="15"/>
  <c r="BN69" i="15"/>
  <c r="BO69" i="15"/>
  <c r="BP69" i="15"/>
  <c r="BQ69" i="15"/>
  <c r="BR69" i="15"/>
  <c r="BS69" i="15"/>
  <c r="BT69" i="15"/>
  <c r="BU69" i="15"/>
  <c r="BV69" i="15"/>
  <c r="BW69" i="15"/>
  <c r="BX69" i="15"/>
  <c r="BY69" i="15"/>
  <c r="BZ69" i="15"/>
  <c r="CA69" i="15"/>
  <c r="CB69" i="15"/>
  <c r="CC69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AC70" i="15"/>
  <c r="AD70" i="15"/>
  <c r="AE70" i="15"/>
  <c r="AF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S70" i="15"/>
  <c r="AT70" i="15"/>
  <c r="AU70" i="15"/>
  <c r="AV70" i="15"/>
  <c r="AW70" i="15"/>
  <c r="AX70" i="15"/>
  <c r="AY70" i="15"/>
  <c r="AZ70" i="15"/>
  <c r="BA70" i="15"/>
  <c r="BB70" i="15"/>
  <c r="BC70" i="15"/>
  <c r="BD70" i="15"/>
  <c r="BE70" i="15"/>
  <c r="BF70" i="15"/>
  <c r="BG70" i="15"/>
  <c r="BH70" i="15"/>
  <c r="BI70" i="15"/>
  <c r="BJ70" i="15"/>
  <c r="BK70" i="15"/>
  <c r="BL70" i="15"/>
  <c r="BM70" i="15"/>
  <c r="BN70" i="15"/>
  <c r="BO70" i="15"/>
  <c r="BP70" i="15"/>
  <c r="BQ70" i="15"/>
  <c r="BR70" i="15"/>
  <c r="BS70" i="15"/>
  <c r="BT70" i="15"/>
  <c r="BU70" i="15"/>
  <c r="BV70" i="15"/>
  <c r="BW70" i="15"/>
  <c r="BX70" i="15"/>
  <c r="BY70" i="15"/>
  <c r="BZ70" i="15"/>
  <c r="CA70" i="15"/>
  <c r="CB70" i="15"/>
  <c r="CC70" i="15"/>
  <c r="C69" i="15"/>
  <c r="C70" i="15"/>
  <c r="C68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Z64" i="15"/>
  <c r="AA64" i="15"/>
  <c r="AB64" i="15"/>
  <c r="AC64" i="15"/>
  <c r="AD64" i="15"/>
  <c r="AE64" i="15"/>
  <c r="AF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S64" i="15"/>
  <c r="AT64" i="15"/>
  <c r="AU64" i="15"/>
  <c r="AV64" i="15"/>
  <c r="AW64" i="15"/>
  <c r="AX64" i="15"/>
  <c r="AY64" i="15"/>
  <c r="AZ64" i="15"/>
  <c r="BA64" i="15"/>
  <c r="BB64" i="15"/>
  <c r="BC64" i="15"/>
  <c r="BD64" i="15"/>
  <c r="BE64" i="15"/>
  <c r="BF64" i="15"/>
  <c r="BG64" i="15"/>
  <c r="BH64" i="15"/>
  <c r="BI64" i="15"/>
  <c r="BJ64" i="15"/>
  <c r="BK64" i="15"/>
  <c r="BL64" i="15"/>
  <c r="BM64" i="15"/>
  <c r="BN64" i="15"/>
  <c r="BO64" i="15"/>
  <c r="BP64" i="15"/>
  <c r="BQ64" i="15"/>
  <c r="BR64" i="15"/>
  <c r="BS64" i="15"/>
  <c r="BT64" i="15"/>
  <c r="BU64" i="15"/>
  <c r="BV64" i="15"/>
  <c r="BW64" i="15"/>
  <c r="BX64" i="15"/>
  <c r="BY64" i="15"/>
  <c r="BZ64" i="15"/>
  <c r="CA64" i="15"/>
  <c r="CB64" i="15"/>
  <c r="CC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AC65" i="15"/>
  <c r="AD65" i="15"/>
  <c r="AE65" i="15"/>
  <c r="AF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S65" i="15"/>
  <c r="AT65" i="15"/>
  <c r="AU65" i="15"/>
  <c r="AV65" i="15"/>
  <c r="AW65" i="15"/>
  <c r="AX65" i="15"/>
  <c r="AY65" i="15"/>
  <c r="AZ65" i="15"/>
  <c r="BA65" i="15"/>
  <c r="BB65" i="15"/>
  <c r="BC65" i="15"/>
  <c r="BD65" i="15"/>
  <c r="BE65" i="15"/>
  <c r="BF65" i="15"/>
  <c r="BG65" i="15"/>
  <c r="BH65" i="15"/>
  <c r="BI65" i="15"/>
  <c r="BJ65" i="15"/>
  <c r="BK65" i="15"/>
  <c r="BL65" i="15"/>
  <c r="BM65" i="15"/>
  <c r="BN65" i="15"/>
  <c r="BO65" i="15"/>
  <c r="BP65" i="15"/>
  <c r="BQ65" i="15"/>
  <c r="BR65" i="15"/>
  <c r="BS65" i="15"/>
  <c r="BT65" i="15"/>
  <c r="BU65" i="15"/>
  <c r="BV65" i="15"/>
  <c r="BW65" i="15"/>
  <c r="BX65" i="15"/>
  <c r="BY65" i="15"/>
  <c r="BZ65" i="15"/>
  <c r="CA65" i="15"/>
  <c r="CB65" i="15"/>
  <c r="CC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AC66" i="15"/>
  <c r="AD66" i="15"/>
  <c r="AE66" i="15"/>
  <c r="AF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S66" i="15"/>
  <c r="AT66" i="15"/>
  <c r="AU66" i="15"/>
  <c r="AV66" i="15"/>
  <c r="AW66" i="15"/>
  <c r="AX66" i="15"/>
  <c r="AY66" i="15"/>
  <c r="AZ66" i="15"/>
  <c r="BA66" i="15"/>
  <c r="BB66" i="15"/>
  <c r="BC66" i="15"/>
  <c r="BD66" i="15"/>
  <c r="BE66" i="15"/>
  <c r="BF66" i="15"/>
  <c r="BG66" i="15"/>
  <c r="BH66" i="15"/>
  <c r="BI66" i="15"/>
  <c r="BJ66" i="15"/>
  <c r="BK66" i="15"/>
  <c r="BL66" i="15"/>
  <c r="BM66" i="15"/>
  <c r="BN66" i="15"/>
  <c r="BO66" i="15"/>
  <c r="BP66" i="15"/>
  <c r="BQ66" i="15"/>
  <c r="BR66" i="15"/>
  <c r="BS66" i="15"/>
  <c r="BT66" i="15"/>
  <c r="BU66" i="15"/>
  <c r="BV66" i="15"/>
  <c r="BW66" i="15"/>
  <c r="BX66" i="15"/>
  <c r="BY66" i="15"/>
  <c r="BZ66" i="15"/>
  <c r="CA66" i="15"/>
  <c r="CB66" i="15"/>
  <c r="CC66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AE63" i="15"/>
  <c r="AF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S63" i="15"/>
  <c r="AT63" i="15"/>
  <c r="AU63" i="15"/>
  <c r="AV63" i="15"/>
  <c r="AW63" i="15"/>
  <c r="AX63" i="15"/>
  <c r="AY63" i="15"/>
  <c r="AZ63" i="15"/>
  <c r="BA63" i="15"/>
  <c r="BB63" i="15"/>
  <c r="BC63" i="15"/>
  <c r="BD63" i="15"/>
  <c r="BE63" i="15"/>
  <c r="BF63" i="15"/>
  <c r="BG63" i="15"/>
  <c r="BH63" i="15"/>
  <c r="BI63" i="15"/>
  <c r="BJ63" i="15"/>
  <c r="BK63" i="15"/>
  <c r="BL63" i="15"/>
  <c r="BM63" i="15"/>
  <c r="BN63" i="15"/>
  <c r="BO63" i="15"/>
  <c r="BP63" i="15"/>
  <c r="BQ63" i="15"/>
  <c r="BR63" i="15"/>
  <c r="BS63" i="15"/>
  <c r="BT63" i="15"/>
  <c r="BU63" i="15"/>
  <c r="BV63" i="15"/>
  <c r="BW63" i="15"/>
  <c r="BX63" i="15"/>
  <c r="BY63" i="15"/>
  <c r="BZ63" i="15"/>
  <c r="CA63" i="15"/>
  <c r="CB63" i="15"/>
  <c r="CC63" i="15"/>
  <c r="C63" i="15"/>
  <c r="CF48" i="15"/>
  <c r="CF49" i="15"/>
  <c r="CH49" i="15" s="1"/>
  <c r="CG49" i="15"/>
  <c r="CF50" i="15"/>
  <c r="CG50" i="15"/>
  <c r="CH50" i="15"/>
  <c r="CF51" i="15"/>
  <c r="CF52" i="15"/>
  <c r="CH52" i="15" s="1"/>
  <c r="CG52" i="15"/>
  <c r="CF53" i="15"/>
  <c r="CH53" i="15" s="1"/>
  <c r="CG53" i="15"/>
  <c r="CF59" i="15"/>
  <c r="CH59" i="15" s="1"/>
  <c r="CG59" i="15"/>
  <c r="CG47" i="15"/>
  <c r="CF47" i="15"/>
  <c r="CH47" i="15" s="1"/>
  <c r="CH60" i="15"/>
  <c r="CF61" i="15"/>
  <c r="CF62" i="15"/>
  <c r="CF63" i="15"/>
  <c r="CG63" i="15"/>
  <c r="CF64" i="15"/>
  <c r="CG64" i="15"/>
  <c r="CF65" i="15"/>
  <c r="CG65" i="15"/>
  <c r="CF66" i="15"/>
  <c r="CG66" i="15"/>
  <c r="CF67" i="15"/>
  <c r="CF68" i="15"/>
  <c r="CG68" i="15"/>
  <c r="CF69" i="15"/>
  <c r="CF70" i="15"/>
  <c r="CG70" i="15"/>
  <c r="CF71" i="15"/>
  <c r="CG60" i="15"/>
  <c r="CF60" i="15"/>
  <c r="C234" i="15" l="1"/>
  <c r="C233" i="15"/>
  <c r="C224" i="15"/>
  <c r="C225" i="15"/>
  <c r="C226" i="15"/>
  <c r="C227" i="15"/>
  <c r="C223" i="15"/>
  <c r="C221" i="15"/>
  <c r="D114" i="15"/>
  <c r="G26" i="3" s="1"/>
  <c r="C114" i="15"/>
  <c r="F26" i="3" s="1"/>
  <c r="D111" i="15"/>
  <c r="G23" i="3" s="1"/>
  <c r="C111" i="15"/>
  <c r="F23" i="3" s="1"/>
  <c r="C326" i="15" l="1"/>
  <c r="C250" i="15"/>
  <c r="C305" i="15"/>
  <c r="E202" i="15"/>
  <c r="AK722" i="15"/>
  <c r="AH722" i="15"/>
  <c r="E198" i="15"/>
  <c r="Y722" i="15"/>
  <c r="V722" i="15"/>
  <c r="B204" i="15"/>
  <c r="C16" i="6" s="1"/>
  <c r="CE61" i="15"/>
  <c r="CE80" i="1"/>
  <c r="O817" i="16"/>
  <c r="M817" i="16"/>
  <c r="L817" i="16"/>
  <c r="K817" i="16"/>
  <c r="I817" i="16"/>
  <c r="H817" i="16"/>
  <c r="G817" i="16"/>
  <c r="F817" i="16"/>
  <c r="D817" i="16"/>
  <c r="X815" i="16"/>
  <c r="W815" i="16"/>
  <c r="X813" i="16"/>
  <c r="W813" i="16"/>
  <c r="V813" i="16"/>
  <c r="V815" i="16" s="1"/>
  <c r="U813" i="16"/>
  <c r="U815" i="16" s="1"/>
  <c r="A813" i="16"/>
  <c r="T812" i="16"/>
  <c r="S812" i="16"/>
  <c r="R812" i="16"/>
  <c r="Q812" i="16"/>
  <c r="P812" i="16"/>
  <c r="M812" i="16"/>
  <c r="L812" i="16"/>
  <c r="K812" i="16"/>
  <c r="I812" i="16"/>
  <c r="H812" i="16"/>
  <c r="G812" i="16"/>
  <c r="F812" i="16"/>
  <c r="D812" i="16"/>
  <c r="C812" i="16"/>
  <c r="A812" i="16"/>
  <c r="T811" i="16"/>
  <c r="S811" i="16"/>
  <c r="R811" i="16"/>
  <c r="Q811" i="16"/>
  <c r="P811" i="16"/>
  <c r="M811" i="16"/>
  <c r="L811" i="16"/>
  <c r="K811" i="16"/>
  <c r="I811" i="16"/>
  <c r="H811" i="16"/>
  <c r="G811" i="16"/>
  <c r="F811" i="16"/>
  <c r="D811" i="16"/>
  <c r="C811" i="16"/>
  <c r="A811" i="16"/>
  <c r="T810" i="16"/>
  <c r="S810" i="16"/>
  <c r="R810" i="16"/>
  <c r="Q810" i="16"/>
  <c r="P810" i="16"/>
  <c r="M810" i="16"/>
  <c r="L810" i="16"/>
  <c r="K810" i="16"/>
  <c r="I810" i="16"/>
  <c r="H810" i="16"/>
  <c r="G810" i="16"/>
  <c r="F810" i="16"/>
  <c r="D810" i="16"/>
  <c r="C810" i="16"/>
  <c r="A810" i="16"/>
  <c r="T809" i="16"/>
  <c r="S809" i="16"/>
  <c r="R809" i="16"/>
  <c r="Q809" i="16"/>
  <c r="P809" i="16"/>
  <c r="M809" i="16"/>
  <c r="L809" i="16"/>
  <c r="K809" i="16"/>
  <c r="I809" i="16"/>
  <c r="H809" i="16"/>
  <c r="G809" i="16"/>
  <c r="F809" i="16"/>
  <c r="D809" i="16"/>
  <c r="C809" i="16"/>
  <c r="A809" i="16"/>
  <c r="T808" i="16"/>
  <c r="S808" i="16"/>
  <c r="R808" i="16"/>
  <c r="Q808" i="16"/>
  <c r="P808" i="16"/>
  <c r="M808" i="16"/>
  <c r="L808" i="16"/>
  <c r="K808" i="16"/>
  <c r="I808" i="16"/>
  <c r="H808" i="16"/>
  <c r="G808" i="16"/>
  <c r="F808" i="16"/>
  <c r="D808" i="16"/>
  <c r="C808" i="16"/>
  <c r="A808" i="16"/>
  <c r="T807" i="16"/>
  <c r="S807" i="16"/>
  <c r="R807" i="16"/>
  <c r="Q807" i="16"/>
  <c r="P807" i="16"/>
  <c r="M807" i="16"/>
  <c r="L807" i="16"/>
  <c r="K807" i="16"/>
  <c r="I807" i="16"/>
  <c r="H807" i="16"/>
  <c r="G807" i="16"/>
  <c r="F807" i="16"/>
  <c r="D807" i="16"/>
  <c r="C807" i="16"/>
  <c r="A807" i="16"/>
  <c r="T806" i="16"/>
  <c r="S806" i="16"/>
  <c r="R806" i="16"/>
  <c r="Q806" i="16"/>
  <c r="P806" i="16"/>
  <c r="M806" i="16"/>
  <c r="L806" i="16"/>
  <c r="K806" i="16"/>
  <c r="I806" i="16"/>
  <c r="H806" i="16"/>
  <c r="G806" i="16"/>
  <c r="F806" i="16"/>
  <c r="D806" i="16"/>
  <c r="C806" i="16"/>
  <c r="A806" i="16"/>
  <c r="T805" i="16"/>
  <c r="S805" i="16"/>
  <c r="R805" i="16"/>
  <c r="Q805" i="16"/>
  <c r="P805" i="16"/>
  <c r="M805" i="16"/>
  <c r="L805" i="16"/>
  <c r="K805" i="16"/>
  <c r="I805" i="16"/>
  <c r="H805" i="16"/>
  <c r="G805" i="16"/>
  <c r="F805" i="16"/>
  <c r="D805" i="16"/>
  <c r="C805" i="16"/>
  <c r="A805" i="16"/>
  <c r="T804" i="16"/>
  <c r="S804" i="16"/>
  <c r="R804" i="16"/>
  <c r="Q804" i="16"/>
  <c r="P804" i="16"/>
  <c r="M804" i="16"/>
  <c r="L804" i="16"/>
  <c r="K804" i="16"/>
  <c r="I804" i="16"/>
  <c r="H804" i="16"/>
  <c r="G804" i="16"/>
  <c r="F804" i="16"/>
  <c r="D804" i="16"/>
  <c r="C804" i="16"/>
  <c r="A804" i="16"/>
  <c r="T803" i="16"/>
  <c r="S803" i="16"/>
  <c r="R803" i="16"/>
  <c r="Q803" i="16"/>
  <c r="P803" i="16"/>
  <c r="M803" i="16"/>
  <c r="L803" i="16"/>
  <c r="K803" i="16"/>
  <c r="I803" i="16"/>
  <c r="H803" i="16"/>
  <c r="G803" i="16"/>
  <c r="F803" i="16"/>
  <c r="D803" i="16"/>
  <c r="C803" i="16"/>
  <c r="A803" i="16"/>
  <c r="T802" i="16"/>
  <c r="S802" i="16"/>
  <c r="R802" i="16"/>
  <c r="Q802" i="16"/>
  <c r="P802" i="16"/>
  <c r="M802" i="16"/>
  <c r="L802" i="16"/>
  <c r="K802" i="16"/>
  <c r="I802" i="16"/>
  <c r="H802" i="16"/>
  <c r="G802" i="16"/>
  <c r="F802" i="16"/>
  <c r="D802" i="16"/>
  <c r="C802" i="16"/>
  <c r="A802" i="16"/>
  <c r="T801" i="16"/>
  <c r="S801" i="16"/>
  <c r="R801" i="16"/>
  <c r="Q801" i="16"/>
  <c r="P801" i="16"/>
  <c r="M801" i="16"/>
  <c r="L801" i="16"/>
  <c r="K801" i="16"/>
  <c r="I801" i="16"/>
  <c r="H801" i="16"/>
  <c r="G801" i="16"/>
  <c r="F801" i="16"/>
  <c r="D801" i="16"/>
  <c r="C801" i="16"/>
  <c r="A801" i="16"/>
  <c r="T800" i="16"/>
  <c r="S800" i="16"/>
  <c r="R800" i="16"/>
  <c r="Q800" i="16"/>
  <c r="P800" i="16"/>
  <c r="M800" i="16"/>
  <c r="L800" i="16"/>
  <c r="K800" i="16"/>
  <c r="I800" i="16"/>
  <c r="H800" i="16"/>
  <c r="G800" i="16"/>
  <c r="F800" i="16"/>
  <c r="D800" i="16"/>
  <c r="C800" i="16"/>
  <c r="A800" i="16"/>
  <c r="T799" i="16"/>
  <c r="S799" i="16"/>
  <c r="R799" i="16"/>
  <c r="Q799" i="16"/>
  <c r="P799" i="16"/>
  <c r="M799" i="16"/>
  <c r="L799" i="16"/>
  <c r="K799" i="16"/>
  <c r="I799" i="16"/>
  <c r="H799" i="16"/>
  <c r="G799" i="16"/>
  <c r="F799" i="16"/>
  <c r="D799" i="16"/>
  <c r="C799" i="16"/>
  <c r="A799" i="16"/>
  <c r="T798" i="16"/>
  <c r="S798" i="16"/>
  <c r="R798" i="16"/>
  <c r="Q798" i="16"/>
  <c r="P798" i="16"/>
  <c r="M798" i="16"/>
  <c r="L798" i="16"/>
  <c r="K798" i="16"/>
  <c r="I798" i="16"/>
  <c r="H798" i="16"/>
  <c r="G798" i="16"/>
  <c r="F798" i="16"/>
  <c r="D798" i="16"/>
  <c r="C798" i="16"/>
  <c r="A798" i="16"/>
  <c r="T797" i="16"/>
  <c r="S797" i="16"/>
  <c r="R797" i="16"/>
  <c r="Q797" i="16"/>
  <c r="P797" i="16"/>
  <c r="M797" i="16"/>
  <c r="L797" i="16"/>
  <c r="K797" i="16"/>
  <c r="I797" i="16"/>
  <c r="H797" i="16"/>
  <c r="G797" i="16"/>
  <c r="F797" i="16"/>
  <c r="D797" i="16"/>
  <c r="C797" i="16"/>
  <c r="A797" i="16"/>
  <c r="T796" i="16"/>
  <c r="S796" i="16"/>
  <c r="R796" i="16"/>
  <c r="Q796" i="16"/>
  <c r="P796" i="16"/>
  <c r="M796" i="16"/>
  <c r="L796" i="16"/>
  <c r="K796" i="16"/>
  <c r="I796" i="16"/>
  <c r="H796" i="16"/>
  <c r="G796" i="16"/>
  <c r="F796" i="16"/>
  <c r="D796" i="16"/>
  <c r="C796" i="16"/>
  <c r="A796" i="16"/>
  <c r="T795" i="16"/>
  <c r="S795" i="16"/>
  <c r="R795" i="16"/>
  <c r="Q795" i="16"/>
  <c r="P795" i="16"/>
  <c r="M795" i="16"/>
  <c r="L795" i="16"/>
  <c r="K795" i="16"/>
  <c r="I795" i="16"/>
  <c r="H795" i="16"/>
  <c r="G795" i="16"/>
  <c r="F795" i="16"/>
  <c r="D795" i="16"/>
  <c r="C795" i="16"/>
  <c r="A795" i="16"/>
  <c r="T794" i="16"/>
  <c r="S794" i="16"/>
  <c r="R794" i="16"/>
  <c r="Q794" i="16"/>
  <c r="P794" i="16"/>
  <c r="M794" i="16"/>
  <c r="L794" i="16"/>
  <c r="K794" i="16"/>
  <c r="I794" i="16"/>
  <c r="H794" i="16"/>
  <c r="G794" i="16"/>
  <c r="F794" i="16"/>
  <c r="D794" i="16"/>
  <c r="C794" i="16"/>
  <c r="A794" i="16"/>
  <c r="T793" i="16"/>
  <c r="S793" i="16"/>
  <c r="R793" i="16"/>
  <c r="Q793" i="16"/>
  <c r="P793" i="16"/>
  <c r="M793" i="16"/>
  <c r="L793" i="16"/>
  <c r="K793" i="16"/>
  <c r="I793" i="16"/>
  <c r="H793" i="16"/>
  <c r="G793" i="16"/>
  <c r="F793" i="16"/>
  <c r="D793" i="16"/>
  <c r="C793" i="16"/>
  <c r="A793" i="16"/>
  <c r="T792" i="16"/>
  <c r="S792" i="16"/>
  <c r="R792" i="16"/>
  <c r="Q792" i="16"/>
  <c r="P792" i="16"/>
  <c r="M792" i="16"/>
  <c r="L792" i="16"/>
  <c r="K792" i="16"/>
  <c r="I792" i="16"/>
  <c r="H792" i="16"/>
  <c r="G792" i="16"/>
  <c r="F792" i="16"/>
  <c r="D792" i="16"/>
  <c r="C792" i="16"/>
  <c r="A792" i="16"/>
  <c r="T791" i="16"/>
  <c r="S791" i="16"/>
  <c r="R791" i="16"/>
  <c r="Q791" i="16"/>
  <c r="P791" i="16"/>
  <c r="M791" i="16"/>
  <c r="L791" i="16"/>
  <c r="K791" i="16"/>
  <c r="I791" i="16"/>
  <c r="H791" i="16"/>
  <c r="G791" i="16"/>
  <c r="F791" i="16"/>
  <c r="D791" i="16"/>
  <c r="C791" i="16"/>
  <c r="A791" i="16"/>
  <c r="T790" i="16"/>
  <c r="S790" i="16"/>
  <c r="R790" i="16"/>
  <c r="Q790" i="16"/>
  <c r="P790" i="16"/>
  <c r="M790" i="16"/>
  <c r="L790" i="16"/>
  <c r="K790" i="16"/>
  <c r="I790" i="16"/>
  <c r="H790" i="16"/>
  <c r="G790" i="16"/>
  <c r="F790" i="16"/>
  <c r="D790" i="16"/>
  <c r="C790" i="16"/>
  <c r="A790" i="16"/>
  <c r="T789" i="16"/>
  <c r="S789" i="16"/>
  <c r="R789" i="16"/>
  <c r="Q789" i="16"/>
  <c r="P789" i="16"/>
  <c r="M789" i="16"/>
  <c r="L789" i="16"/>
  <c r="K789" i="16"/>
  <c r="I789" i="16"/>
  <c r="H789" i="16"/>
  <c r="G789" i="16"/>
  <c r="F789" i="16"/>
  <c r="D789" i="16"/>
  <c r="C789" i="16"/>
  <c r="A789" i="16"/>
  <c r="T788" i="16"/>
  <c r="S788" i="16"/>
  <c r="R788" i="16"/>
  <c r="Q788" i="16"/>
  <c r="P788" i="16"/>
  <c r="M788" i="16"/>
  <c r="L788" i="16"/>
  <c r="K788" i="16"/>
  <c r="I788" i="16"/>
  <c r="H788" i="16"/>
  <c r="G788" i="16"/>
  <c r="F788" i="16"/>
  <c r="D788" i="16"/>
  <c r="C788" i="16"/>
  <c r="B788" i="16"/>
  <c r="A788" i="16"/>
  <c r="T787" i="16"/>
  <c r="S787" i="16"/>
  <c r="R787" i="16"/>
  <c r="Q787" i="16"/>
  <c r="P787" i="16"/>
  <c r="M787" i="16"/>
  <c r="L787" i="16"/>
  <c r="K787" i="16"/>
  <c r="I787" i="16"/>
  <c r="H787" i="16"/>
  <c r="G787" i="16"/>
  <c r="F787" i="16"/>
  <c r="D787" i="16"/>
  <c r="C787" i="16"/>
  <c r="A787" i="16"/>
  <c r="T786" i="16"/>
  <c r="S786" i="16"/>
  <c r="R786" i="16"/>
  <c r="Q786" i="16"/>
  <c r="P786" i="16"/>
  <c r="M786" i="16"/>
  <c r="L786" i="16"/>
  <c r="K786" i="16"/>
  <c r="I786" i="16"/>
  <c r="H786" i="16"/>
  <c r="G786" i="16"/>
  <c r="F786" i="16"/>
  <c r="D786" i="16"/>
  <c r="C786" i="16"/>
  <c r="A786" i="16"/>
  <c r="T785" i="16"/>
  <c r="S785" i="16"/>
  <c r="R785" i="16"/>
  <c r="Q785" i="16"/>
  <c r="P785" i="16"/>
  <c r="M785" i="16"/>
  <c r="L785" i="16"/>
  <c r="K785" i="16"/>
  <c r="I785" i="16"/>
  <c r="H785" i="16"/>
  <c r="G785" i="16"/>
  <c r="F785" i="16"/>
  <c r="D785" i="16"/>
  <c r="C785" i="16"/>
  <c r="A785" i="16"/>
  <c r="T784" i="16"/>
  <c r="S784" i="16"/>
  <c r="R784" i="16"/>
  <c r="Q784" i="16"/>
  <c r="P784" i="16"/>
  <c r="M784" i="16"/>
  <c r="L784" i="16"/>
  <c r="K784" i="16"/>
  <c r="I784" i="16"/>
  <c r="H784" i="16"/>
  <c r="G784" i="16"/>
  <c r="F784" i="16"/>
  <c r="D784" i="16"/>
  <c r="C784" i="16"/>
  <c r="B784" i="16"/>
  <c r="A784" i="16"/>
  <c r="T783" i="16"/>
  <c r="S783" i="16"/>
  <c r="R783" i="16"/>
  <c r="Q783" i="16"/>
  <c r="P783" i="16"/>
  <c r="M783" i="16"/>
  <c r="L783" i="16"/>
  <c r="K783" i="16"/>
  <c r="I783" i="16"/>
  <c r="H783" i="16"/>
  <c r="G783" i="16"/>
  <c r="F783" i="16"/>
  <c r="D783" i="16"/>
  <c r="C783" i="16"/>
  <c r="B783" i="16"/>
  <c r="A783" i="16"/>
  <c r="T782" i="16"/>
  <c r="S782" i="16"/>
  <c r="R782" i="16"/>
  <c r="Q782" i="16"/>
  <c r="P782" i="16"/>
  <c r="M782" i="16"/>
  <c r="L782" i="16"/>
  <c r="K782" i="16"/>
  <c r="I782" i="16"/>
  <c r="H782" i="16"/>
  <c r="G782" i="16"/>
  <c r="F782" i="16"/>
  <c r="D782" i="16"/>
  <c r="C782" i="16"/>
  <c r="B782" i="16"/>
  <c r="A782" i="16"/>
  <c r="T781" i="16"/>
  <c r="S781" i="16"/>
  <c r="R781" i="16"/>
  <c r="Q781" i="16"/>
  <c r="P781" i="16"/>
  <c r="M781" i="16"/>
  <c r="L781" i="16"/>
  <c r="K781" i="16"/>
  <c r="I781" i="16"/>
  <c r="H781" i="16"/>
  <c r="G781" i="16"/>
  <c r="F781" i="16"/>
  <c r="D781" i="16"/>
  <c r="C781" i="16"/>
  <c r="A781" i="16"/>
  <c r="T780" i="16"/>
  <c r="S780" i="16"/>
  <c r="R780" i="16"/>
  <c r="Q780" i="16"/>
  <c r="P780" i="16"/>
  <c r="M780" i="16"/>
  <c r="L780" i="16"/>
  <c r="K780" i="16"/>
  <c r="I780" i="16"/>
  <c r="H780" i="16"/>
  <c r="G780" i="16"/>
  <c r="F780" i="16"/>
  <c r="D780" i="16"/>
  <c r="C780" i="16"/>
  <c r="A780" i="16"/>
  <c r="T779" i="16"/>
  <c r="S779" i="16"/>
  <c r="R779" i="16"/>
  <c r="Q779" i="16"/>
  <c r="P779" i="16"/>
  <c r="O779" i="16"/>
  <c r="M779" i="16"/>
  <c r="L779" i="16"/>
  <c r="K779" i="16"/>
  <c r="I779" i="16"/>
  <c r="H779" i="16"/>
  <c r="G779" i="16"/>
  <c r="F779" i="16"/>
  <c r="D779" i="16"/>
  <c r="C779" i="16"/>
  <c r="A779" i="16"/>
  <c r="T778" i="16"/>
  <c r="S778" i="16"/>
  <c r="R778" i="16"/>
  <c r="Q778" i="16"/>
  <c r="P778" i="16"/>
  <c r="O778" i="16"/>
  <c r="M778" i="16"/>
  <c r="L778" i="16"/>
  <c r="K778" i="16"/>
  <c r="I778" i="16"/>
  <c r="H778" i="16"/>
  <c r="G778" i="16"/>
  <c r="F778" i="16"/>
  <c r="D778" i="16"/>
  <c r="C778" i="16"/>
  <c r="B778" i="16"/>
  <c r="A778" i="16"/>
  <c r="T777" i="16"/>
  <c r="S777" i="16"/>
  <c r="R777" i="16"/>
  <c r="Q777" i="16"/>
  <c r="P777" i="16"/>
  <c r="O777" i="16"/>
  <c r="M777" i="16"/>
  <c r="L777" i="16"/>
  <c r="K777" i="16"/>
  <c r="I777" i="16"/>
  <c r="H777" i="16"/>
  <c r="G777" i="16"/>
  <c r="F777" i="16"/>
  <c r="D777" i="16"/>
  <c r="C777" i="16"/>
  <c r="B777" i="16"/>
  <c r="A777" i="16"/>
  <c r="T776" i="16"/>
  <c r="S776" i="16"/>
  <c r="R776" i="16"/>
  <c r="Q776" i="16"/>
  <c r="P776" i="16"/>
  <c r="O776" i="16"/>
  <c r="M776" i="16"/>
  <c r="L776" i="16"/>
  <c r="K776" i="16"/>
  <c r="I776" i="16"/>
  <c r="H776" i="16"/>
  <c r="G776" i="16"/>
  <c r="F776" i="16"/>
  <c r="D776" i="16"/>
  <c r="C776" i="16"/>
  <c r="B776" i="16"/>
  <c r="A776" i="16"/>
  <c r="T775" i="16"/>
  <c r="S775" i="16"/>
  <c r="R775" i="16"/>
  <c r="Q775" i="16"/>
  <c r="P775" i="16"/>
  <c r="O775" i="16"/>
  <c r="M775" i="16"/>
  <c r="L775" i="16"/>
  <c r="K775" i="16"/>
  <c r="I775" i="16"/>
  <c r="H775" i="16"/>
  <c r="G775" i="16"/>
  <c r="F775" i="16"/>
  <c r="D775" i="16"/>
  <c r="C775" i="16"/>
  <c r="B775" i="16"/>
  <c r="A775" i="16"/>
  <c r="T774" i="16"/>
  <c r="S774" i="16"/>
  <c r="R774" i="16"/>
  <c r="Q774" i="16"/>
  <c r="P774" i="16"/>
  <c r="O774" i="16"/>
  <c r="M774" i="16"/>
  <c r="L774" i="16"/>
  <c r="K774" i="16"/>
  <c r="I774" i="16"/>
  <c r="H774" i="16"/>
  <c r="G774" i="16"/>
  <c r="F774" i="16"/>
  <c r="D774" i="16"/>
  <c r="C774" i="16"/>
  <c r="B774" i="16"/>
  <c r="A774" i="16"/>
  <c r="T773" i="16"/>
  <c r="S773" i="16"/>
  <c r="R773" i="16"/>
  <c r="Q773" i="16"/>
  <c r="P773" i="16"/>
  <c r="O773" i="16"/>
  <c r="M773" i="16"/>
  <c r="L773" i="16"/>
  <c r="K773" i="16"/>
  <c r="I773" i="16"/>
  <c r="H773" i="16"/>
  <c r="G773" i="16"/>
  <c r="F773" i="16"/>
  <c r="D773" i="16"/>
  <c r="C773" i="16"/>
  <c r="B773" i="16"/>
  <c r="A773" i="16"/>
  <c r="T772" i="16"/>
  <c r="S772" i="16"/>
  <c r="R772" i="16"/>
  <c r="Q772" i="16"/>
  <c r="P772" i="16"/>
  <c r="O772" i="16"/>
  <c r="M772" i="16"/>
  <c r="L772" i="16"/>
  <c r="K772" i="16"/>
  <c r="I772" i="16"/>
  <c r="H772" i="16"/>
  <c r="G772" i="16"/>
  <c r="F772" i="16"/>
  <c r="D772" i="16"/>
  <c r="C772" i="16"/>
  <c r="B772" i="16"/>
  <c r="A772" i="16"/>
  <c r="T771" i="16"/>
  <c r="S771" i="16"/>
  <c r="R771" i="16"/>
  <c r="Q771" i="16"/>
  <c r="P771" i="16"/>
  <c r="O771" i="16"/>
  <c r="M771" i="16"/>
  <c r="L771" i="16"/>
  <c r="K771" i="16"/>
  <c r="I771" i="16"/>
  <c r="H771" i="16"/>
  <c r="G771" i="16"/>
  <c r="F771" i="16"/>
  <c r="D771" i="16"/>
  <c r="C771" i="16"/>
  <c r="B771" i="16"/>
  <c r="A771" i="16"/>
  <c r="T770" i="16"/>
  <c r="S770" i="16"/>
  <c r="R770" i="16"/>
  <c r="Q770" i="16"/>
  <c r="P770" i="16"/>
  <c r="O770" i="16"/>
  <c r="M770" i="16"/>
  <c r="L770" i="16"/>
  <c r="K770" i="16"/>
  <c r="I770" i="16"/>
  <c r="H770" i="16"/>
  <c r="G770" i="16"/>
  <c r="F770" i="16"/>
  <c r="D770" i="16"/>
  <c r="C770" i="16"/>
  <c r="B770" i="16"/>
  <c r="A770" i="16"/>
  <c r="T769" i="16"/>
  <c r="S769" i="16"/>
  <c r="R769" i="16"/>
  <c r="Q769" i="16"/>
  <c r="P769" i="16"/>
  <c r="O769" i="16"/>
  <c r="M769" i="16"/>
  <c r="L769" i="16"/>
  <c r="K769" i="16"/>
  <c r="I769" i="16"/>
  <c r="H769" i="16"/>
  <c r="G769" i="16"/>
  <c r="F769" i="16"/>
  <c r="D769" i="16"/>
  <c r="C769" i="16"/>
  <c r="B769" i="16"/>
  <c r="A769" i="16"/>
  <c r="T768" i="16"/>
  <c r="S768" i="16"/>
  <c r="R768" i="16"/>
  <c r="Q768" i="16"/>
  <c r="P768" i="16"/>
  <c r="O768" i="16"/>
  <c r="M768" i="16"/>
  <c r="L768" i="16"/>
  <c r="K768" i="16"/>
  <c r="I768" i="16"/>
  <c r="H768" i="16"/>
  <c r="G768" i="16"/>
  <c r="F768" i="16"/>
  <c r="D768" i="16"/>
  <c r="C768" i="16"/>
  <c r="B768" i="16"/>
  <c r="A768" i="16"/>
  <c r="T767" i="16"/>
  <c r="S767" i="16"/>
  <c r="R767" i="16"/>
  <c r="Q767" i="16"/>
  <c r="P767" i="16"/>
  <c r="O767" i="16"/>
  <c r="M767" i="16"/>
  <c r="L767" i="16"/>
  <c r="K767" i="16"/>
  <c r="I767" i="16"/>
  <c r="H767" i="16"/>
  <c r="G767" i="16"/>
  <c r="F767" i="16"/>
  <c r="D767" i="16"/>
  <c r="C767" i="16"/>
  <c r="B767" i="16"/>
  <c r="A767" i="16"/>
  <c r="T766" i="16"/>
  <c r="S766" i="16"/>
  <c r="R766" i="16"/>
  <c r="Q766" i="16"/>
  <c r="P766" i="16"/>
  <c r="O766" i="16"/>
  <c r="M766" i="16"/>
  <c r="L766" i="16"/>
  <c r="K766" i="16"/>
  <c r="I766" i="16"/>
  <c r="H766" i="16"/>
  <c r="G766" i="16"/>
  <c r="F766" i="16"/>
  <c r="D766" i="16"/>
  <c r="C766" i="16"/>
  <c r="B766" i="16"/>
  <c r="A766" i="16"/>
  <c r="T765" i="16"/>
  <c r="S765" i="16"/>
  <c r="R765" i="16"/>
  <c r="Q765" i="16"/>
  <c r="P765" i="16"/>
  <c r="O765" i="16"/>
  <c r="M765" i="16"/>
  <c r="L765" i="16"/>
  <c r="K765" i="16"/>
  <c r="I765" i="16"/>
  <c r="H765" i="16"/>
  <c r="G765" i="16"/>
  <c r="F765" i="16"/>
  <c r="D765" i="16"/>
  <c r="C765" i="16"/>
  <c r="B765" i="16"/>
  <c r="A765" i="16"/>
  <c r="T764" i="16"/>
  <c r="S764" i="16"/>
  <c r="R764" i="16"/>
  <c r="Q764" i="16"/>
  <c r="P764" i="16"/>
  <c r="O764" i="16"/>
  <c r="M764" i="16"/>
  <c r="L764" i="16"/>
  <c r="K764" i="16"/>
  <c r="I764" i="16"/>
  <c r="H764" i="16"/>
  <c r="G764" i="16"/>
  <c r="F764" i="16"/>
  <c r="D764" i="16"/>
  <c r="C764" i="16"/>
  <c r="B764" i="16"/>
  <c r="A764" i="16"/>
  <c r="T763" i="16"/>
  <c r="S763" i="16"/>
  <c r="R763" i="16"/>
  <c r="Q763" i="16"/>
  <c r="P763" i="16"/>
  <c r="O763" i="16"/>
  <c r="M763" i="16"/>
  <c r="L763" i="16"/>
  <c r="K763" i="16"/>
  <c r="I763" i="16"/>
  <c r="H763" i="16"/>
  <c r="G763" i="16"/>
  <c r="F763" i="16"/>
  <c r="D763" i="16"/>
  <c r="C763" i="16"/>
  <c r="B763" i="16"/>
  <c r="A763" i="16"/>
  <c r="T762" i="16"/>
  <c r="S762" i="16"/>
  <c r="R762" i="16"/>
  <c r="Q762" i="16"/>
  <c r="P762" i="16"/>
  <c r="O762" i="16"/>
  <c r="M762" i="16"/>
  <c r="L762" i="16"/>
  <c r="K762" i="16"/>
  <c r="I762" i="16"/>
  <c r="H762" i="16"/>
  <c r="G762" i="16"/>
  <c r="F762" i="16"/>
  <c r="D762" i="16"/>
  <c r="C762" i="16"/>
  <c r="B762" i="16"/>
  <c r="A762" i="16"/>
  <c r="T761" i="16"/>
  <c r="S761" i="16"/>
  <c r="R761" i="16"/>
  <c r="Q761" i="16"/>
  <c r="P761" i="16"/>
  <c r="O761" i="16"/>
  <c r="M761" i="16"/>
  <c r="L761" i="16"/>
  <c r="K761" i="16"/>
  <c r="I761" i="16"/>
  <c r="H761" i="16"/>
  <c r="G761" i="16"/>
  <c r="F761" i="16"/>
  <c r="D761" i="16"/>
  <c r="C761" i="16"/>
  <c r="B761" i="16"/>
  <c r="A761" i="16"/>
  <c r="T760" i="16"/>
  <c r="S760" i="16"/>
  <c r="R760" i="16"/>
  <c r="Q760" i="16"/>
  <c r="P760" i="16"/>
  <c r="O760" i="16"/>
  <c r="M760" i="16"/>
  <c r="L760" i="16"/>
  <c r="K760" i="16"/>
  <c r="I760" i="16"/>
  <c r="H760" i="16"/>
  <c r="G760" i="16"/>
  <c r="F760" i="16"/>
  <c r="D760" i="16"/>
  <c r="C760" i="16"/>
  <c r="B760" i="16"/>
  <c r="A760" i="16"/>
  <c r="T759" i="16"/>
  <c r="S759" i="16"/>
  <c r="R759" i="16"/>
  <c r="Q759" i="16"/>
  <c r="P759" i="16"/>
  <c r="O759" i="16"/>
  <c r="M759" i="16"/>
  <c r="L759" i="16"/>
  <c r="K759" i="16"/>
  <c r="I759" i="16"/>
  <c r="H759" i="16"/>
  <c r="G759" i="16"/>
  <c r="F759" i="16"/>
  <c r="D759" i="16"/>
  <c r="C759" i="16"/>
  <c r="A759" i="16"/>
  <c r="T758" i="16"/>
  <c r="S758" i="16"/>
  <c r="R758" i="16"/>
  <c r="Q758" i="16"/>
  <c r="P758" i="16"/>
  <c r="O758" i="16"/>
  <c r="M758" i="16"/>
  <c r="L758" i="16"/>
  <c r="K758" i="16"/>
  <c r="I758" i="16"/>
  <c r="H758" i="16"/>
  <c r="G758" i="16"/>
  <c r="F758" i="16"/>
  <c r="D758" i="16"/>
  <c r="C758" i="16"/>
  <c r="B758" i="16"/>
  <c r="A758" i="16"/>
  <c r="T757" i="16"/>
  <c r="S757" i="16"/>
  <c r="R757" i="16"/>
  <c r="Q757" i="16"/>
  <c r="P757" i="16"/>
  <c r="O757" i="16"/>
  <c r="M757" i="16"/>
  <c r="L757" i="16"/>
  <c r="K757" i="16"/>
  <c r="I757" i="16"/>
  <c r="H757" i="16"/>
  <c r="G757" i="16"/>
  <c r="F757" i="16"/>
  <c r="D757" i="16"/>
  <c r="C757" i="16"/>
  <c r="B757" i="16"/>
  <c r="A757" i="16"/>
  <c r="T756" i="16"/>
  <c r="S756" i="16"/>
  <c r="R756" i="16"/>
  <c r="Q756" i="16"/>
  <c r="P756" i="16"/>
  <c r="O756" i="16"/>
  <c r="M756" i="16"/>
  <c r="L756" i="16"/>
  <c r="K756" i="16"/>
  <c r="I756" i="16"/>
  <c r="H756" i="16"/>
  <c r="G756" i="16"/>
  <c r="F756" i="16"/>
  <c r="D756" i="16"/>
  <c r="C756" i="16"/>
  <c r="B756" i="16"/>
  <c r="A756" i="16"/>
  <c r="T755" i="16"/>
  <c r="S755" i="16"/>
  <c r="R755" i="16"/>
  <c r="Q755" i="16"/>
  <c r="P755" i="16"/>
  <c r="O755" i="16"/>
  <c r="M755" i="16"/>
  <c r="L755" i="16"/>
  <c r="K755" i="16"/>
  <c r="I755" i="16"/>
  <c r="H755" i="16"/>
  <c r="G755" i="16"/>
  <c r="F755" i="16"/>
  <c r="D755" i="16"/>
  <c r="C755" i="16"/>
  <c r="B755" i="16"/>
  <c r="A755" i="16"/>
  <c r="T754" i="16"/>
  <c r="S754" i="16"/>
  <c r="R754" i="16"/>
  <c r="Q754" i="16"/>
  <c r="P754" i="16"/>
  <c r="O754" i="16"/>
  <c r="M754" i="16"/>
  <c r="L754" i="16"/>
  <c r="K754" i="16"/>
  <c r="I754" i="16"/>
  <c r="H754" i="16"/>
  <c r="G754" i="16"/>
  <c r="F754" i="16"/>
  <c r="D754" i="16"/>
  <c r="C754" i="16"/>
  <c r="B754" i="16"/>
  <c r="A754" i="16"/>
  <c r="T753" i="16"/>
  <c r="S753" i="16"/>
  <c r="R753" i="16"/>
  <c r="Q753" i="16"/>
  <c r="P753" i="16"/>
  <c r="O753" i="16"/>
  <c r="M753" i="16"/>
  <c r="L753" i="16"/>
  <c r="K753" i="16"/>
  <c r="I753" i="16"/>
  <c r="H753" i="16"/>
  <c r="G753" i="16"/>
  <c r="F753" i="16"/>
  <c r="D753" i="16"/>
  <c r="C753" i="16"/>
  <c r="B753" i="16"/>
  <c r="A753" i="16"/>
  <c r="T752" i="16"/>
  <c r="S752" i="16"/>
  <c r="R752" i="16"/>
  <c r="Q752" i="16"/>
  <c r="P752" i="16"/>
  <c r="O752" i="16"/>
  <c r="M752" i="16"/>
  <c r="L752" i="16"/>
  <c r="K752" i="16"/>
  <c r="I752" i="16"/>
  <c r="H752" i="16"/>
  <c r="G752" i="16"/>
  <c r="F752" i="16"/>
  <c r="D752" i="16"/>
  <c r="C752" i="16"/>
  <c r="B752" i="16"/>
  <c r="A752" i="16"/>
  <c r="T751" i="16"/>
  <c r="S751" i="16"/>
  <c r="R751" i="16"/>
  <c r="Q751" i="16"/>
  <c r="P751" i="16"/>
  <c r="O751" i="16"/>
  <c r="M751" i="16"/>
  <c r="L751" i="16"/>
  <c r="K751" i="16"/>
  <c r="I751" i="16"/>
  <c r="H751" i="16"/>
  <c r="G751" i="16"/>
  <c r="F751" i="16"/>
  <c r="D751" i="16"/>
  <c r="C751" i="16"/>
  <c r="A751" i="16"/>
  <c r="T750" i="16"/>
  <c r="S750" i="16"/>
  <c r="R750" i="16"/>
  <c r="Q750" i="16"/>
  <c r="P750" i="16"/>
  <c r="O750" i="16"/>
  <c r="M750" i="16"/>
  <c r="L750" i="16"/>
  <c r="K750" i="16"/>
  <c r="I750" i="16"/>
  <c r="H750" i="16"/>
  <c r="G750" i="16"/>
  <c r="F750" i="16"/>
  <c r="D750" i="16"/>
  <c r="C750" i="16"/>
  <c r="A750" i="16"/>
  <c r="T749" i="16"/>
  <c r="S749" i="16"/>
  <c r="R749" i="16"/>
  <c r="Q749" i="16"/>
  <c r="P749" i="16"/>
  <c r="O749" i="16"/>
  <c r="M749" i="16"/>
  <c r="L749" i="16"/>
  <c r="K749" i="16"/>
  <c r="I749" i="16"/>
  <c r="H749" i="16"/>
  <c r="G749" i="16"/>
  <c r="F749" i="16"/>
  <c r="D749" i="16"/>
  <c r="C749" i="16"/>
  <c r="B749" i="16"/>
  <c r="A749" i="16"/>
  <c r="T748" i="16"/>
  <c r="S748" i="16"/>
  <c r="R748" i="16"/>
  <c r="Q748" i="16"/>
  <c r="P748" i="16"/>
  <c r="O748" i="16"/>
  <c r="M748" i="16"/>
  <c r="L748" i="16"/>
  <c r="K748" i="16"/>
  <c r="I748" i="16"/>
  <c r="H748" i="16"/>
  <c r="G748" i="16"/>
  <c r="F748" i="16"/>
  <c r="D748" i="16"/>
  <c r="C748" i="16"/>
  <c r="B748" i="16"/>
  <c r="A748" i="16"/>
  <c r="T747" i="16"/>
  <c r="S747" i="16"/>
  <c r="R747" i="16"/>
  <c r="Q747" i="16"/>
  <c r="P747" i="16"/>
  <c r="O747" i="16"/>
  <c r="M747" i="16"/>
  <c r="L747" i="16"/>
  <c r="K747" i="16"/>
  <c r="I747" i="16"/>
  <c r="H747" i="16"/>
  <c r="G747" i="16"/>
  <c r="F747" i="16"/>
  <c r="D747" i="16"/>
  <c r="C747" i="16"/>
  <c r="B747" i="16"/>
  <c r="A747" i="16"/>
  <c r="T746" i="16"/>
  <c r="S746" i="16"/>
  <c r="R746" i="16"/>
  <c r="Q746" i="16"/>
  <c r="P746" i="16"/>
  <c r="O746" i="16"/>
  <c r="M746" i="16"/>
  <c r="L746" i="16"/>
  <c r="K746" i="16"/>
  <c r="I746" i="16"/>
  <c r="H746" i="16"/>
  <c r="G746" i="16"/>
  <c r="F746" i="16"/>
  <c r="D746" i="16"/>
  <c r="C746" i="16"/>
  <c r="B746" i="16"/>
  <c r="A746" i="16"/>
  <c r="T745" i="16"/>
  <c r="S745" i="16"/>
  <c r="R745" i="16"/>
  <c r="Q745" i="16"/>
  <c r="P745" i="16"/>
  <c r="O745" i="16"/>
  <c r="M745" i="16"/>
  <c r="L745" i="16"/>
  <c r="K745" i="16"/>
  <c r="I745" i="16"/>
  <c r="H745" i="16"/>
  <c r="G745" i="16"/>
  <c r="F745" i="16"/>
  <c r="D745" i="16"/>
  <c r="C745" i="16"/>
  <c r="B745" i="16"/>
  <c r="A745" i="16"/>
  <c r="T744" i="16"/>
  <c r="S744" i="16"/>
  <c r="R744" i="16"/>
  <c r="Q744" i="16"/>
  <c r="P744" i="16"/>
  <c r="O744" i="16"/>
  <c r="M744" i="16"/>
  <c r="L744" i="16"/>
  <c r="K744" i="16"/>
  <c r="I744" i="16"/>
  <c r="H744" i="16"/>
  <c r="G744" i="16"/>
  <c r="F744" i="16"/>
  <c r="D744" i="16"/>
  <c r="C744" i="16"/>
  <c r="B744" i="16"/>
  <c r="A744" i="16"/>
  <c r="T743" i="16"/>
  <c r="S743" i="16"/>
  <c r="R743" i="16"/>
  <c r="Q743" i="16"/>
  <c r="P743" i="16"/>
  <c r="O743" i="16"/>
  <c r="M743" i="16"/>
  <c r="L743" i="16"/>
  <c r="K743" i="16"/>
  <c r="I743" i="16"/>
  <c r="H743" i="16"/>
  <c r="G743" i="16"/>
  <c r="F743" i="16"/>
  <c r="D743" i="16"/>
  <c r="C743" i="16"/>
  <c r="B743" i="16"/>
  <c r="A743" i="16"/>
  <c r="T742" i="16"/>
  <c r="S742" i="16"/>
  <c r="R742" i="16"/>
  <c r="Q742" i="16"/>
  <c r="P742" i="16"/>
  <c r="O742" i="16"/>
  <c r="M742" i="16"/>
  <c r="L742" i="16"/>
  <c r="K742" i="16"/>
  <c r="I742" i="16"/>
  <c r="H742" i="16"/>
  <c r="G742" i="16"/>
  <c r="F742" i="16"/>
  <c r="D742" i="16"/>
  <c r="C742" i="16"/>
  <c r="B742" i="16"/>
  <c r="A742" i="16"/>
  <c r="T741" i="16"/>
  <c r="S741" i="16"/>
  <c r="R741" i="16"/>
  <c r="Q741" i="16"/>
  <c r="P741" i="16"/>
  <c r="O741" i="16"/>
  <c r="M741" i="16"/>
  <c r="L741" i="16"/>
  <c r="K741" i="16"/>
  <c r="I741" i="16"/>
  <c r="H741" i="16"/>
  <c r="G741" i="16"/>
  <c r="F741" i="16"/>
  <c r="D741" i="16"/>
  <c r="C741" i="16"/>
  <c r="B741" i="16"/>
  <c r="A741" i="16"/>
  <c r="T740" i="16"/>
  <c r="S740" i="16"/>
  <c r="R740" i="16"/>
  <c r="Q740" i="16"/>
  <c r="P740" i="16"/>
  <c r="P815" i="16" s="1"/>
  <c r="O740" i="16"/>
  <c r="M740" i="16"/>
  <c r="L740" i="16"/>
  <c r="K740" i="16"/>
  <c r="I740" i="16"/>
  <c r="H740" i="16"/>
  <c r="G740" i="16"/>
  <c r="F740" i="16"/>
  <c r="D740" i="16"/>
  <c r="C740" i="16"/>
  <c r="B740" i="16"/>
  <c r="A740" i="16"/>
  <c r="T739" i="16"/>
  <c r="S739" i="16"/>
  <c r="R739" i="16"/>
  <c r="Q739" i="16"/>
  <c r="P739" i="16"/>
  <c r="O739" i="16"/>
  <c r="M739" i="16"/>
  <c r="L739" i="16"/>
  <c r="K739" i="16"/>
  <c r="I739" i="16"/>
  <c r="H739" i="16"/>
  <c r="G739" i="16"/>
  <c r="F739" i="16"/>
  <c r="D739" i="16"/>
  <c r="C739" i="16"/>
  <c r="B739" i="16"/>
  <c r="A739" i="16"/>
  <c r="T738" i="16"/>
  <c r="S738" i="16"/>
  <c r="R738" i="16"/>
  <c r="Q738" i="16"/>
  <c r="P738" i="16"/>
  <c r="O738" i="16"/>
  <c r="M738" i="16"/>
  <c r="L738" i="16"/>
  <c r="K738" i="16"/>
  <c r="I738" i="16"/>
  <c r="H738" i="16"/>
  <c r="G738" i="16"/>
  <c r="F738" i="16"/>
  <c r="D738" i="16"/>
  <c r="C738" i="16"/>
  <c r="B738" i="16"/>
  <c r="A738" i="16"/>
  <c r="T737" i="16"/>
  <c r="S737" i="16"/>
  <c r="R737" i="16"/>
  <c r="Q737" i="16"/>
  <c r="P737" i="16"/>
  <c r="O737" i="16"/>
  <c r="M737" i="16"/>
  <c r="L737" i="16"/>
  <c r="K737" i="16"/>
  <c r="I737" i="16"/>
  <c r="H737" i="16"/>
  <c r="G737" i="16"/>
  <c r="F737" i="16"/>
  <c r="D737" i="16"/>
  <c r="C737" i="16"/>
  <c r="B737" i="16"/>
  <c r="A737" i="16"/>
  <c r="T736" i="16"/>
  <c r="S736" i="16"/>
  <c r="R736" i="16"/>
  <c r="Q736" i="16"/>
  <c r="P736" i="16"/>
  <c r="O736" i="16"/>
  <c r="M736" i="16"/>
  <c r="L736" i="16"/>
  <c r="K736" i="16"/>
  <c r="I736" i="16"/>
  <c r="H736" i="16"/>
  <c r="H815" i="16" s="1"/>
  <c r="G736" i="16"/>
  <c r="F736" i="16"/>
  <c r="D736" i="16"/>
  <c r="C736" i="16"/>
  <c r="B736" i="16"/>
  <c r="A736" i="16"/>
  <c r="T735" i="16"/>
  <c r="S735" i="16"/>
  <c r="R735" i="16"/>
  <c r="Q735" i="16"/>
  <c r="P735" i="16"/>
  <c r="O735" i="16"/>
  <c r="M735" i="16"/>
  <c r="L735" i="16"/>
  <c r="K735" i="16"/>
  <c r="I735" i="16"/>
  <c r="H735" i="16"/>
  <c r="G735" i="16"/>
  <c r="F735" i="16"/>
  <c r="D735" i="16"/>
  <c r="C735" i="16"/>
  <c r="B735" i="16"/>
  <c r="A735" i="16"/>
  <c r="T734" i="16"/>
  <c r="S734" i="16"/>
  <c r="R734" i="16"/>
  <c r="Q734" i="16"/>
  <c r="P734" i="16"/>
  <c r="O734" i="16"/>
  <c r="M734" i="16"/>
  <c r="L734" i="16"/>
  <c r="K734" i="16"/>
  <c r="I734" i="16"/>
  <c r="H734" i="16"/>
  <c r="G734" i="16"/>
  <c r="F734" i="16"/>
  <c r="D734" i="16"/>
  <c r="C734" i="16"/>
  <c r="B734" i="16"/>
  <c r="A734" i="16"/>
  <c r="CF730" i="16"/>
  <c r="CE730" i="16"/>
  <c r="CD730" i="16"/>
  <c r="CC730" i="16"/>
  <c r="CB730" i="16"/>
  <c r="CA730" i="16"/>
  <c r="BZ730" i="16"/>
  <c r="BY730" i="16"/>
  <c r="BX730" i="16"/>
  <c r="BV730" i="16"/>
  <c r="BU730" i="16"/>
  <c r="BT730" i="16"/>
  <c r="BS730" i="16"/>
  <c r="BQ730" i="16"/>
  <c r="BP730" i="16"/>
  <c r="BO730" i="16"/>
  <c r="BN730" i="16"/>
  <c r="BM730" i="16"/>
  <c r="BL730" i="16"/>
  <c r="BK730" i="16"/>
  <c r="BJ730" i="16"/>
  <c r="BF730" i="16"/>
  <c r="BE730" i="16"/>
  <c r="BB730" i="16"/>
  <c r="BA730" i="16"/>
  <c r="AZ730" i="16"/>
  <c r="AY730" i="16"/>
  <c r="AX730" i="16"/>
  <c r="AW730" i="16"/>
  <c r="AV730" i="16"/>
  <c r="AU730" i="16"/>
  <c r="AT730" i="16"/>
  <c r="AS730" i="16"/>
  <c r="AR730" i="16"/>
  <c r="AQ730" i="16"/>
  <c r="AP730" i="16"/>
  <c r="AO730" i="16"/>
  <c r="AN730" i="16"/>
  <c r="AM730" i="16"/>
  <c r="AL730" i="16"/>
  <c r="AK730" i="16"/>
  <c r="AJ730" i="16"/>
  <c r="AI730" i="16"/>
  <c r="AH730" i="16"/>
  <c r="AG730" i="16"/>
  <c r="AF730" i="16"/>
  <c r="AE730" i="16"/>
  <c r="AD730" i="16"/>
  <c r="AC730" i="16"/>
  <c r="AB730" i="16"/>
  <c r="AA730" i="16"/>
  <c r="Z730" i="16"/>
  <c r="Y730" i="16"/>
  <c r="X730" i="16"/>
  <c r="W730" i="16"/>
  <c r="V730" i="16"/>
  <c r="U730" i="16"/>
  <c r="T730" i="16"/>
  <c r="S730" i="16"/>
  <c r="R730" i="16"/>
  <c r="Q730" i="16"/>
  <c r="P730" i="16"/>
  <c r="O730" i="16"/>
  <c r="N730" i="16"/>
  <c r="M730" i="16"/>
  <c r="L730" i="16"/>
  <c r="K730" i="16"/>
  <c r="J730" i="16"/>
  <c r="I730" i="16"/>
  <c r="H730" i="16"/>
  <c r="G730" i="16"/>
  <c r="F730" i="16"/>
  <c r="E730" i="16"/>
  <c r="D730" i="16"/>
  <c r="C730" i="16"/>
  <c r="B730" i="16"/>
  <c r="A730" i="16"/>
  <c r="BR726" i="16"/>
  <c r="BQ726" i="16"/>
  <c r="BP726" i="16"/>
  <c r="BO726" i="16"/>
  <c r="BN726" i="16"/>
  <c r="BM726" i="16"/>
  <c r="BL726" i="16"/>
  <c r="BK726" i="16"/>
  <c r="BJ726" i="16"/>
  <c r="BI726" i="16"/>
  <c r="BH726" i="16"/>
  <c r="BG726" i="16"/>
  <c r="BF726" i="16"/>
  <c r="BE726" i="16"/>
  <c r="BD726" i="16"/>
  <c r="BC726" i="16"/>
  <c r="BB726" i="16"/>
  <c r="BA726" i="16"/>
  <c r="AZ726" i="16"/>
  <c r="AY726" i="16"/>
  <c r="AX726" i="16"/>
  <c r="AW726" i="16"/>
  <c r="AV726" i="16"/>
  <c r="AU726" i="16"/>
  <c r="AT726" i="16"/>
  <c r="AS726" i="16"/>
  <c r="AR726" i="16"/>
  <c r="AQ726" i="16"/>
  <c r="AP726" i="16"/>
  <c r="AO726" i="16"/>
  <c r="AN726" i="16"/>
  <c r="AM726" i="16"/>
  <c r="AL726" i="16"/>
  <c r="AK726" i="16"/>
  <c r="AJ726" i="16"/>
  <c r="AI726" i="16"/>
  <c r="AH726" i="16"/>
  <c r="AG726" i="16"/>
  <c r="AF726" i="16"/>
  <c r="AE726" i="16"/>
  <c r="AD726" i="16"/>
  <c r="AC726" i="16"/>
  <c r="AB726" i="16"/>
  <c r="AA726" i="16"/>
  <c r="Z726" i="16"/>
  <c r="Y726" i="16"/>
  <c r="X726" i="16"/>
  <c r="W726" i="16"/>
  <c r="V726" i="16"/>
  <c r="U726" i="16"/>
  <c r="S726" i="16"/>
  <c r="R726" i="16"/>
  <c r="Q726" i="16"/>
  <c r="P726" i="16"/>
  <c r="O726" i="16"/>
  <c r="N726" i="16"/>
  <c r="M726" i="16"/>
  <c r="L726" i="16"/>
  <c r="K726" i="16"/>
  <c r="J726" i="16"/>
  <c r="I726" i="16"/>
  <c r="H726" i="16"/>
  <c r="G726" i="16"/>
  <c r="F726" i="16"/>
  <c r="E726" i="16"/>
  <c r="D726" i="16"/>
  <c r="C726" i="16"/>
  <c r="B726" i="16"/>
  <c r="A726" i="16"/>
  <c r="CC722" i="16"/>
  <c r="CB722" i="16"/>
  <c r="CA722" i="16"/>
  <c r="BZ722" i="16"/>
  <c r="BY722" i="16"/>
  <c r="BX722" i="16"/>
  <c r="BW722" i="16"/>
  <c r="BV722" i="16"/>
  <c r="BU722" i="16"/>
  <c r="BT722" i="16"/>
  <c r="BS722" i="16"/>
  <c r="BR722" i="16"/>
  <c r="BQ722" i="16"/>
  <c r="BP722" i="16"/>
  <c r="BO722" i="16"/>
  <c r="BN722" i="16"/>
  <c r="BM722" i="16"/>
  <c r="BL722" i="16"/>
  <c r="BK722" i="16"/>
  <c r="BJ722" i="16"/>
  <c r="BI722" i="16"/>
  <c r="BH722" i="16"/>
  <c r="BG722" i="16"/>
  <c r="BF722" i="16"/>
  <c r="BE722" i="16"/>
  <c r="BD722" i="16"/>
  <c r="BC722" i="16"/>
  <c r="BB722" i="16"/>
  <c r="BA722" i="16"/>
  <c r="AZ722" i="16"/>
  <c r="AY722" i="16"/>
  <c r="AX722" i="16"/>
  <c r="AW722" i="16"/>
  <c r="AV722" i="16"/>
  <c r="AR722" i="16"/>
  <c r="AQ722" i="16"/>
  <c r="AP722" i="16"/>
  <c r="AO722" i="16"/>
  <c r="AN722" i="16"/>
  <c r="AM722" i="16"/>
  <c r="AL722" i="16"/>
  <c r="AK722" i="16"/>
  <c r="AJ722" i="16"/>
  <c r="AI722" i="16"/>
  <c r="AH722" i="16"/>
  <c r="AG722" i="16"/>
  <c r="AF722" i="16"/>
  <c r="AE722" i="16"/>
  <c r="AD722" i="16"/>
  <c r="AC722" i="16"/>
  <c r="AB722" i="16"/>
  <c r="AA722" i="16"/>
  <c r="Z722" i="16"/>
  <c r="Y722" i="16"/>
  <c r="X722" i="16"/>
  <c r="W722" i="16"/>
  <c r="V722" i="16"/>
  <c r="U722" i="16"/>
  <c r="T722" i="16"/>
  <c r="S722" i="16"/>
  <c r="R722" i="16"/>
  <c r="Q722" i="16"/>
  <c r="P722" i="16"/>
  <c r="O722" i="16"/>
  <c r="N722" i="16"/>
  <c r="M722" i="16"/>
  <c r="L722" i="16"/>
  <c r="K722" i="16"/>
  <c r="J722" i="16"/>
  <c r="I722" i="16"/>
  <c r="H722" i="16"/>
  <c r="G722" i="16"/>
  <c r="F722" i="16"/>
  <c r="E722" i="16"/>
  <c r="D722" i="16"/>
  <c r="C722" i="16"/>
  <c r="B722" i="16"/>
  <c r="A722" i="16"/>
  <c r="C615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E550" i="16"/>
  <c r="D550" i="16"/>
  <c r="B550" i="16"/>
  <c r="B549" i="16"/>
  <c r="B548" i="16"/>
  <c r="B547" i="16"/>
  <c r="E546" i="16"/>
  <c r="D546" i="16"/>
  <c r="B546" i="16"/>
  <c r="F546" i="16" s="1"/>
  <c r="H545" i="16"/>
  <c r="F545" i="16"/>
  <c r="E545" i="16"/>
  <c r="D545" i="16"/>
  <c r="B545" i="16"/>
  <c r="H544" i="16"/>
  <c r="F544" i="16"/>
  <c r="E544" i="16"/>
  <c r="D544" i="16"/>
  <c r="B544" i="16"/>
  <c r="B543" i="16"/>
  <c r="B542" i="16"/>
  <c r="B541" i="16"/>
  <c r="E540" i="16"/>
  <c r="D540" i="16"/>
  <c r="B540" i="16"/>
  <c r="E539" i="16"/>
  <c r="D539" i="16"/>
  <c r="B539" i="16"/>
  <c r="H538" i="16"/>
  <c r="E538" i="16"/>
  <c r="D538" i="16"/>
  <c r="B538" i="16"/>
  <c r="F538" i="16" s="1"/>
  <c r="E537" i="16"/>
  <c r="D537" i="16"/>
  <c r="B537" i="16"/>
  <c r="F537" i="16" s="1"/>
  <c r="F536" i="16"/>
  <c r="E536" i="16"/>
  <c r="D536" i="16"/>
  <c r="B536" i="16"/>
  <c r="H536" i="16" s="1"/>
  <c r="H535" i="16"/>
  <c r="F535" i="16"/>
  <c r="E535" i="16"/>
  <c r="D535" i="16"/>
  <c r="B535" i="16"/>
  <c r="H534" i="16"/>
  <c r="F534" i="16"/>
  <c r="E534" i="16"/>
  <c r="D534" i="16"/>
  <c r="B534" i="16"/>
  <c r="H533" i="16"/>
  <c r="F533" i="16"/>
  <c r="E533" i="16"/>
  <c r="D533" i="16"/>
  <c r="B533" i="16"/>
  <c r="E532" i="16"/>
  <c r="D532" i="16"/>
  <c r="B532" i="16"/>
  <c r="E531" i="16"/>
  <c r="D531" i="16"/>
  <c r="B531" i="16"/>
  <c r="H530" i="16"/>
  <c r="E530" i="16"/>
  <c r="D530" i="16"/>
  <c r="B530" i="16"/>
  <c r="F530" i="16" s="1"/>
  <c r="E529" i="16"/>
  <c r="D529" i="16"/>
  <c r="B529" i="16"/>
  <c r="F529" i="16" s="1"/>
  <c r="F528" i="16"/>
  <c r="E528" i="16"/>
  <c r="D528" i="16"/>
  <c r="B528" i="16"/>
  <c r="H528" i="16" s="1"/>
  <c r="H527" i="16"/>
  <c r="F527" i="16"/>
  <c r="E527" i="16"/>
  <c r="D527" i="16"/>
  <c r="B527" i="16"/>
  <c r="H526" i="16"/>
  <c r="F526" i="16"/>
  <c r="E526" i="16"/>
  <c r="D526" i="16"/>
  <c r="B526" i="16"/>
  <c r="H525" i="16"/>
  <c r="F525" i="16"/>
  <c r="E525" i="16"/>
  <c r="D525" i="16"/>
  <c r="B525" i="16"/>
  <c r="E524" i="16"/>
  <c r="D524" i="16"/>
  <c r="B524" i="16"/>
  <c r="E523" i="16"/>
  <c r="D523" i="16"/>
  <c r="B523" i="16"/>
  <c r="H522" i="16"/>
  <c r="E522" i="16"/>
  <c r="D522" i="16"/>
  <c r="B522" i="16"/>
  <c r="F522" i="16" s="1"/>
  <c r="H521" i="16"/>
  <c r="B521" i="16"/>
  <c r="F521" i="16" s="1"/>
  <c r="H520" i="16"/>
  <c r="F520" i="16"/>
  <c r="E520" i="16"/>
  <c r="D520" i="16"/>
  <c r="B520" i="16"/>
  <c r="H519" i="16"/>
  <c r="F519" i="16"/>
  <c r="E519" i="16"/>
  <c r="D519" i="16"/>
  <c r="B519" i="16"/>
  <c r="E518" i="16"/>
  <c r="D518" i="16"/>
  <c r="B518" i="16"/>
  <c r="F517" i="16"/>
  <c r="E517" i="16"/>
  <c r="D517" i="16"/>
  <c r="B517" i="16"/>
  <c r="H517" i="16" s="1"/>
  <c r="H516" i="16"/>
  <c r="E516" i="16"/>
  <c r="D516" i="16"/>
  <c r="B516" i="16"/>
  <c r="F516" i="16" s="1"/>
  <c r="H515" i="16"/>
  <c r="E515" i="16"/>
  <c r="D515" i="16"/>
  <c r="B515" i="16"/>
  <c r="F515" i="16" s="1"/>
  <c r="F514" i="16"/>
  <c r="E514" i="16"/>
  <c r="D514" i="16"/>
  <c r="B514" i="16"/>
  <c r="H514" i="16" s="1"/>
  <c r="H513" i="16"/>
  <c r="F513" i="16"/>
  <c r="B513" i="16"/>
  <c r="H512" i="16"/>
  <c r="F512" i="16"/>
  <c r="B512" i="16"/>
  <c r="E511" i="16"/>
  <c r="D511" i="16"/>
  <c r="B511" i="16"/>
  <c r="F511" i="16" s="1"/>
  <c r="F510" i="16"/>
  <c r="E510" i="16"/>
  <c r="D510" i="16"/>
  <c r="B510" i="16"/>
  <c r="H510" i="16" s="1"/>
  <c r="H509" i="16"/>
  <c r="E509" i="16"/>
  <c r="D509" i="16"/>
  <c r="B509" i="16"/>
  <c r="F509" i="16" s="1"/>
  <c r="E508" i="16"/>
  <c r="D508" i="16"/>
  <c r="B508" i="16"/>
  <c r="F508" i="16" s="1"/>
  <c r="H507" i="16"/>
  <c r="F507" i="16"/>
  <c r="E507" i="16"/>
  <c r="D507" i="16"/>
  <c r="B507" i="16"/>
  <c r="E506" i="16"/>
  <c r="D506" i="16"/>
  <c r="B506" i="16"/>
  <c r="F505" i="16"/>
  <c r="E505" i="16"/>
  <c r="D505" i="16"/>
  <c r="B505" i="16"/>
  <c r="H505" i="16" s="1"/>
  <c r="H504" i="16"/>
  <c r="F504" i="16"/>
  <c r="E504" i="16"/>
  <c r="D504" i="16"/>
  <c r="B504" i="16"/>
  <c r="E503" i="16"/>
  <c r="D503" i="16"/>
  <c r="B503" i="16"/>
  <c r="F503" i="16" s="1"/>
  <c r="F502" i="16"/>
  <c r="E502" i="16"/>
  <c r="D502" i="16"/>
  <c r="B502" i="16"/>
  <c r="H502" i="16" s="1"/>
  <c r="H501" i="16"/>
  <c r="F501" i="16"/>
  <c r="E501" i="16"/>
  <c r="D501" i="16"/>
  <c r="B501" i="16"/>
  <c r="E500" i="16"/>
  <c r="D500" i="16"/>
  <c r="B500" i="16"/>
  <c r="H499" i="16"/>
  <c r="F499" i="16"/>
  <c r="E499" i="16"/>
  <c r="D499" i="16"/>
  <c r="B499" i="16"/>
  <c r="H498" i="16"/>
  <c r="F498" i="16"/>
  <c r="E498" i="16"/>
  <c r="D498" i="16"/>
  <c r="B498" i="16"/>
  <c r="E497" i="16"/>
  <c r="D497" i="16"/>
  <c r="B497" i="16"/>
  <c r="F497" i="16" s="1"/>
  <c r="E496" i="16"/>
  <c r="D496" i="16"/>
  <c r="B496" i="16"/>
  <c r="H496" i="16" s="1"/>
  <c r="G493" i="16"/>
  <c r="F493" i="16"/>
  <c r="E493" i="16"/>
  <c r="D493" i="16"/>
  <c r="C493" i="16"/>
  <c r="B493" i="16"/>
  <c r="A493" i="16"/>
  <c r="B478" i="16"/>
  <c r="B475" i="16"/>
  <c r="B474" i="16"/>
  <c r="B473" i="16"/>
  <c r="B472" i="16"/>
  <c r="B471" i="16"/>
  <c r="B470" i="16"/>
  <c r="B469" i="16"/>
  <c r="B468" i="16"/>
  <c r="B464" i="16"/>
  <c r="B463" i="16"/>
  <c r="C459" i="16"/>
  <c r="B459" i="16"/>
  <c r="B458" i="16"/>
  <c r="B455" i="16"/>
  <c r="B454" i="16"/>
  <c r="B453" i="16"/>
  <c r="C447" i="16"/>
  <c r="B447" i="16"/>
  <c r="C446" i="16"/>
  <c r="C445" i="16"/>
  <c r="B445" i="16"/>
  <c r="C444" i="16"/>
  <c r="C439" i="16"/>
  <c r="B439" i="16"/>
  <c r="C438" i="16"/>
  <c r="B438" i="16"/>
  <c r="B440" i="16" s="1"/>
  <c r="D437" i="16"/>
  <c r="B437" i="16"/>
  <c r="B436" i="16"/>
  <c r="B435" i="16"/>
  <c r="B434" i="16"/>
  <c r="B432" i="16"/>
  <c r="B431" i="16"/>
  <c r="B430" i="16"/>
  <c r="B429" i="16"/>
  <c r="B427" i="16"/>
  <c r="D424" i="16"/>
  <c r="B424" i="16"/>
  <c r="B423" i="16"/>
  <c r="D421" i="16"/>
  <c r="B421" i="16"/>
  <c r="C420" i="16"/>
  <c r="B420" i="16"/>
  <c r="D418" i="16"/>
  <c r="B418" i="16"/>
  <c r="C417" i="16"/>
  <c r="B417" i="16"/>
  <c r="D415" i="16"/>
  <c r="B415" i="16"/>
  <c r="B414" i="16"/>
  <c r="A412" i="16"/>
  <c r="D372" i="16"/>
  <c r="D367" i="16"/>
  <c r="C448" i="16" s="1"/>
  <c r="D361" i="16"/>
  <c r="N817" i="16" s="1"/>
  <c r="D329" i="16"/>
  <c r="D328" i="16"/>
  <c r="D330" i="16" s="1"/>
  <c r="D319" i="16"/>
  <c r="D314" i="16"/>
  <c r="D290" i="16"/>
  <c r="D283" i="16"/>
  <c r="D275" i="16"/>
  <c r="D277" i="16" s="1"/>
  <c r="D292" i="16" s="1"/>
  <c r="D341" i="16" s="1"/>
  <c r="C481" i="16" s="1"/>
  <c r="D265" i="16"/>
  <c r="D260" i="16"/>
  <c r="D240" i="16"/>
  <c r="D236" i="16"/>
  <c r="B446" i="16" s="1"/>
  <c r="D229" i="16"/>
  <c r="D221" i="16"/>
  <c r="CD722" i="16" s="1"/>
  <c r="D217" i="16"/>
  <c r="C217" i="16"/>
  <c r="D433" i="16" s="1"/>
  <c r="B217" i="16"/>
  <c r="E216" i="16"/>
  <c r="E215" i="16"/>
  <c r="E214" i="16"/>
  <c r="E213" i="16"/>
  <c r="E212" i="16"/>
  <c r="E211" i="16"/>
  <c r="E210" i="16"/>
  <c r="E209" i="16"/>
  <c r="D204" i="16"/>
  <c r="C204" i="16"/>
  <c r="B204" i="16"/>
  <c r="E203" i="16"/>
  <c r="C475" i="16" s="1"/>
  <c r="E202" i="16"/>
  <c r="C474" i="16" s="1"/>
  <c r="E201" i="16"/>
  <c r="E200" i="16"/>
  <c r="E199" i="16"/>
  <c r="C472" i="16" s="1"/>
  <c r="E198" i="16"/>
  <c r="C471" i="16" s="1"/>
  <c r="E197" i="16"/>
  <c r="C470" i="16" s="1"/>
  <c r="E196" i="16"/>
  <c r="E195" i="16"/>
  <c r="C468" i="16" s="1"/>
  <c r="D190" i="16"/>
  <c r="D186" i="16"/>
  <c r="D436" i="16" s="1"/>
  <c r="D181" i="16"/>
  <c r="D438" i="16" s="1"/>
  <c r="D177" i="16"/>
  <c r="D434" i="16" s="1"/>
  <c r="D173" i="16"/>
  <c r="D428" i="16" s="1"/>
  <c r="E154" i="16"/>
  <c r="E153" i="16"/>
  <c r="E152" i="16"/>
  <c r="E151" i="16"/>
  <c r="C421" i="16" s="1"/>
  <c r="E150" i="16"/>
  <c r="E148" i="16"/>
  <c r="E147" i="16"/>
  <c r="E146" i="16"/>
  <c r="E145" i="16"/>
  <c r="C418" i="16" s="1"/>
  <c r="E144" i="16"/>
  <c r="E142" i="16"/>
  <c r="E141" i="16"/>
  <c r="E140" i="16"/>
  <c r="E139" i="16"/>
  <c r="C415" i="16" s="1"/>
  <c r="E138" i="16"/>
  <c r="C414" i="16" s="1"/>
  <c r="E127" i="16"/>
  <c r="CE80" i="16"/>
  <c r="T816" i="16" s="1"/>
  <c r="CF79" i="16"/>
  <c r="CE79" i="16"/>
  <c r="CE78" i="16"/>
  <c r="CE77" i="16"/>
  <c r="CF77" i="16" s="1"/>
  <c r="CE76" i="16"/>
  <c r="P816" i="16" s="1"/>
  <c r="CC75" i="16"/>
  <c r="AV75" i="16"/>
  <c r="N779" i="16" s="1"/>
  <c r="AU75" i="16"/>
  <c r="N778" i="16" s="1"/>
  <c r="AT75" i="16"/>
  <c r="N777" i="16" s="1"/>
  <c r="AS75" i="16"/>
  <c r="N776" i="16" s="1"/>
  <c r="AR75" i="16"/>
  <c r="N775" i="16" s="1"/>
  <c r="AQ75" i="16"/>
  <c r="N774" i="16" s="1"/>
  <c r="AP75" i="16"/>
  <c r="N773" i="16" s="1"/>
  <c r="AO75" i="16"/>
  <c r="N772" i="16" s="1"/>
  <c r="AN75" i="16"/>
  <c r="N771" i="16" s="1"/>
  <c r="AM75" i="16"/>
  <c r="N770" i="16" s="1"/>
  <c r="AL75" i="16"/>
  <c r="N769" i="16" s="1"/>
  <c r="AK75" i="16"/>
  <c r="N768" i="16" s="1"/>
  <c r="AJ75" i="16"/>
  <c r="N767" i="16" s="1"/>
  <c r="AI75" i="16"/>
  <c r="N766" i="16" s="1"/>
  <c r="AH75" i="16"/>
  <c r="N765" i="16" s="1"/>
  <c r="AG75" i="16"/>
  <c r="N764" i="16" s="1"/>
  <c r="AF75" i="16"/>
  <c r="N763" i="16" s="1"/>
  <c r="AE75" i="16"/>
  <c r="N762" i="16" s="1"/>
  <c r="AD75" i="16"/>
  <c r="N761" i="16" s="1"/>
  <c r="AC75" i="16"/>
  <c r="N760" i="16" s="1"/>
  <c r="AB75" i="16"/>
  <c r="N759" i="16" s="1"/>
  <c r="AA75" i="16"/>
  <c r="N758" i="16" s="1"/>
  <c r="Z75" i="16"/>
  <c r="N757" i="16" s="1"/>
  <c r="Y75" i="16"/>
  <c r="N756" i="16" s="1"/>
  <c r="X75" i="16"/>
  <c r="N755" i="16" s="1"/>
  <c r="W75" i="16"/>
  <c r="N754" i="16" s="1"/>
  <c r="V75" i="16"/>
  <c r="N753" i="16" s="1"/>
  <c r="U75" i="16"/>
  <c r="N752" i="16" s="1"/>
  <c r="T75" i="16"/>
  <c r="N751" i="16" s="1"/>
  <c r="S75" i="16"/>
  <c r="N750" i="16" s="1"/>
  <c r="R75" i="16"/>
  <c r="N749" i="16" s="1"/>
  <c r="Q75" i="16"/>
  <c r="N748" i="16" s="1"/>
  <c r="P75" i="16"/>
  <c r="N747" i="16" s="1"/>
  <c r="O75" i="16"/>
  <c r="N746" i="16" s="1"/>
  <c r="N75" i="16"/>
  <c r="N745" i="16" s="1"/>
  <c r="M75" i="16"/>
  <c r="N744" i="16" s="1"/>
  <c r="L75" i="16"/>
  <c r="N743" i="16" s="1"/>
  <c r="K75" i="16"/>
  <c r="N742" i="16" s="1"/>
  <c r="J75" i="16"/>
  <c r="N741" i="16" s="1"/>
  <c r="I75" i="16"/>
  <c r="N740" i="16" s="1"/>
  <c r="H75" i="16"/>
  <c r="N739" i="16" s="1"/>
  <c r="G75" i="16"/>
  <c r="N738" i="16" s="1"/>
  <c r="F75" i="16"/>
  <c r="N737" i="16" s="1"/>
  <c r="E75" i="16"/>
  <c r="N736" i="16" s="1"/>
  <c r="D75" i="16"/>
  <c r="N735" i="16" s="1"/>
  <c r="C75" i="16"/>
  <c r="N734" i="16" s="1"/>
  <c r="CE74" i="16"/>
  <c r="CD71" i="16"/>
  <c r="C575" i="16" s="1"/>
  <c r="CE70" i="16"/>
  <c r="M816" i="16" s="1"/>
  <c r="CE69" i="16"/>
  <c r="CE68" i="16"/>
  <c r="K816" i="16" s="1"/>
  <c r="CE66" i="16"/>
  <c r="I816" i="16" s="1"/>
  <c r="CE65" i="16"/>
  <c r="H816" i="16" s="1"/>
  <c r="CE64" i="16"/>
  <c r="G816" i="16" s="1"/>
  <c r="CE63" i="16"/>
  <c r="F816" i="16" s="1"/>
  <c r="CE61" i="16"/>
  <c r="CE60" i="16"/>
  <c r="B53" i="16"/>
  <c r="CE51" i="16"/>
  <c r="CG51" i="15" s="1"/>
  <c r="CH51" i="15" s="1"/>
  <c r="B49" i="16"/>
  <c r="D48" i="16"/>
  <c r="CE47" i="16"/>
  <c r="C395" i="15"/>
  <c r="C394" i="15"/>
  <c r="C392" i="15"/>
  <c r="C389" i="15"/>
  <c r="C388" i="15"/>
  <c r="C387" i="15"/>
  <c r="C386" i="15"/>
  <c r="J817" i="15"/>
  <c r="C380" i="15"/>
  <c r="C371" i="15"/>
  <c r="C370" i="15"/>
  <c r="C366" i="15"/>
  <c r="C365" i="15"/>
  <c r="C364" i="15"/>
  <c r="C363" i="15"/>
  <c r="C360" i="15"/>
  <c r="C359" i="15"/>
  <c r="D80" i="15"/>
  <c r="E80" i="15"/>
  <c r="F80" i="15"/>
  <c r="G80" i="15"/>
  <c r="H80" i="15"/>
  <c r="I80" i="15"/>
  <c r="T740" i="15" s="1"/>
  <c r="J80" i="15"/>
  <c r="K80" i="15"/>
  <c r="L80" i="15"/>
  <c r="M80" i="15"/>
  <c r="N80" i="15"/>
  <c r="O80" i="15"/>
  <c r="P80" i="15"/>
  <c r="Q80" i="15"/>
  <c r="T748" i="15" s="1"/>
  <c r="R80" i="15"/>
  <c r="S80" i="15"/>
  <c r="T750" i="15" s="1"/>
  <c r="T80" i="15"/>
  <c r="U80" i="15"/>
  <c r="V80" i="15"/>
  <c r="W80" i="15"/>
  <c r="X80" i="15"/>
  <c r="Y80" i="15"/>
  <c r="T756" i="15" s="1"/>
  <c r="Z80" i="15"/>
  <c r="AA80" i="15"/>
  <c r="T758" i="15" s="1"/>
  <c r="AB80" i="15"/>
  <c r="AC80" i="15"/>
  <c r="AD80" i="15"/>
  <c r="AE80" i="15"/>
  <c r="AF80" i="15"/>
  <c r="AG80" i="15"/>
  <c r="T764" i="15" s="1"/>
  <c r="AH80" i="15"/>
  <c r="AI80" i="15"/>
  <c r="T766" i="15" s="1"/>
  <c r="AJ80" i="15"/>
  <c r="AK80" i="15"/>
  <c r="AL80" i="15"/>
  <c r="AM80" i="15"/>
  <c r="AN80" i="15"/>
  <c r="AO80" i="15"/>
  <c r="AP80" i="15"/>
  <c r="AQ80" i="15"/>
  <c r="T774" i="15" s="1"/>
  <c r="AR80" i="15"/>
  <c r="AS80" i="15"/>
  <c r="AT80" i="15"/>
  <c r="AU80" i="15"/>
  <c r="AV80" i="15"/>
  <c r="T780" i="15"/>
  <c r="T782" i="15"/>
  <c r="T796" i="15"/>
  <c r="BN80" i="15"/>
  <c r="T798" i="15"/>
  <c r="T804" i="15"/>
  <c r="CC80" i="15"/>
  <c r="T742" i="15"/>
  <c r="C80" i="15"/>
  <c r="O742" i="15"/>
  <c r="O747" i="15"/>
  <c r="O748" i="15"/>
  <c r="O750" i="15"/>
  <c r="O755" i="15"/>
  <c r="O756" i="15"/>
  <c r="O763" i="15"/>
  <c r="O764" i="15"/>
  <c r="O771" i="15"/>
  <c r="O774" i="15"/>
  <c r="C438" i="15"/>
  <c r="CD70" i="15"/>
  <c r="CD71" i="15" s="1"/>
  <c r="C575" i="15" s="1"/>
  <c r="K736" i="15"/>
  <c r="K742" i="15"/>
  <c r="K744" i="15"/>
  <c r="K750" i="15"/>
  <c r="K752" i="15"/>
  <c r="K758" i="15"/>
  <c r="K760" i="15"/>
  <c r="K766" i="15"/>
  <c r="K768" i="15"/>
  <c r="K774" i="15"/>
  <c r="K776" i="15"/>
  <c r="K782" i="15"/>
  <c r="K784" i="15"/>
  <c r="K790" i="15"/>
  <c r="K792" i="15"/>
  <c r="K798" i="15"/>
  <c r="K800" i="15"/>
  <c r="K806" i="15"/>
  <c r="K808" i="15"/>
  <c r="L736" i="15"/>
  <c r="L738" i="15"/>
  <c r="L744" i="15"/>
  <c r="L746" i="15"/>
  <c r="L752" i="15"/>
  <c r="L754" i="15"/>
  <c r="L760" i="15"/>
  <c r="L762" i="15"/>
  <c r="L768" i="15"/>
  <c r="L776" i="15"/>
  <c r="L778" i="15"/>
  <c r="L784" i="15"/>
  <c r="L786" i="15"/>
  <c r="L792" i="15"/>
  <c r="L794" i="15"/>
  <c r="L800" i="15"/>
  <c r="L802" i="15"/>
  <c r="L808" i="15"/>
  <c r="L810" i="15"/>
  <c r="M738" i="15"/>
  <c r="M740" i="15"/>
  <c r="M746" i="15"/>
  <c r="M748" i="15"/>
  <c r="M754" i="15"/>
  <c r="M756" i="15"/>
  <c r="M762" i="15"/>
  <c r="M764" i="15"/>
  <c r="M770" i="15"/>
  <c r="M780" i="15"/>
  <c r="M788" i="15"/>
  <c r="M794" i="15"/>
  <c r="M796" i="15"/>
  <c r="M802" i="15"/>
  <c r="M804" i="15"/>
  <c r="M810" i="15"/>
  <c r="M812" i="15"/>
  <c r="F742" i="15"/>
  <c r="F745" i="15"/>
  <c r="F747" i="15"/>
  <c r="F750" i="15"/>
  <c r="F755" i="15"/>
  <c r="F758" i="15"/>
  <c r="F761" i="15"/>
  <c r="F769" i="15"/>
  <c r="F774" i="15"/>
  <c r="F777" i="15"/>
  <c r="F779" i="15"/>
  <c r="F782" i="15"/>
  <c r="F787" i="15"/>
  <c r="F790" i="15"/>
  <c r="F793" i="15"/>
  <c r="F795" i="15"/>
  <c r="F798" i="15"/>
  <c r="F801" i="15"/>
  <c r="F803" i="15"/>
  <c r="F806" i="15"/>
  <c r="F809" i="15"/>
  <c r="G739" i="15"/>
  <c r="G741" i="15"/>
  <c r="G744" i="15"/>
  <c r="G747" i="15"/>
  <c r="G749" i="15"/>
  <c r="G752" i="15"/>
  <c r="G757" i="15"/>
  <c r="G760" i="15"/>
  <c r="G763" i="15"/>
  <c r="G765" i="15"/>
  <c r="G768" i="15"/>
  <c r="G771" i="15"/>
  <c r="G773" i="15"/>
  <c r="G776" i="15"/>
  <c r="G779" i="15"/>
  <c r="G784" i="15"/>
  <c r="G787" i="15"/>
  <c r="G789" i="15"/>
  <c r="G792" i="15"/>
  <c r="G795" i="15"/>
  <c r="G797" i="15"/>
  <c r="G800" i="15"/>
  <c r="G803" i="15"/>
  <c r="G808" i="15"/>
  <c r="G811" i="15"/>
  <c r="H735" i="15"/>
  <c r="H741" i="15"/>
  <c r="H751" i="15"/>
  <c r="H754" i="15"/>
  <c r="H759" i="15"/>
  <c r="H762" i="15"/>
  <c r="H767" i="15"/>
  <c r="H770" i="15"/>
  <c r="H773" i="15"/>
  <c r="H775" i="15"/>
  <c r="H778" i="15"/>
  <c r="H781" i="15"/>
  <c r="H783" i="15"/>
  <c r="H786" i="15"/>
  <c r="H789" i="15"/>
  <c r="H791" i="15"/>
  <c r="H794" i="15"/>
  <c r="H802" i="15"/>
  <c r="H805" i="15"/>
  <c r="H807" i="15"/>
  <c r="H810" i="15"/>
  <c r="I735" i="15"/>
  <c r="I737" i="15"/>
  <c r="I740" i="15"/>
  <c r="I743" i="15"/>
  <c r="I748" i="15"/>
  <c r="I751" i="15"/>
  <c r="I753" i="15"/>
  <c r="I756" i="15"/>
  <c r="I759" i="15"/>
  <c r="I761" i="15"/>
  <c r="I764" i="15"/>
  <c r="I767" i="15"/>
  <c r="I769" i="15"/>
  <c r="I777" i="15"/>
  <c r="I780" i="15"/>
  <c r="I785" i="15"/>
  <c r="I788" i="15"/>
  <c r="I793" i="15"/>
  <c r="I796" i="15"/>
  <c r="I799" i="15"/>
  <c r="I801" i="15"/>
  <c r="I804" i="15"/>
  <c r="I807" i="15"/>
  <c r="I812" i="15"/>
  <c r="H734" i="15"/>
  <c r="I734" i="15"/>
  <c r="AZ59" i="15"/>
  <c r="AD59" i="15"/>
  <c r="AE59" i="15"/>
  <c r="AF59" i="15"/>
  <c r="AG59" i="15"/>
  <c r="AH59" i="15"/>
  <c r="AI59" i="15"/>
  <c r="E528" i="15" s="1"/>
  <c r="AJ59" i="15"/>
  <c r="AK59" i="15"/>
  <c r="E530" i="15" s="1"/>
  <c r="AL59" i="15"/>
  <c r="AM59" i="15"/>
  <c r="AN59" i="15"/>
  <c r="AO59" i="15"/>
  <c r="AP59" i="15"/>
  <c r="AQ59" i="15"/>
  <c r="B774" i="15" s="1"/>
  <c r="AR59" i="15"/>
  <c r="AS59" i="15"/>
  <c r="B776" i="15" s="1"/>
  <c r="AT59" i="15"/>
  <c r="AU59" i="15"/>
  <c r="AC59" i="15"/>
  <c r="V59" i="15"/>
  <c r="W59" i="15"/>
  <c r="X59" i="15"/>
  <c r="Y59" i="15"/>
  <c r="Z59" i="15"/>
  <c r="B757" i="15" s="1"/>
  <c r="AA59" i="15"/>
  <c r="B758" i="15" s="1"/>
  <c r="U59" i="15"/>
  <c r="S60" i="15"/>
  <c r="T60" i="15"/>
  <c r="U60" i="15"/>
  <c r="V60" i="15"/>
  <c r="W60" i="15"/>
  <c r="X60" i="15"/>
  <c r="C755" i="15" s="1"/>
  <c r="Y60" i="15"/>
  <c r="Z60" i="15"/>
  <c r="C757" i="15" s="1"/>
  <c r="AA60" i="15"/>
  <c r="AB60" i="15"/>
  <c r="AC60" i="15"/>
  <c r="AD60" i="15"/>
  <c r="AE60" i="15"/>
  <c r="AF60" i="15"/>
  <c r="C763" i="15" s="1"/>
  <c r="AG60" i="15"/>
  <c r="AH60" i="15"/>
  <c r="C765" i="15" s="1"/>
  <c r="AI60" i="15"/>
  <c r="AJ60" i="15"/>
  <c r="AK60" i="15"/>
  <c r="AL60" i="15"/>
  <c r="AM60" i="15"/>
  <c r="AN60" i="15"/>
  <c r="C771" i="15" s="1"/>
  <c r="AO60" i="15"/>
  <c r="AP60" i="15"/>
  <c r="C773" i="15" s="1"/>
  <c r="AQ60" i="15"/>
  <c r="AR60" i="15"/>
  <c r="AS60" i="15"/>
  <c r="AT60" i="15"/>
  <c r="AU60" i="15"/>
  <c r="AV60" i="15"/>
  <c r="C779" i="15" s="1"/>
  <c r="AW60" i="15"/>
  <c r="AX60" i="15"/>
  <c r="AY60" i="15"/>
  <c r="AZ60" i="15"/>
  <c r="BA60" i="15"/>
  <c r="BB60" i="15"/>
  <c r="BC60" i="15"/>
  <c r="BD60" i="15"/>
  <c r="C787" i="15" s="1"/>
  <c r="BE60" i="15"/>
  <c r="BF60" i="15"/>
  <c r="C789" i="15" s="1"/>
  <c r="BG60" i="15"/>
  <c r="BH60" i="15"/>
  <c r="BI60" i="15"/>
  <c r="BJ60" i="15"/>
  <c r="BK60" i="15"/>
  <c r="BL60" i="15"/>
  <c r="C795" i="15" s="1"/>
  <c r="BM60" i="15"/>
  <c r="BN60" i="15"/>
  <c r="C797" i="15" s="1"/>
  <c r="BO60" i="15"/>
  <c r="BP60" i="15"/>
  <c r="BQ60" i="15"/>
  <c r="BR60" i="15"/>
  <c r="BS60" i="15"/>
  <c r="BT60" i="15"/>
  <c r="C803" i="15" s="1"/>
  <c r="BU60" i="15"/>
  <c r="BV60" i="15"/>
  <c r="C805" i="15" s="1"/>
  <c r="BW60" i="15"/>
  <c r="BX60" i="15"/>
  <c r="BY60" i="15"/>
  <c r="C808" i="15" s="1"/>
  <c r="BZ60" i="15"/>
  <c r="CA60" i="15"/>
  <c r="CB60" i="15"/>
  <c r="C811" i="15" s="1"/>
  <c r="CC60" i="15"/>
  <c r="S61" i="15"/>
  <c r="T61" i="15"/>
  <c r="U61" i="15"/>
  <c r="V61" i="15"/>
  <c r="W61" i="15"/>
  <c r="X61" i="15"/>
  <c r="Y61" i="15"/>
  <c r="D756" i="15" s="1"/>
  <c r="Z61" i="15"/>
  <c r="AA61" i="15"/>
  <c r="D758" i="15" s="1"/>
  <c r="AB61" i="15"/>
  <c r="AC61" i="15"/>
  <c r="AD61" i="15"/>
  <c r="AE61" i="15"/>
  <c r="AF61" i="15"/>
  <c r="AG61" i="15"/>
  <c r="D764" i="15" s="1"/>
  <c r="AH61" i="15"/>
  <c r="AI61" i="15"/>
  <c r="D766" i="15" s="1"/>
  <c r="AJ61" i="15"/>
  <c r="AK61" i="15"/>
  <c r="AL61" i="15"/>
  <c r="AM61" i="15"/>
  <c r="AN61" i="15"/>
  <c r="AO61" i="15"/>
  <c r="AP61" i="15"/>
  <c r="AQ61" i="15"/>
  <c r="D774" i="15" s="1"/>
  <c r="AR61" i="15"/>
  <c r="AS61" i="15"/>
  <c r="AT61" i="15"/>
  <c r="AU61" i="15"/>
  <c r="AV61" i="15"/>
  <c r="AW61" i="15"/>
  <c r="D780" i="15" s="1"/>
  <c r="AX61" i="15"/>
  <c r="AY61" i="15"/>
  <c r="D782" i="15" s="1"/>
  <c r="AZ61" i="15"/>
  <c r="BA61" i="15"/>
  <c r="BB61" i="15"/>
  <c r="BC61" i="15"/>
  <c r="BD61" i="15"/>
  <c r="BE61" i="15"/>
  <c r="D788" i="15" s="1"/>
  <c r="BF61" i="15"/>
  <c r="BG61" i="15"/>
  <c r="D790" i="15" s="1"/>
  <c r="BH61" i="15"/>
  <c r="BI61" i="15"/>
  <c r="BJ61" i="15"/>
  <c r="BK61" i="15"/>
  <c r="BL61" i="15"/>
  <c r="BM61" i="15"/>
  <c r="D796" i="15" s="1"/>
  <c r="BN61" i="15"/>
  <c r="BO61" i="15"/>
  <c r="D798" i="15" s="1"/>
  <c r="BP61" i="15"/>
  <c r="BQ61" i="15"/>
  <c r="BR61" i="15"/>
  <c r="D801" i="15" s="1"/>
  <c r="BS61" i="15"/>
  <c r="BT61" i="15"/>
  <c r="BU61" i="15"/>
  <c r="D804" i="15" s="1"/>
  <c r="BV61" i="15"/>
  <c r="BW61" i="15"/>
  <c r="D806" i="15" s="1"/>
  <c r="BX61" i="15"/>
  <c r="BY61" i="15"/>
  <c r="D808" i="15" s="1"/>
  <c r="BZ61" i="15"/>
  <c r="D809" i="15" s="1"/>
  <c r="CA61" i="15"/>
  <c r="CB61" i="15"/>
  <c r="CC61" i="15"/>
  <c r="D812" i="15" s="1"/>
  <c r="D59" i="15"/>
  <c r="B735" i="15" s="1"/>
  <c r="E59" i="15"/>
  <c r="F59" i="15"/>
  <c r="G59" i="15"/>
  <c r="H59" i="15"/>
  <c r="I59" i="15"/>
  <c r="J59" i="15"/>
  <c r="K59" i="15"/>
  <c r="D418" i="15" s="1"/>
  <c r="L59" i="15"/>
  <c r="M59" i="15"/>
  <c r="N59" i="15"/>
  <c r="O59" i="15"/>
  <c r="P59" i="15"/>
  <c r="Q59" i="15"/>
  <c r="R59" i="15"/>
  <c r="D60" i="15"/>
  <c r="C735" i="15" s="1"/>
  <c r="E60" i="15"/>
  <c r="F60" i="15"/>
  <c r="G60" i="15"/>
  <c r="H60" i="15"/>
  <c r="I60" i="15"/>
  <c r="J60" i="15"/>
  <c r="K60" i="15"/>
  <c r="L60" i="15"/>
  <c r="C743" i="15" s="1"/>
  <c r="M60" i="15"/>
  <c r="N60" i="15"/>
  <c r="O60" i="15"/>
  <c r="P60" i="15"/>
  <c r="Q60" i="15"/>
  <c r="R60" i="15"/>
  <c r="D61" i="15"/>
  <c r="E61" i="15"/>
  <c r="F61" i="15"/>
  <c r="G61" i="15"/>
  <c r="H61" i="15"/>
  <c r="I61" i="15"/>
  <c r="J61" i="15"/>
  <c r="K61" i="15"/>
  <c r="L61" i="15"/>
  <c r="M61" i="15"/>
  <c r="D744" i="15" s="1"/>
  <c r="N61" i="15"/>
  <c r="O61" i="15"/>
  <c r="P61" i="15"/>
  <c r="Q61" i="15"/>
  <c r="R61" i="15"/>
  <c r="C60" i="15"/>
  <c r="C61" i="15"/>
  <c r="C59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51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47" i="15"/>
  <c r="O817" i="15"/>
  <c r="M817" i="15"/>
  <c r="L817" i="15"/>
  <c r="K817" i="15"/>
  <c r="I817" i="15"/>
  <c r="G817" i="15"/>
  <c r="F817" i="15"/>
  <c r="E817" i="15"/>
  <c r="X813" i="15"/>
  <c r="X815" i="15" s="1"/>
  <c r="W813" i="15"/>
  <c r="W815" i="15" s="1"/>
  <c r="U813" i="15"/>
  <c r="U815" i="15" s="1"/>
  <c r="A813" i="15"/>
  <c r="T812" i="15"/>
  <c r="S812" i="15"/>
  <c r="R812" i="15"/>
  <c r="Q812" i="15"/>
  <c r="P812" i="15"/>
  <c r="L812" i="15"/>
  <c r="K812" i="15"/>
  <c r="H812" i="15"/>
  <c r="G812" i="15"/>
  <c r="F812" i="15"/>
  <c r="C812" i="15"/>
  <c r="A812" i="15"/>
  <c r="T811" i="15"/>
  <c r="S811" i="15"/>
  <c r="R811" i="15"/>
  <c r="Q811" i="15"/>
  <c r="P811" i="15"/>
  <c r="M811" i="15"/>
  <c r="L811" i="15"/>
  <c r="K811" i="15"/>
  <c r="I811" i="15"/>
  <c r="H811" i="15"/>
  <c r="F811" i="15"/>
  <c r="D811" i="15"/>
  <c r="A811" i="15"/>
  <c r="T810" i="15"/>
  <c r="S810" i="15"/>
  <c r="R810" i="15"/>
  <c r="Q810" i="15"/>
  <c r="P810" i="15"/>
  <c r="K810" i="15"/>
  <c r="I810" i="15"/>
  <c r="G810" i="15"/>
  <c r="F810" i="15"/>
  <c r="D810" i="15"/>
  <c r="C810" i="15"/>
  <c r="A810" i="15"/>
  <c r="T809" i="15"/>
  <c r="S809" i="15"/>
  <c r="R809" i="15"/>
  <c r="Q809" i="15"/>
  <c r="P809" i="15"/>
  <c r="M809" i="15"/>
  <c r="L809" i="15"/>
  <c r="K809" i="15"/>
  <c r="I809" i="15"/>
  <c r="H809" i="15"/>
  <c r="G809" i="15"/>
  <c r="C809" i="15"/>
  <c r="A809" i="15"/>
  <c r="T808" i="15"/>
  <c r="S808" i="15"/>
  <c r="R808" i="15"/>
  <c r="Q808" i="15"/>
  <c r="P808" i="15"/>
  <c r="M808" i="15"/>
  <c r="I808" i="15"/>
  <c r="H808" i="15"/>
  <c r="F808" i="15"/>
  <c r="A808" i="15"/>
  <c r="T807" i="15"/>
  <c r="S807" i="15"/>
  <c r="R807" i="15"/>
  <c r="Q807" i="15"/>
  <c r="P807" i="15"/>
  <c r="M807" i="15"/>
  <c r="L807" i="15"/>
  <c r="K807" i="15"/>
  <c r="G807" i="15"/>
  <c r="F807" i="15"/>
  <c r="D807" i="15"/>
  <c r="C807" i="15"/>
  <c r="A807" i="15"/>
  <c r="T806" i="15"/>
  <c r="S806" i="15"/>
  <c r="R806" i="15"/>
  <c r="Q806" i="15"/>
  <c r="P806" i="15"/>
  <c r="M806" i="15"/>
  <c r="L806" i="15"/>
  <c r="I806" i="15"/>
  <c r="H806" i="15"/>
  <c r="G806" i="15"/>
  <c r="C806" i="15"/>
  <c r="A806" i="15"/>
  <c r="T805" i="15"/>
  <c r="S805" i="15"/>
  <c r="R805" i="15"/>
  <c r="Q805" i="15"/>
  <c r="P805" i="15"/>
  <c r="M805" i="15"/>
  <c r="L805" i="15"/>
  <c r="K805" i="15"/>
  <c r="I805" i="15"/>
  <c r="G805" i="15"/>
  <c r="F805" i="15"/>
  <c r="D805" i="15"/>
  <c r="A805" i="15"/>
  <c r="S804" i="15"/>
  <c r="R804" i="15"/>
  <c r="Q804" i="15"/>
  <c r="P804" i="15"/>
  <c r="L804" i="15"/>
  <c r="K804" i="15"/>
  <c r="H804" i="15"/>
  <c r="G804" i="15"/>
  <c r="F804" i="15"/>
  <c r="C804" i="15"/>
  <c r="A804" i="15"/>
  <c r="T803" i="15"/>
  <c r="S803" i="15"/>
  <c r="R803" i="15"/>
  <c r="Q803" i="15"/>
  <c r="P803" i="15"/>
  <c r="M803" i="15"/>
  <c r="L803" i="15"/>
  <c r="K803" i="15"/>
  <c r="I803" i="15"/>
  <c r="H803" i="15"/>
  <c r="D803" i="15"/>
  <c r="A803" i="15"/>
  <c r="T802" i="15"/>
  <c r="S802" i="15"/>
  <c r="R802" i="15"/>
  <c r="Q802" i="15"/>
  <c r="P802" i="15"/>
  <c r="K802" i="15"/>
  <c r="I802" i="15"/>
  <c r="G802" i="15"/>
  <c r="F802" i="15"/>
  <c r="D802" i="15"/>
  <c r="C802" i="15"/>
  <c r="A802" i="15"/>
  <c r="T801" i="15"/>
  <c r="S801" i="15"/>
  <c r="R801" i="15"/>
  <c r="Q801" i="15"/>
  <c r="P801" i="15"/>
  <c r="M801" i="15"/>
  <c r="L801" i="15"/>
  <c r="K801" i="15"/>
  <c r="H801" i="15"/>
  <c r="G801" i="15"/>
  <c r="C801" i="15"/>
  <c r="A801" i="15"/>
  <c r="T800" i="15"/>
  <c r="S800" i="15"/>
  <c r="R800" i="15"/>
  <c r="Q800" i="15"/>
  <c r="P800" i="15"/>
  <c r="M800" i="15"/>
  <c r="I800" i="15"/>
  <c r="H800" i="15"/>
  <c r="F800" i="15"/>
  <c r="D800" i="15"/>
  <c r="C800" i="15"/>
  <c r="A800" i="15"/>
  <c r="T799" i="15"/>
  <c r="S799" i="15"/>
  <c r="R799" i="15"/>
  <c r="Q799" i="15"/>
  <c r="P799" i="15"/>
  <c r="M799" i="15"/>
  <c r="L799" i="15"/>
  <c r="K799" i="15"/>
  <c r="H799" i="15"/>
  <c r="G799" i="15"/>
  <c r="F799" i="15"/>
  <c r="D799" i="15"/>
  <c r="C799" i="15"/>
  <c r="A799" i="15"/>
  <c r="S798" i="15"/>
  <c r="R798" i="15"/>
  <c r="Q798" i="15"/>
  <c r="P798" i="15"/>
  <c r="M798" i="15"/>
  <c r="L798" i="15"/>
  <c r="I798" i="15"/>
  <c r="H798" i="15"/>
  <c r="G798" i="15"/>
  <c r="C798" i="15"/>
  <c r="A798" i="15"/>
  <c r="T797" i="15"/>
  <c r="S797" i="15"/>
  <c r="R797" i="15"/>
  <c r="Q797" i="15"/>
  <c r="P797" i="15"/>
  <c r="M797" i="15"/>
  <c r="L797" i="15"/>
  <c r="K797" i="15"/>
  <c r="I797" i="15"/>
  <c r="H797" i="15"/>
  <c r="F797" i="15"/>
  <c r="D797" i="15"/>
  <c r="A797" i="15"/>
  <c r="S796" i="15"/>
  <c r="R796" i="15"/>
  <c r="Q796" i="15"/>
  <c r="P796" i="15"/>
  <c r="L796" i="15"/>
  <c r="K796" i="15"/>
  <c r="H796" i="15"/>
  <c r="G796" i="15"/>
  <c r="F796" i="15"/>
  <c r="C796" i="15"/>
  <c r="A796" i="15"/>
  <c r="T795" i="15"/>
  <c r="S795" i="15"/>
  <c r="R795" i="15"/>
  <c r="Q795" i="15"/>
  <c r="P795" i="15"/>
  <c r="M795" i="15"/>
  <c r="L795" i="15"/>
  <c r="K795" i="15"/>
  <c r="I795" i="15"/>
  <c r="H795" i="15"/>
  <c r="D795" i="15"/>
  <c r="A795" i="15"/>
  <c r="T794" i="15"/>
  <c r="S794" i="15"/>
  <c r="R794" i="15"/>
  <c r="Q794" i="15"/>
  <c r="P794" i="15"/>
  <c r="K794" i="15"/>
  <c r="I794" i="15"/>
  <c r="G794" i="15"/>
  <c r="F794" i="15"/>
  <c r="D794" i="15"/>
  <c r="C794" i="15"/>
  <c r="A794" i="15"/>
  <c r="T793" i="15"/>
  <c r="S793" i="15"/>
  <c r="R793" i="15"/>
  <c r="Q793" i="15"/>
  <c r="P793" i="15"/>
  <c r="M793" i="15"/>
  <c r="L793" i="15"/>
  <c r="K793" i="15"/>
  <c r="H793" i="15"/>
  <c r="G793" i="15"/>
  <c r="D793" i="15"/>
  <c r="C793" i="15"/>
  <c r="A793" i="15"/>
  <c r="T792" i="15"/>
  <c r="S792" i="15"/>
  <c r="R792" i="15"/>
  <c r="Q792" i="15"/>
  <c r="P792" i="15"/>
  <c r="M792" i="15"/>
  <c r="I792" i="15"/>
  <c r="H792" i="15"/>
  <c r="F792" i="15"/>
  <c r="D792" i="15"/>
  <c r="C792" i="15"/>
  <c r="A792" i="15"/>
  <c r="T791" i="15"/>
  <c r="S791" i="15"/>
  <c r="R791" i="15"/>
  <c r="Q791" i="15"/>
  <c r="P791" i="15"/>
  <c r="M791" i="15"/>
  <c r="L791" i="15"/>
  <c r="K791" i="15"/>
  <c r="I791" i="15"/>
  <c r="G791" i="15"/>
  <c r="F791" i="15"/>
  <c r="D791" i="15"/>
  <c r="C791" i="15"/>
  <c r="A791" i="15"/>
  <c r="T790" i="15"/>
  <c r="S790" i="15"/>
  <c r="R790" i="15"/>
  <c r="Q790" i="15"/>
  <c r="P790" i="15"/>
  <c r="M790" i="15"/>
  <c r="L790" i="15"/>
  <c r="I790" i="15"/>
  <c r="H790" i="15"/>
  <c r="G790" i="15"/>
  <c r="C790" i="15"/>
  <c r="A790" i="15"/>
  <c r="T789" i="15"/>
  <c r="S789" i="15"/>
  <c r="R789" i="15"/>
  <c r="Q789" i="15"/>
  <c r="P789" i="15"/>
  <c r="M789" i="15"/>
  <c r="L789" i="15"/>
  <c r="K789" i="15"/>
  <c r="I789" i="15"/>
  <c r="F789" i="15"/>
  <c r="D789" i="15"/>
  <c r="A789" i="15"/>
  <c r="T788" i="15"/>
  <c r="S788" i="15"/>
  <c r="R788" i="15"/>
  <c r="Q788" i="15"/>
  <c r="P788" i="15"/>
  <c r="L788" i="15"/>
  <c r="K788" i="15"/>
  <c r="H788" i="15"/>
  <c r="G788" i="15"/>
  <c r="F788" i="15"/>
  <c r="C788" i="15"/>
  <c r="B788" i="15"/>
  <c r="A788" i="15"/>
  <c r="T787" i="15"/>
  <c r="S787" i="15"/>
  <c r="R787" i="15"/>
  <c r="Q787" i="15"/>
  <c r="P787" i="15"/>
  <c r="M787" i="15"/>
  <c r="L787" i="15"/>
  <c r="K787" i="15"/>
  <c r="I787" i="15"/>
  <c r="H787" i="15"/>
  <c r="D787" i="15"/>
  <c r="A787" i="15"/>
  <c r="T786" i="15"/>
  <c r="S786" i="15"/>
  <c r="R786" i="15"/>
  <c r="Q786" i="15"/>
  <c r="P786" i="15"/>
  <c r="M786" i="15"/>
  <c r="K786" i="15"/>
  <c r="I786" i="15"/>
  <c r="G786" i="15"/>
  <c r="F786" i="15"/>
  <c r="D786" i="15"/>
  <c r="C786" i="15"/>
  <c r="A786" i="15"/>
  <c r="T785" i="15"/>
  <c r="S785" i="15"/>
  <c r="R785" i="15"/>
  <c r="Q785" i="15"/>
  <c r="P785" i="15"/>
  <c r="M785" i="15"/>
  <c r="L785" i="15"/>
  <c r="K785" i="15"/>
  <c r="H785" i="15"/>
  <c r="G785" i="15"/>
  <c r="F785" i="15"/>
  <c r="D785" i="15"/>
  <c r="C785" i="15"/>
  <c r="A785" i="15"/>
  <c r="T784" i="15"/>
  <c r="S784" i="15"/>
  <c r="R784" i="15"/>
  <c r="Q784" i="15"/>
  <c r="P784" i="15"/>
  <c r="M784" i="15"/>
  <c r="I784" i="15"/>
  <c r="H784" i="15"/>
  <c r="F784" i="15"/>
  <c r="D784" i="15"/>
  <c r="C784" i="15"/>
  <c r="B784" i="15"/>
  <c r="A784" i="15"/>
  <c r="T783" i="15"/>
  <c r="S783" i="15"/>
  <c r="R783" i="15"/>
  <c r="Q783" i="15"/>
  <c r="P783" i="15"/>
  <c r="M783" i="15"/>
  <c r="L783" i="15"/>
  <c r="K783" i="15"/>
  <c r="I783" i="15"/>
  <c r="G783" i="15"/>
  <c r="F783" i="15"/>
  <c r="D783" i="15"/>
  <c r="C783" i="15"/>
  <c r="B783" i="15"/>
  <c r="A783" i="15"/>
  <c r="S782" i="15"/>
  <c r="R782" i="15"/>
  <c r="Q782" i="15"/>
  <c r="P782" i="15"/>
  <c r="M782" i="15"/>
  <c r="L782" i="15"/>
  <c r="I782" i="15"/>
  <c r="H782" i="15"/>
  <c r="G782" i="15"/>
  <c r="C782" i="15"/>
  <c r="B782" i="15"/>
  <c r="A782" i="15"/>
  <c r="T781" i="15"/>
  <c r="S781" i="15"/>
  <c r="R781" i="15"/>
  <c r="Q781" i="15"/>
  <c r="P781" i="15"/>
  <c r="M781" i="15"/>
  <c r="L781" i="15"/>
  <c r="K781" i="15"/>
  <c r="I781" i="15"/>
  <c r="G781" i="15"/>
  <c r="F781" i="15"/>
  <c r="D781" i="15"/>
  <c r="C781" i="15"/>
  <c r="A781" i="15"/>
  <c r="S780" i="15"/>
  <c r="R780" i="15"/>
  <c r="Q780" i="15"/>
  <c r="P780" i="15"/>
  <c r="L780" i="15"/>
  <c r="K780" i="15"/>
  <c r="H780" i="15"/>
  <c r="G780" i="15"/>
  <c r="F780" i="15"/>
  <c r="C780" i="15"/>
  <c r="A780" i="15"/>
  <c r="T779" i="15"/>
  <c r="S779" i="15"/>
  <c r="R779" i="15"/>
  <c r="Q779" i="15"/>
  <c r="P779" i="15"/>
  <c r="O779" i="15"/>
  <c r="M779" i="15"/>
  <c r="L779" i="15"/>
  <c r="K779" i="15"/>
  <c r="I779" i="15"/>
  <c r="H779" i="15"/>
  <c r="D779" i="15"/>
  <c r="A779" i="15"/>
  <c r="T778" i="15"/>
  <c r="S778" i="15"/>
  <c r="R778" i="15"/>
  <c r="Q778" i="15"/>
  <c r="P778" i="15"/>
  <c r="O778" i="15"/>
  <c r="M778" i="15"/>
  <c r="K778" i="15"/>
  <c r="I778" i="15"/>
  <c r="G778" i="15"/>
  <c r="F778" i="15"/>
  <c r="D778" i="15"/>
  <c r="C778" i="15"/>
  <c r="B778" i="15"/>
  <c r="A778" i="15"/>
  <c r="T777" i="15"/>
  <c r="S777" i="15"/>
  <c r="R777" i="15"/>
  <c r="Q777" i="15"/>
  <c r="P777" i="15"/>
  <c r="O777" i="15"/>
  <c r="M777" i="15"/>
  <c r="L777" i="15"/>
  <c r="K777" i="15"/>
  <c r="H777" i="15"/>
  <c r="G777" i="15"/>
  <c r="D777" i="15"/>
  <c r="C777" i="15"/>
  <c r="B777" i="15"/>
  <c r="A777" i="15"/>
  <c r="T776" i="15"/>
  <c r="S776" i="15"/>
  <c r="R776" i="15"/>
  <c r="Q776" i="15"/>
  <c r="P776" i="15"/>
  <c r="O776" i="15"/>
  <c r="M776" i="15"/>
  <c r="I776" i="15"/>
  <c r="H776" i="15"/>
  <c r="F776" i="15"/>
  <c r="D776" i="15"/>
  <c r="C776" i="15"/>
  <c r="A776" i="15"/>
  <c r="T775" i="15"/>
  <c r="S775" i="15"/>
  <c r="R775" i="15"/>
  <c r="Q775" i="15"/>
  <c r="P775" i="15"/>
  <c r="O775" i="15"/>
  <c r="M775" i="15"/>
  <c r="L775" i="15"/>
  <c r="K775" i="15"/>
  <c r="I775" i="15"/>
  <c r="G775" i="15"/>
  <c r="F775" i="15"/>
  <c r="D775" i="15"/>
  <c r="C775" i="15"/>
  <c r="B775" i="15"/>
  <c r="A775" i="15"/>
  <c r="S774" i="15"/>
  <c r="R774" i="15"/>
  <c r="Q774" i="15"/>
  <c r="P774" i="15"/>
  <c r="M774" i="15"/>
  <c r="L774" i="15"/>
  <c r="I774" i="15"/>
  <c r="H774" i="15"/>
  <c r="G774" i="15"/>
  <c r="C774" i="15"/>
  <c r="A774" i="15"/>
  <c r="T773" i="15"/>
  <c r="S773" i="15"/>
  <c r="R773" i="15"/>
  <c r="Q773" i="15"/>
  <c r="P773" i="15"/>
  <c r="O773" i="15"/>
  <c r="M773" i="15"/>
  <c r="L773" i="15"/>
  <c r="K773" i="15"/>
  <c r="I773" i="15"/>
  <c r="F773" i="15"/>
  <c r="D773" i="15"/>
  <c r="B773" i="15"/>
  <c r="A773" i="15"/>
  <c r="T772" i="15"/>
  <c r="S772" i="15"/>
  <c r="R772" i="15"/>
  <c r="Q772" i="15"/>
  <c r="P772" i="15"/>
  <c r="O772" i="15"/>
  <c r="M772" i="15"/>
  <c r="L772" i="15"/>
  <c r="K772" i="15"/>
  <c r="I772" i="15"/>
  <c r="H772" i="15"/>
  <c r="G772" i="15"/>
  <c r="F772" i="15"/>
  <c r="D772" i="15"/>
  <c r="C772" i="15"/>
  <c r="B772" i="15"/>
  <c r="A772" i="15"/>
  <c r="T771" i="15"/>
  <c r="S771" i="15"/>
  <c r="R771" i="15"/>
  <c r="Q771" i="15"/>
  <c r="P771" i="15"/>
  <c r="M771" i="15"/>
  <c r="L771" i="15"/>
  <c r="K771" i="15"/>
  <c r="I771" i="15"/>
  <c r="H771" i="15"/>
  <c r="F771" i="15"/>
  <c r="D771" i="15"/>
  <c r="B771" i="15"/>
  <c r="A771" i="15"/>
  <c r="T770" i="15"/>
  <c r="S770" i="15"/>
  <c r="R770" i="15"/>
  <c r="Q770" i="15"/>
  <c r="P770" i="15"/>
  <c r="O770" i="15"/>
  <c r="L770" i="15"/>
  <c r="K770" i="15"/>
  <c r="I770" i="15"/>
  <c r="G770" i="15"/>
  <c r="F770" i="15"/>
  <c r="D770" i="15"/>
  <c r="C770" i="15"/>
  <c r="B770" i="15"/>
  <c r="A770" i="15"/>
  <c r="T769" i="15"/>
  <c r="S769" i="15"/>
  <c r="R769" i="15"/>
  <c r="Q769" i="15"/>
  <c r="P769" i="15"/>
  <c r="O769" i="15"/>
  <c r="M769" i="15"/>
  <c r="L769" i="15"/>
  <c r="K769" i="15"/>
  <c r="H769" i="15"/>
  <c r="G769" i="15"/>
  <c r="D769" i="15"/>
  <c r="C769" i="15"/>
  <c r="B769" i="15"/>
  <c r="A769" i="15"/>
  <c r="T768" i="15"/>
  <c r="S768" i="15"/>
  <c r="R768" i="15"/>
  <c r="Q768" i="15"/>
  <c r="P768" i="15"/>
  <c r="O768" i="15"/>
  <c r="M768" i="15"/>
  <c r="I768" i="15"/>
  <c r="H768" i="15"/>
  <c r="F768" i="15"/>
  <c r="D768" i="15"/>
  <c r="C768" i="15"/>
  <c r="A768" i="15"/>
  <c r="T767" i="15"/>
  <c r="S767" i="15"/>
  <c r="R767" i="15"/>
  <c r="Q767" i="15"/>
  <c r="P767" i="15"/>
  <c r="O767" i="15"/>
  <c r="M767" i="15"/>
  <c r="L767" i="15"/>
  <c r="K767" i="15"/>
  <c r="G767" i="15"/>
  <c r="F767" i="15"/>
  <c r="D767" i="15"/>
  <c r="C767" i="15"/>
  <c r="B767" i="15"/>
  <c r="A767" i="15"/>
  <c r="S766" i="15"/>
  <c r="R766" i="15"/>
  <c r="Q766" i="15"/>
  <c r="P766" i="15"/>
  <c r="M766" i="15"/>
  <c r="L766" i="15"/>
  <c r="I766" i="15"/>
  <c r="H766" i="15"/>
  <c r="G766" i="15"/>
  <c r="F766" i="15"/>
  <c r="C766" i="15"/>
  <c r="A766" i="15"/>
  <c r="T765" i="15"/>
  <c r="S765" i="15"/>
  <c r="R765" i="15"/>
  <c r="Q765" i="15"/>
  <c r="P765" i="15"/>
  <c r="O765" i="15"/>
  <c r="M765" i="15"/>
  <c r="L765" i="15"/>
  <c r="K765" i="15"/>
  <c r="I765" i="15"/>
  <c r="H765" i="15"/>
  <c r="F765" i="15"/>
  <c r="D765" i="15"/>
  <c r="B765" i="15"/>
  <c r="A765" i="15"/>
  <c r="S764" i="15"/>
  <c r="R764" i="15"/>
  <c r="Q764" i="15"/>
  <c r="P764" i="15"/>
  <c r="L764" i="15"/>
  <c r="K764" i="15"/>
  <c r="H764" i="15"/>
  <c r="G764" i="15"/>
  <c r="F764" i="15"/>
  <c r="C764" i="15"/>
  <c r="B764" i="15"/>
  <c r="A764" i="15"/>
  <c r="T763" i="15"/>
  <c r="S763" i="15"/>
  <c r="R763" i="15"/>
  <c r="Q763" i="15"/>
  <c r="P763" i="15"/>
  <c r="M763" i="15"/>
  <c r="L763" i="15"/>
  <c r="K763" i="15"/>
  <c r="I763" i="15"/>
  <c r="H763" i="15"/>
  <c r="F763" i="15"/>
  <c r="D763" i="15"/>
  <c r="B763" i="15"/>
  <c r="A763" i="15"/>
  <c r="T762" i="15"/>
  <c r="S762" i="15"/>
  <c r="R762" i="15"/>
  <c r="Q762" i="15"/>
  <c r="P762" i="15"/>
  <c r="O762" i="15"/>
  <c r="K762" i="15"/>
  <c r="I762" i="15"/>
  <c r="G762" i="15"/>
  <c r="F762" i="15"/>
  <c r="D762" i="15"/>
  <c r="C762" i="15"/>
  <c r="B762" i="15"/>
  <c r="A762" i="15"/>
  <c r="T761" i="15"/>
  <c r="S761" i="15"/>
  <c r="R761" i="15"/>
  <c r="Q761" i="15"/>
  <c r="P761" i="15"/>
  <c r="O761" i="15"/>
  <c r="M761" i="15"/>
  <c r="L761" i="15"/>
  <c r="K761" i="15"/>
  <c r="H761" i="15"/>
  <c r="G761" i="15"/>
  <c r="D761" i="15"/>
  <c r="C761" i="15"/>
  <c r="B761" i="15"/>
  <c r="A761" i="15"/>
  <c r="T760" i="15"/>
  <c r="S760" i="15"/>
  <c r="R760" i="15"/>
  <c r="Q760" i="15"/>
  <c r="P760" i="15"/>
  <c r="O760" i="15"/>
  <c r="M760" i="15"/>
  <c r="I760" i="15"/>
  <c r="H760" i="15"/>
  <c r="F760" i="15"/>
  <c r="D760" i="15"/>
  <c r="C760" i="15"/>
  <c r="B760" i="15"/>
  <c r="A760" i="15"/>
  <c r="T759" i="15"/>
  <c r="S759" i="15"/>
  <c r="R759" i="15"/>
  <c r="Q759" i="15"/>
  <c r="P759" i="15"/>
  <c r="O759" i="15"/>
  <c r="M759" i="15"/>
  <c r="L759" i="15"/>
  <c r="K759" i="15"/>
  <c r="G759" i="15"/>
  <c r="F759" i="15"/>
  <c r="D759" i="15"/>
  <c r="C759" i="15"/>
  <c r="A759" i="15"/>
  <c r="S758" i="15"/>
  <c r="R758" i="15"/>
  <c r="Q758" i="15"/>
  <c r="P758" i="15"/>
  <c r="M758" i="15"/>
  <c r="L758" i="15"/>
  <c r="I758" i="15"/>
  <c r="H758" i="15"/>
  <c r="G758" i="15"/>
  <c r="C758" i="15"/>
  <c r="A758" i="15"/>
  <c r="T757" i="15"/>
  <c r="S757" i="15"/>
  <c r="R757" i="15"/>
  <c r="Q757" i="15"/>
  <c r="P757" i="15"/>
  <c r="O757" i="15"/>
  <c r="M757" i="15"/>
  <c r="L757" i="15"/>
  <c r="K757" i="15"/>
  <c r="I757" i="15"/>
  <c r="H757" i="15"/>
  <c r="F757" i="15"/>
  <c r="D757" i="15"/>
  <c r="A757" i="15"/>
  <c r="S756" i="15"/>
  <c r="R756" i="15"/>
  <c r="Q756" i="15"/>
  <c r="P756" i="15"/>
  <c r="L756" i="15"/>
  <c r="K756" i="15"/>
  <c r="H756" i="15"/>
  <c r="G756" i="15"/>
  <c r="F756" i="15"/>
  <c r="C756" i="15"/>
  <c r="B756" i="15"/>
  <c r="A756" i="15"/>
  <c r="T755" i="15"/>
  <c r="S755" i="15"/>
  <c r="R755" i="15"/>
  <c r="Q755" i="15"/>
  <c r="P755" i="15"/>
  <c r="M755" i="15"/>
  <c r="L755" i="15"/>
  <c r="K755" i="15"/>
  <c r="I755" i="15"/>
  <c r="H755" i="15"/>
  <c r="G755" i="15"/>
  <c r="D755" i="15"/>
  <c r="B755" i="15"/>
  <c r="A755" i="15"/>
  <c r="T754" i="15"/>
  <c r="S754" i="15"/>
  <c r="R754" i="15"/>
  <c r="Q754" i="15"/>
  <c r="P754" i="15"/>
  <c r="O754" i="15"/>
  <c r="K754" i="15"/>
  <c r="I754" i="15"/>
  <c r="G754" i="15"/>
  <c r="F754" i="15"/>
  <c r="D754" i="15"/>
  <c r="C754" i="15"/>
  <c r="B754" i="15"/>
  <c r="A754" i="15"/>
  <c r="T753" i="15"/>
  <c r="S753" i="15"/>
  <c r="R753" i="15"/>
  <c r="Q753" i="15"/>
  <c r="P753" i="15"/>
  <c r="O753" i="15"/>
  <c r="M753" i="15"/>
  <c r="L753" i="15"/>
  <c r="K753" i="15"/>
  <c r="H753" i="15"/>
  <c r="G753" i="15"/>
  <c r="F753" i="15"/>
  <c r="D753" i="15"/>
  <c r="C753" i="15"/>
  <c r="B753" i="15"/>
  <c r="A753" i="15"/>
  <c r="T752" i="15"/>
  <c r="S752" i="15"/>
  <c r="R752" i="15"/>
  <c r="Q752" i="15"/>
  <c r="P752" i="15"/>
  <c r="O752" i="15"/>
  <c r="M752" i="15"/>
  <c r="I752" i="15"/>
  <c r="H752" i="15"/>
  <c r="F752" i="15"/>
  <c r="D752" i="15"/>
  <c r="C752" i="15"/>
  <c r="B752" i="15"/>
  <c r="A752" i="15"/>
  <c r="T751" i="15"/>
  <c r="S751" i="15"/>
  <c r="R751" i="15"/>
  <c r="Q751" i="15"/>
  <c r="P751" i="15"/>
  <c r="O751" i="15"/>
  <c r="M751" i="15"/>
  <c r="L751" i="15"/>
  <c r="K751" i="15"/>
  <c r="G751" i="15"/>
  <c r="F751" i="15"/>
  <c r="D751" i="15"/>
  <c r="C751" i="15"/>
  <c r="A751" i="15"/>
  <c r="S750" i="15"/>
  <c r="R750" i="15"/>
  <c r="Q750" i="15"/>
  <c r="P750" i="15"/>
  <c r="M750" i="15"/>
  <c r="L750" i="15"/>
  <c r="I750" i="15"/>
  <c r="H750" i="15"/>
  <c r="G750" i="15"/>
  <c r="D750" i="15"/>
  <c r="C750" i="15"/>
  <c r="A750" i="15"/>
  <c r="T749" i="15"/>
  <c r="S749" i="15"/>
  <c r="R749" i="15"/>
  <c r="Q749" i="15"/>
  <c r="P749" i="15"/>
  <c r="O749" i="15"/>
  <c r="M749" i="15"/>
  <c r="L749" i="15"/>
  <c r="K749" i="15"/>
  <c r="I749" i="15"/>
  <c r="H749" i="15"/>
  <c r="F749" i="15"/>
  <c r="D749" i="15"/>
  <c r="C749" i="15"/>
  <c r="B749" i="15"/>
  <c r="A749" i="15"/>
  <c r="S748" i="15"/>
  <c r="R748" i="15"/>
  <c r="Q748" i="15"/>
  <c r="P748" i="15"/>
  <c r="L748" i="15"/>
  <c r="K748" i="15"/>
  <c r="H748" i="15"/>
  <c r="G748" i="15"/>
  <c r="F748" i="15"/>
  <c r="D748" i="15"/>
  <c r="C748" i="15"/>
  <c r="B748" i="15"/>
  <c r="A748" i="15"/>
  <c r="T747" i="15"/>
  <c r="S747" i="15"/>
  <c r="R747" i="15"/>
  <c r="Q747" i="15"/>
  <c r="P747" i="15"/>
  <c r="M747" i="15"/>
  <c r="L747" i="15"/>
  <c r="K747" i="15"/>
  <c r="I747" i="15"/>
  <c r="H747" i="15"/>
  <c r="D747" i="15"/>
  <c r="C747" i="15"/>
  <c r="B747" i="15"/>
  <c r="A747" i="15"/>
  <c r="T746" i="15"/>
  <c r="S746" i="15"/>
  <c r="R746" i="15"/>
  <c r="Q746" i="15"/>
  <c r="P746" i="15"/>
  <c r="O746" i="15"/>
  <c r="K746" i="15"/>
  <c r="I746" i="15"/>
  <c r="H746" i="15"/>
  <c r="G746" i="15"/>
  <c r="F746" i="15"/>
  <c r="D746" i="15"/>
  <c r="C746" i="15"/>
  <c r="B746" i="15"/>
  <c r="A746" i="15"/>
  <c r="T745" i="15"/>
  <c r="S745" i="15"/>
  <c r="R745" i="15"/>
  <c r="Q745" i="15"/>
  <c r="P745" i="15"/>
  <c r="O745" i="15"/>
  <c r="M745" i="15"/>
  <c r="L745" i="15"/>
  <c r="K745" i="15"/>
  <c r="I745" i="15"/>
  <c r="H745" i="15"/>
  <c r="G745" i="15"/>
  <c r="D745" i="15"/>
  <c r="C745" i="15"/>
  <c r="B745" i="15"/>
  <c r="A745" i="15"/>
  <c r="T744" i="15"/>
  <c r="S744" i="15"/>
  <c r="R744" i="15"/>
  <c r="Q744" i="15"/>
  <c r="P744" i="15"/>
  <c r="O744" i="15"/>
  <c r="M744" i="15"/>
  <c r="I744" i="15"/>
  <c r="H744" i="15"/>
  <c r="F744" i="15"/>
  <c r="C744" i="15"/>
  <c r="B744" i="15"/>
  <c r="A744" i="15"/>
  <c r="T743" i="15"/>
  <c r="S743" i="15"/>
  <c r="R743" i="15"/>
  <c r="Q743" i="15"/>
  <c r="P743" i="15"/>
  <c r="O743" i="15"/>
  <c r="M743" i="15"/>
  <c r="L743" i="15"/>
  <c r="K743" i="15"/>
  <c r="H743" i="15"/>
  <c r="G743" i="15"/>
  <c r="F743" i="15"/>
  <c r="D743" i="15"/>
  <c r="B743" i="15"/>
  <c r="A743" i="15"/>
  <c r="S742" i="15"/>
  <c r="R742" i="15"/>
  <c r="Q742" i="15"/>
  <c r="P742" i="15"/>
  <c r="M742" i="15"/>
  <c r="L742" i="15"/>
  <c r="I742" i="15"/>
  <c r="H742" i="15"/>
  <c r="G742" i="15"/>
  <c r="D742" i="15"/>
  <c r="C742" i="15"/>
  <c r="A742" i="15"/>
  <c r="T741" i="15"/>
  <c r="S741" i="15"/>
  <c r="R741" i="15"/>
  <c r="Q741" i="15"/>
  <c r="P741" i="15"/>
  <c r="O741" i="15"/>
  <c r="M741" i="15"/>
  <c r="L741" i="15"/>
  <c r="K741" i="15"/>
  <c r="I741" i="15"/>
  <c r="F741" i="15"/>
  <c r="D741" i="15"/>
  <c r="C741" i="15"/>
  <c r="B741" i="15"/>
  <c r="A741" i="15"/>
  <c r="S740" i="15"/>
  <c r="R740" i="15"/>
  <c r="Q740" i="15"/>
  <c r="P740" i="15"/>
  <c r="O740" i="15"/>
  <c r="L740" i="15"/>
  <c r="K740" i="15"/>
  <c r="H740" i="15"/>
  <c r="G740" i="15"/>
  <c r="F740" i="15"/>
  <c r="D740" i="15"/>
  <c r="C740" i="15"/>
  <c r="B740" i="15"/>
  <c r="A740" i="15"/>
  <c r="T739" i="15"/>
  <c r="S739" i="15"/>
  <c r="R739" i="15"/>
  <c r="Q739" i="15"/>
  <c r="P739" i="15"/>
  <c r="O739" i="15"/>
  <c r="M739" i="15"/>
  <c r="L739" i="15"/>
  <c r="K739" i="15"/>
  <c r="I739" i="15"/>
  <c r="H739" i="15"/>
  <c r="F739" i="15"/>
  <c r="D739" i="15"/>
  <c r="C739" i="15"/>
  <c r="B739" i="15"/>
  <c r="A739" i="15"/>
  <c r="T738" i="15"/>
  <c r="S738" i="15"/>
  <c r="R738" i="15"/>
  <c r="Q738" i="15"/>
  <c r="P738" i="15"/>
  <c r="O738" i="15"/>
  <c r="K738" i="15"/>
  <c r="I738" i="15"/>
  <c r="G738" i="15"/>
  <c r="F738" i="15"/>
  <c r="D738" i="15"/>
  <c r="C738" i="15"/>
  <c r="B738" i="15"/>
  <c r="A738" i="15"/>
  <c r="T737" i="15"/>
  <c r="S737" i="15"/>
  <c r="R737" i="15"/>
  <c r="Q737" i="15"/>
  <c r="P737" i="15"/>
  <c r="O737" i="15"/>
  <c r="M737" i="15"/>
  <c r="L737" i="15"/>
  <c r="K737" i="15"/>
  <c r="H737" i="15"/>
  <c r="G737" i="15"/>
  <c r="F737" i="15"/>
  <c r="D737" i="15"/>
  <c r="C737" i="15"/>
  <c r="B737" i="15"/>
  <c r="A737" i="15"/>
  <c r="T736" i="15"/>
  <c r="S736" i="15"/>
  <c r="R736" i="15"/>
  <c r="Q736" i="15"/>
  <c r="P736" i="15"/>
  <c r="O736" i="15"/>
  <c r="M736" i="15"/>
  <c r="I736" i="15"/>
  <c r="H736" i="15"/>
  <c r="G736" i="15"/>
  <c r="F736" i="15"/>
  <c r="C736" i="15"/>
  <c r="B736" i="15"/>
  <c r="A736" i="15"/>
  <c r="T735" i="15"/>
  <c r="S735" i="15"/>
  <c r="R735" i="15"/>
  <c r="Q735" i="15"/>
  <c r="P735" i="15"/>
  <c r="O735" i="15"/>
  <c r="M735" i="15"/>
  <c r="L735" i="15"/>
  <c r="K735" i="15"/>
  <c r="G735" i="15"/>
  <c r="F735" i="15"/>
  <c r="D735" i="15"/>
  <c r="A735" i="15"/>
  <c r="T734" i="15"/>
  <c r="S734" i="15"/>
  <c r="S815" i="15" s="1"/>
  <c r="R734" i="15"/>
  <c r="Q734" i="15"/>
  <c r="Q815" i="15" s="1"/>
  <c r="P734" i="15"/>
  <c r="O734" i="15"/>
  <c r="M734" i="15"/>
  <c r="L734" i="15"/>
  <c r="K734" i="15"/>
  <c r="G734" i="15"/>
  <c r="F734" i="15"/>
  <c r="D734" i="15"/>
  <c r="C734" i="15"/>
  <c r="B734" i="15"/>
  <c r="A734" i="15"/>
  <c r="CF730" i="15"/>
  <c r="CE730" i="15"/>
  <c r="CD730" i="15"/>
  <c r="CC730" i="15"/>
  <c r="CB730" i="15"/>
  <c r="CA730" i="15"/>
  <c r="BZ730" i="15"/>
  <c r="BY730" i="15"/>
  <c r="BX730" i="15"/>
  <c r="BW730" i="15"/>
  <c r="BV730" i="15"/>
  <c r="BT730" i="15"/>
  <c r="BS730" i="15"/>
  <c r="BR730" i="15"/>
  <c r="BP730" i="15"/>
  <c r="BO730" i="15"/>
  <c r="BN730" i="15"/>
  <c r="BM730" i="15"/>
  <c r="BL730" i="15"/>
  <c r="BK730" i="15"/>
  <c r="BJ730" i="15"/>
  <c r="BF730" i="15"/>
  <c r="BE730" i="15"/>
  <c r="BB730" i="15"/>
  <c r="BA730" i="15"/>
  <c r="AZ730" i="15"/>
  <c r="AY730" i="15"/>
  <c r="AX730" i="15"/>
  <c r="AW730" i="15"/>
  <c r="AV730" i="15"/>
  <c r="AU730" i="15"/>
  <c r="AT730" i="15"/>
  <c r="AS730" i="15"/>
  <c r="AR730" i="15"/>
  <c r="AQ730" i="15"/>
  <c r="AP730" i="15"/>
  <c r="AO730" i="15"/>
  <c r="AN730" i="15"/>
  <c r="AM730" i="15"/>
  <c r="AL730" i="15"/>
  <c r="AK730" i="15"/>
  <c r="AJ730" i="15"/>
  <c r="AI730" i="15"/>
  <c r="AH730" i="15"/>
  <c r="AG730" i="15"/>
  <c r="AF730" i="15"/>
  <c r="AE730" i="15"/>
  <c r="AD730" i="15"/>
  <c r="AC730" i="15"/>
  <c r="AB730" i="15"/>
  <c r="AA730" i="15"/>
  <c r="Z730" i="15"/>
  <c r="Y730" i="15"/>
  <c r="X730" i="15"/>
  <c r="W730" i="15"/>
  <c r="V730" i="15"/>
  <c r="U730" i="15"/>
  <c r="T730" i="15"/>
  <c r="S730" i="15"/>
  <c r="R730" i="15"/>
  <c r="Q730" i="15"/>
  <c r="P730" i="15"/>
  <c r="O730" i="15"/>
  <c r="N730" i="15"/>
  <c r="M730" i="15"/>
  <c r="L730" i="15"/>
  <c r="K730" i="15"/>
  <c r="J730" i="15"/>
  <c r="I730" i="15"/>
  <c r="H730" i="15"/>
  <c r="G730" i="15"/>
  <c r="F730" i="15"/>
  <c r="E730" i="15"/>
  <c r="D730" i="15"/>
  <c r="C730" i="15"/>
  <c r="B730" i="15"/>
  <c r="A730" i="15"/>
  <c r="BR726" i="15"/>
  <c r="BQ726" i="15"/>
  <c r="BP726" i="15"/>
  <c r="BO726" i="15"/>
  <c r="BN726" i="15"/>
  <c r="BM726" i="15"/>
  <c r="BL726" i="15"/>
  <c r="BK726" i="15"/>
  <c r="BJ726" i="15"/>
  <c r="BI726" i="15"/>
  <c r="BH726" i="15"/>
  <c r="BG726" i="15"/>
  <c r="BF726" i="15"/>
  <c r="BE726" i="15"/>
  <c r="BD726" i="15"/>
  <c r="BC726" i="15"/>
  <c r="BB726" i="15"/>
  <c r="BA726" i="15"/>
  <c r="AZ726" i="15"/>
  <c r="AY726" i="15"/>
  <c r="AX726" i="15"/>
  <c r="AW726" i="15"/>
  <c r="AV726" i="15"/>
  <c r="AU726" i="15"/>
  <c r="AT726" i="15"/>
  <c r="AS726" i="15"/>
  <c r="AR726" i="15"/>
  <c r="AQ726" i="15"/>
  <c r="AP726" i="15"/>
  <c r="AO726" i="15"/>
  <c r="AN726" i="15"/>
  <c r="AM726" i="15"/>
  <c r="AL726" i="15"/>
  <c r="AK726" i="15"/>
  <c r="AJ726" i="15"/>
  <c r="AI726" i="15"/>
  <c r="AH726" i="15"/>
  <c r="AG726" i="15"/>
  <c r="AF726" i="15"/>
  <c r="AE726" i="15"/>
  <c r="AD726" i="15"/>
  <c r="AC726" i="15"/>
  <c r="AB726" i="15"/>
  <c r="AA726" i="15"/>
  <c r="Z726" i="15"/>
  <c r="Y726" i="15"/>
  <c r="X726" i="15"/>
  <c r="W726" i="15"/>
  <c r="V726" i="15"/>
  <c r="U726" i="15"/>
  <c r="S726" i="15"/>
  <c r="R726" i="15"/>
  <c r="Q726" i="15"/>
  <c r="P726" i="15"/>
  <c r="O726" i="15"/>
  <c r="N726" i="15"/>
  <c r="M726" i="15"/>
  <c r="L726" i="15"/>
  <c r="K726" i="15"/>
  <c r="J726" i="15"/>
  <c r="I726" i="15"/>
  <c r="H726" i="15"/>
  <c r="G726" i="15"/>
  <c r="F726" i="15"/>
  <c r="E726" i="15"/>
  <c r="D726" i="15"/>
  <c r="C726" i="15"/>
  <c r="B726" i="15"/>
  <c r="A726" i="15"/>
  <c r="CC722" i="15"/>
  <c r="CB722" i="15"/>
  <c r="CA722" i="15"/>
  <c r="BZ722" i="15"/>
  <c r="BY722" i="15"/>
  <c r="BX722" i="15"/>
  <c r="BW722" i="15"/>
  <c r="BV722" i="15"/>
  <c r="BU722" i="15"/>
  <c r="BT722" i="15"/>
  <c r="BS722" i="15"/>
  <c r="BR722" i="15"/>
  <c r="BQ722" i="15"/>
  <c r="BP722" i="15"/>
  <c r="BO722" i="15"/>
  <c r="BN722" i="15"/>
  <c r="BM722" i="15"/>
  <c r="BL722" i="15"/>
  <c r="BK722" i="15"/>
  <c r="BJ722" i="15"/>
  <c r="BI722" i="15"/>
  <c r="BH722" i="15"/>
  <c r="BG722" i="15"/>
  <c r="BF722" i="15"/>
  <c r="BE722" i="15"/>
  <c r="BD722" i="15"/>
  <c r="BC722" i="15"/>
  <c r="BB722" i="15"/>
  <c r="BA722" i="15"/>
  <c r="AZ722" i="15"/>
  <c r="AY722" i="15"/>
  <c r="AW722" i="15"/>
  <c r="AV722" i="15"/>
  <c r="AR722" i="15"/>
  <c r="AQ722" i="15"/>
  <c r="AP722" i="15"/>
  <c r="AO722" i="15"/>
  <c r="AN722" i="15"/>
  <c r="AM722" i="15"/>
  <c r="AL722" i="15"/>
  <c r="AJ722" i="15"/>
  <c r="AI722" i="15"/>
  <c r="AG722" i="15"/>
  <c r="AF722" i="15"/>
  <c r="AE722" i="15"/>
  <c r="AD722" i="15"/>
  <c r="AC722" i="15"/>
  <c r="AB722" i="15"/>
  <c r="AA722" i="15"/>
  <c r="Z722" i="15"/>
  <c r="X722" i="15"/>
  <c r="W722" i="15"/>
  <c r="U722" i="15"/>
  <c r="T722" i="15"/>
  <c r="S722" i="15"/>
  <c r="R722" i="15"/>
  <c r="Q722" i="15"/>
  <c r="P722" i="15"/>
  <c r="O722" i="15"/>
  <c r="N722" i="15"/>
  <c r="M722" i="15"/>
  <c r="L722" i="15"/>
  <c r="K722" i="15"/>
  <c r="J722" i="15"/>
  <c r="I722" i="15"/>
  <c r="H722" i="15"/>
  <c r="G722" i="15"/>
  <c r="F722" i="15"/>
  <c r="E722" i="15"/>
  <c r="D722" i="15"/>
  <c r="C722" i="15"/>
  <c r="B722" i="15"/>
  <c r="A722" i="15"/>
  <c r="E550" i="15"/>
  <c r="F550" i="15"/>
  <c r="E546" i="15"/>
  <c r="H546" i="15"/>
  <c r="H545" i="15"/>
  <c r="F545" i="15"/>
  <c r="E545" i="15"/>
  <c r="E544" i="15"/>
  <c r="H540" i="15"/>
  <c r="E540" i="15"/>
  <c r="F540" i="15"/>
  <c r="F539" i="15"/>
  <c r="E539" i="15"/>
  <c r="H539" i="15"/>
  <c r="F538" i="15"/>
  <c r="E538" i="15"/>
  <c r="H538" i="15"/>
  <c r="E537" i="15"/>
  <c r="H537" i="15"/>
  <c r="H536" i="15"/>
  <c r="F536" i="15"/>
  <c r="E536" i="15"/>
  <c r="E535" i="15"/>
  <c r="F534" i="15"/>
  <c r="E534" i="15"/>
  <c r="H534" i="15"/>
  <c r="H533" i="15"/>
  <c r="E533" i="15"/>
  <c r="F533" i="15"/>
  <c r="H532" i="15"/>
  <c r="E532" i="15"/>
  <c r="F532" i="15"/>
  <c r="F531" i="15"/>
  <c r="E531" i="15"/>
  <c r="H531" i="15"/>
  <c r="F530" i="15"/>
  <c r="H530" i="15"/>
  <c r="E529" i="15"/>
  <c r="H529" i="15"/>
  <c r="F528" i="15"/>
  <c r="H528" i="15" s="1"/>
  <c r="E527" i="15"/>
  <c r="F526" i="15"/>
  <c r="E526" i="15"/>
  <c r="H526" i="15"/>
  <c r="H525" i="15"/>
  <c r="E525" i="15"/>
  <c r="F525" i="15"/>
  <c r="H524" i="15"/>
  <c r="E524" i="15"/>
  <c r="F524" i="15"/>
  <c r="F523" i="15"/>
  <c r="E523" i="15"/>
  <c r="H523" i="15"/>
  <c r="F522" i="15"/>
  <c r="H522" i="15" s="1"/>
  <c r="E522" i="15"/>
  <c r="F520" i="15"/>
  <c r="H520" i="15"/>
  <c r="F519" i="15"/>
  <c r="H519" i="15" s="1"/>
  <c r="E519" i="15"/>
  <c r="H518" i="15"/>
  <c r="E518" i="15"/>
  <c r="F518" i="15"/>
  <c r="F517" i="15"/>
  <c r="E517" i="15"/>
  <c r="H517" i="15"/>
  <c r="E516" i="15"/>
  <c r="F516" i="15"/>
  <c r="H516" i="15" s="1"/>
  <c r="E515" i="15"/>
  <c r="H515" i="15"/>
  <c r="F514" i="15"/>
  <c r="H514" i="15" s="1"/>
  <c r="E514" i="15"/>
  <c r="H513" i="15"/>
  <c r="F513" i="15"/>
  <c r="H512" i="15"/>
  <c r="F512" i="15"/>
  <c r="E511" i="15"/>
  <c r="F510" i="15"/>
  <c r="H510" i="15" s="1"/>
  <c r="E510" i="15"/>
  <c r="E509" i="15"/>
  <c r="E508" i="15"/>
  <c r="H507" i="15"/>
  <c r="F507" i="15"/>
  <c r="E507" i="15"/>
  <c r="H506" i="15"/>
  <c r="E506" i="15"/>
  <c r="F506" i="15"/>
  <c r="F505" i="15"/>
  <c r="E505" i="15"/>
  <c r="H505" i="15"/>
  <c r="F504" i="15"/>
  <c r="H504" i="15"/>
  <c r="E503" i="15"/>
  <c r="H502" i="15"/>
  <c r="F502" i="15"/>
  <c r="E502" i="15"/>
  <c r="E501" i="15"/>
  <c r="F500" i="15"/>
  <c r="E500" i="15"/>
  <c r="H500" i="15"/>
  <c r="H499" i="15"/>
  <c r="F499" i="15"/>
  <c r="E499" i="15"/>
  <c r="E498" i="15"/>
  <c r="F498" i="15"/>
  <c r="F497" i="15"/>
  <c r="E497" i="15"/>
  <c r="H497" i="15"/>
  <c r="F496" i="15"/>
  <c r="E496" i="15"/>
  <c r="H496" i="15"/>
  <c r="G493" i="15"/>
  <c r="E493" i="15"/>
  <c r="C493" i="15"/>
  <c r="A493" i="15"/>
  <c r="B478" i="15"/>
  <c r="B475" i="15"/>
  <c r="B474" i="15"/>
  <c r="B473" i="15"/>
  <c r="B472" i="15"/>
  <c r="B471" i="15"/>
  <c r="B470" i="15"/>
  <c r="B469" i="15"/>
  <c r="B468" i="15"/>
  <c r="B464" i="15"/>
  <c r="B463" i="15"/>
  <c r="C459" i="15"/>
  <c r="B459" i="15"/>
  <c r="B458" i="15"/>
  <c r="B455" i="15"/>
  <c r="B454" i="15"/>
  <c r="B453" i="15"/>
  <c r="C447" i="15"/>
  <c r="C446" i="15"/>
  <c r="C445" i="15"/>
  <c r="C444" i="15"/>
  <c r="B439" i="15"/>
  <c r="B438" i="15"/>
  <c r="B440" i="15" s="1"/>
  <c r="B437" i="15"/>
  <c r="B436" i="15"/>
  <c r="B435" i="15"/>
  <c r="B434" i="15"/>
  <c r="B432" i="15"/>
  <c r="B430" i="15"/>
  <c r="B429" i="15"/>
  <c r="B428" i="15"/>
  <c r="D424" i="15"/>
  <c r="B424" i="15"/>
  <c r="B423" i="15"/>
  <c r="D421" i="15"/>
  <c r="B421" i="15"/>
  <c r="B420" i="15"/>
  <c r="B418" i="15"/>
  <c r="C417" i="15"/>
  <c r="B417" i="15"/>
  <c r="D415" i="15"/>
  <c r="B415" i="15"/>
  <c r="B414" i="15"/>
  <c r="A412" i="15"/>
  <c r="D372" i="15"/>
  <c r="D367" i="15"/>
  <c r="C448" i="15" s="1"/>
  <c r="D361" i="15"/>
  <c r="N817" i="15" s="1"/>
  <c r="D329" i="15"/>
  <c r="D328" i="15"/>
  <c r="D330" i="15" s="1"/>
  <c r="D339" i="15" s="1"/>
  <c r="C482" i="15" s="1"/>
  <c r="D319" i="15"/>
  <c r="D314" i="15"/>
  <c r="D290" i="15"/>
  <c r="D283" i="15"/>
  <c r="D275" i="15"/>
  <c r="D277" i="15" s="1"/>
  <c r="D265" i="15"/>
  <c r="D260" i="15"/>
  <c r="D292" i="15" s="1"/>
  <c r="D341" i="15" s="1"/>
  <c r="C481" i="15" s="1"/>
  <c r="D240" i="15"/>
  <c r="B447" i="15" s="1"/>
  <c r="D236" i="15"/>
  <c r="D229" i="15"/>
  <c r="B445" i="15" s="1"/>
  <c r="D221" i="15"/>
  <c r="C217" i="15"/>
  <c r="B217" i="15"/>
  <c r="C32" i="6" s="1"/>
  <c r="E216" i="15"/>
  <c r="E215" i="15"/>
  <c r="E214" i="15"/>
  <c r="E213" i="15"/>
  <c r="E212" i="15"/>
  <c r="E211" i="15"/>
  <c r="E210" i="15"/>
  <c r="D204" i="15"/>
  <c r="E16" i="6" s="1"/>
  <c r="E203" i="15"/>
  <c r="E199" i="15"/>
  <c r="E195" i="15"/>
  <c r="D190" i="15"/>
  <c r="D437" i="15" s="1"/>
  <c r="D186" i="15"/>
  <c r="D436" i="15" s="1"/>
  <c r="D181" i="15"/>
  <c r="D435" i="15" s="1"/>
  <c r="D177" i="15"/>
  <c r="D434" i="15" s="1"/>
  <c r="D173" i="15"/>
  <c r="D428" i="15" s="1"/>
  <c r="E154" i="15"/>
  <c r="E153" i="15"/>
  <c r="E152" i="15"/>
  <c r="E151" i="15"/>
  <c r="C421" i="15" s="1"/>
  <c r="E150" i="15"/>
  <c r="C420" i="15" s="1"/>
  <c r="E148" i="15"/>
  <c r="E147" i="15"/>
  <c r="E146" i="15"/>
  <c r="E145" i="15"/>
  <c r="C418" i="15" s="1"/>
  <c r="E144" i="15"/>
  <c r="E142" i="15"/>
  <c r="E141" i="15"/>
  <c r="P141" i="15" s="1"/>
  <c r="E140" i="15"/>
  <c r="E139" i="15"/>
  <c r="E138" i="15"/>
  <c r="E127" i="15"/>
  <c r="CF79" i="15"/>
  <c r="CE79" i="15"/>
  <c r="CE78" i="15"/>
  <c r="I382" i="9" s="1"/>
  <c r="CF77" i="15"/>
  <c r="CE77" i="15"/>
  <c r="CE76" i="15"/>
  <c r="C75" i="15"/>
  <c r="B53" i="15"/>
  <c r="B49" i="15"/>
  <c r="CE77" i="1"/>
  <c r="B47" i="14"/>
  <c r="B49" i="14" s="1"/>
  <c r="O47" i="14"/>
  <c r="S47" i="14"/>
  <c r="X47" i="14"/>
  <c r="Y47" i="14"/>
  <c r="Z47" i="14"/>
  <c r="AA47" i="14"/>
  <c r="AB47" i="14"/>
  <c r="AC47" i="14"/>
  <c r="AE47" i="14"/>
  <c r="AG47" i="14"/>
  <c r="AI47" i="14"/>
  <c r="AK47" i="14"/>
  <c r="AV47" i="14"/>
  <c r="AY47" i="14"/>
  <c r="BB47" i="14"/>
  <c r="BE47" i="14"/>
  <c r="BF47" i="14"/>
  <c r="BH47" i="14"/>
  <c r="BJ47" i="14"/>
  <c r="BL47" i="14"/>
  <c r="BM47" i="14"/>
  <c r="BN47" i="14"/>
  <c r="BP47" i="14"/>
  <c r="BR47" i="14"/>
  <c r="BV47" i="14"/>
  <c r="BW47" i="14"/>
  <c r="BX47" i="14"/>
  <c r="BY47" i="14"/>
  <c r="CE47" i="14"/>
  <c r="B48" i="14"/>
  <c r="D48" i="14" s="1"/>
  <c r="D62" i="14" s="1"/>
  <c r="CE51" i="14"/>
  <c r="B53" i="14"/>
  <c r="O59" i="14"/>
  <c r="U59" i="14"/>
  <c r="X59" i="14"/>
  <c r="Y59" i="14"/>
  <c r="Z59" i="14"/>
  <c r="AA59" i="14"/>
  <c r="AC59" i="14"/>
  <c r="AE59" i="14"/>
  <c r="AG59" i="14"/>
  <c r="AI59" i="14"/>
  <c r="AK59" i="14"/>
  <c r="O60" i="14"/>
  <c r="CE60" i="14" s="1"/>
  <c r="S60" i="14"/>
  <c r="X60" i="14"/>
  <c r="Y60" i="14"/>
  <c r="Z60" i="14"/>
  <c r="AA60" i="14"/>
  <c r="AB60" i="14"/>
  <c r="AC60" i="14"/>
  <c r="AE60" i="14"/>
  <c r="AG60" i="14"/>
  <c r="AI60" i="14"/>
  <c r="AK60" i="14"/>
  <c r="AV60" i="14"/>
  <c r="AY60" i="14"/>
  <c r="BB60" i="14"/>
  <c r="BE60" i="14"/>
  <c r="BF60" i="14"/>
  <c r="BG60" i="14"/>
  <c r="BJ60" i="14"/>
  <c r="BL60" i="14"/>
  <c r="BM60" i="14"/>
  <c r="BN60" i="14"/>
  <c r="BP60" i="14"/>
  <c r="BR60" i="14"/>
  <c r="BV60" i="14"/>
  <c r="BX60" i="14"/>
  <c r="BY60" i="14"/>
  <c r="O61" i="14"/>
  <c r="S61" i="14"/>
  <c r="X61" i="14"/>
  <c r="Y61" i="14"/>
  <c r="Z61" i="14"/>
  <c r="AA61" i="14"/>
  <c r="AB61" i="14"/>
  <c r="AC61" i="14"/>
  <c r="AE61" i="14"/>
  <c r="AG61" i="14"/>
  <c r="AI61" i="14"/>
  <c r="AK61" i="14"/>
  <c r="AV61" i="14"/>
  <c r="AY61" i="14"/>
  <c r="BB61" i="14"/>
  <c r="BE61" i="14"/>
  <c r="BF61" i="14"/>
  <c r="BG61" i="14"/>
  <c r="BH61" i="14"/>
  <c r="BJ61" i="14"/>
  <c r="BL61" i="14"/>
  <c r="BM61" i="14"/>
  <c r="BN61" i="14"/>
  <c r="BP61" i="14"/>
  <c r="BR61" i="14"/>
  <c r="BW61" i="14"/>
  <c r="BX61" i="14"/>
  <c r="BY61" i="14"/>
  <c r="CE61" i="14"/>
  <c r="L48" i="14" s="1"/>
  <c r="L62" i="14" s="1"/>
  <c r="J63" i="14"/>
  <c r="U63" i="14"/>
  <c r="Y63" i="14"/>
  <c r="AC63" i="14"/>
  <c r="CE63" i="14" s="1"/>
  <c r="C429" i="14" s="1"/>
  <c r="AG63" i="14"/>
  <c r="AV63" i="14"/>
  <c r="BB63" i="14"/>
  <c r="BX63" i="14"/>
  <c r="S64" i="14"/>
  <c r="U64" i="14"/>
  <c r="X64" i="14"/>
  <c r="Y64" i="14"/>
  <c r="Z64" i="14"/>
  <c r="AA64" i="14"/>
  <c r="AB64" i="14"/>
  <c r="CE64" i="14" s="1"/>
  <c r="C430" i="14" s="1"/>
  <c r="AC64" i="14"/>
  <c r="AE64" i="14"/>
  <c r="AG64" i="14"/>
  <c r="AI64" i="14"/>
  <c r="AK64" i="14"/>
  <c r="AV64" i="14"/>
  <c r="AY64" i="14"/>
  <c r="BB64" i="14"/>
  <c r="BD64" i="14"/>
  <c r="BE64" i="14"/>
  <c r="BF64" i="14"/>
  <c r="BH64" i="14"/>
  <c r="BJ64" i="14"/>
  <c r="BM64" i="14"/>
  <c r="BN64" i="14"/>
  <c r="BP64" i="14"/>
  <c r="BR64" i="14"/>
  <c r="BV64" i="14"/>
  <c r="BW64" i="14"/>
  <c r="BX64" i="14"/>
  <c r="X65" i="14"/>
  <c r="AE65" i="14"/>
  <c r="AK65" i="14"/>
  <c r="AV65" i="14"/>
  <c r="BE65" i="14"/>
  <c r="BG65" i="14"/>
  <c r="BN65" i="14"/>
  <c r="CE65" i="14"/>
  <c r="J66" i="14"/>
  <c r="O66" i="14"/>
  <c r="P66" i="14"/>
  <c r="S66" i="14"/>
  <c r="U66" i="14"/>
  <c r="X66" i="14"/>
  <c r="Y66" i="14"/>
  <c r="Z66" i="14"/>
  <c r="AA66" i="14"/>
  <c r="AB66" i="14"/>
  <c r="AC66" i="14"/>
  <c r="AE66" i="14"/>
  <c r="AG66" i="14"/>
  <c r="AI66" i="14"/>
  <c r="AV66" i="14"/>
  <c r="AY66" i="14"/>
  <c r="BB66" i="14"/>
  <c r="BE66" i="14"/>
  <c r="BF66" i="14"/>
  <c r="BG66" i="14"/>
  <c r="BH66" i="14"/>
  <c r="BK66" i="14"/>
  <c r="BM66" i="14"/>
  <c r="BN66" i="14"/>
  <c r="CE66" i="14" s="1"/>
  <c r="C432" i="14" s="1"/>
  <c r="BP66" i="14"/>
  <c r="BR66" i="14"/>
  <c r="BV66" i="14"/>
  <c r="BW66" i="14"/>
  <c r="BX66" i="14"/>
  <c r="BY66" i="14"/>
  <c r="C68" i="14"/>
  <c r="CE68" i="14" s="1"/>
  <c r="C434" i="14" s="1"/>
  <c r="P68" i="14"/>
  <c r="R68" i="14"/>
  <c r="S68" i="14"/>
  <c r="U68" i="14"/>
  <c r="X68" i="14"/>
  <c r="Y68" i="14"/>
  <c r="Z68" i="14"/>
  <c r="AC68" i="14"/>
  <c r="AE68" i="14"/>
  <c r="AG68" i="14"/>
  <c r="AI68" i="14"/>
  <c r="AK68" i="14"/>
  <c r="AV68" i="14"/>
  <c r="BB68" i="14"/>
  <c r="BE68" i="14"/>
  <c r="BJ68" i="14"/>
  <c r="BN68" i="14"/>
  <c r="BV68" i="14"/>
  <c r="BW68" i="14"/>
  <c r="C69" i="14"/>
  <c r="E69" i="14"/>
  <c r="CE69" i="14" s="1"/>
  <c r="C440" i="14" s="1"/>
  <c r="J69" i="14"/>
  <c r="O69" i="14"/>
  <c r="P69" i="14"/>
  <c r="Q69" i="14"/>
  <c r="R69" i="14"/>
  <c r="S69" i="14"/>
  <c r="U69" i="14"/>
  <c r="W69" i="14"/>
  <c r="X69" i="14"/>
  <c r="Y69" i="14"/>
  <c r="Z69" i="14"/>
  <c r="AA69" i="14"/>
  <c r="AB69" i="14"/>
  <c r="AC69" i="14"/>
  <c r="AE69" i="14"/>
  <c r="AG69" i="14"/>
  <c r="AI69" i="14"/>
  <c r="AK69" i="14"/>
  <c r="AV69" i="14"/>
  <c r="AY69" i="14"/>
  <c r="BB69" i="14"/>
  <c r="BD69" i="14"/>
  <c r="BE69" i="14"/>
  <c r="BF69" i="14"/>
  <c r="BH69" i="14"/>
  <c r="BJ69" i="14"/>
  <c r="BM69" i="14"/>
  <c r="BN69" i="14"/>
  <c r="BP69" i="14"/>
  <c r="BR69" i="14"/>
  <c r="BV69" i="14"/>
  <c r="BW69" i="14"/>
  <c r="BX69" i="14"/>
  <c r="CA69" i="14"/>
  <c r="CE70" i="14"/>
  <c r="CD71" i="14"/>
  <c r="J73" i="14"/>
  <c r="CE73" i="14" s="1"/>
  <c r="C463" i="14" s="1"/>
  <c r="U73" i="14"/>
  <c r="X73" i="14"/>
  <c r="Y73" i="14"/>
  <c r="Y75" i="14" s="1"/>
  <c r="Z73" i="14"/>
  <c r="Z75" i="14" s="1"/>
  <c r="AA73" i="14"/>
  <c r="AB73" i="14"/>
  <c r="AC73" i="14"/>
  <c r="AC75" i="14" s="1"/>
  <c r="AE73" i="14"/>
  <c r="AG73" i="14"/>
  <c r="AI73" i="14"/>
  <c r="AK73" i="14"/>
  <c r="AK75" i="14" s="1"/>
  <c r="AV73" i="14"/>
  <c r="AV75" i="14" s="1"/>
  <c r="U74" i="14"/>
  <c r="CE74" i="14" s="1"/>
  <c r="C464" i="14" s="1"/>
  <c r="X74" i="14"/>
  <c r="X75" i="14" s="1"/>
  <c r="Y74" i="14"/>
  <c r="Z74" i="14"/>
  <c r="AA74" i="14"/>
  <c r="AB74" i="14"/>
  <c r="AC74" i="14"/>
  <c r="AE74" i="14"/>
  <c r="AG74" i="14"/>
  <c r="AG75" i="14" s="1"/>
  <c r="AI74" i="14"/>
  <c r="AK74" i="14"/>
  <c r="AV74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V75" i="14"/>
  <c r="W75" i="14"/>
  <c r="AA75" i="14"/>
  <c r="AB75" i="14"/>
  <c r="AD75" i="14"/>
  <c r="AE75" i="14"/>
  <c r="AF75" i="14"/>
  <c r="AH75" i="14"/>
  <c r="AI75" i="14"/>
  <c r="AJ75" i="14"/>
  <c r="AL75" i="14"/>
  <c r="AM75" i="14"/>
  <c r="AN75" i="14"/>
  <c r="AO75" i="14"/>
  <c r="AP75" i="14"/>
  <c r="AQ75" i="14"/>
  <c r="AR75" i="14"/>
  <c r="AS75" i="14"/>
  <c r="AT75" i="14"/>
  <c r="AU75" i="14"/>
  <c r="CE76" i="14"/>
  <c r="J52" i="14" s="1"/>
  <c r="J67" i="14" s="1"/>
  <c r="CF76" i="14"/>
  <c r="CE77" i="14"/>
  <c r="CF77" i="14" s="1"/>
  <c r="CE78" i="14"/>
  <c r="CE79" i="14"/>
  <c r="CF79" i="14"/>
  <c r="AV80" i="14"/>
  <c r="CE80" i="14"/>
  <c r="E127" i="14"/>
  <c r="D138" i="14"/>
  <c r="E138" i="14" s="1"/>
  <c r="C414" i="14" s="1"/>
  <c r="D139" i="14"/>
  <c r="E139" i="14" s="1"/>
  <c r="C415" i="14" s="1"/>
  <c r="D140" i="14"/>
  <c r="E140" i="14" s="1"/>
  <c r="D141" i="14"/>
  <c r="E141" i="14"/>
  <c r="D142" i="14"/>
  <c r="E142" i="14" s="1"/>
  <c r="D464" i="14" s="1"/>
  <c r="E144" i="14"/>
  <c r="E145" i="14"/>
  <c r="E146" i="14"/>
  <c r="E147" i="14"/>
  <c r="E148" i="14"/>
  <c r="E150" i="14"/>
  <c r="E151" i="14"/>
  <c r="C421" i="14" s="1"/>
  <c r="E152" i="14"/>
  <c r="E153" i="14"/>
  <c r="E154" i="14"/>
  <c r="C165" i="14"/>
  <c r="D173" i="14" s="1"/>
  <c r="D428" i="14" s="1"/>
  <c r="C166" i="14"/>
  <c r="C168" i="14"/>
  <c r="C169" i="14"/>
  <c r="C172" i="14"/>
  <c r="C175" i="14"/>
  <c r="C176" i="14" s="1"/>
  <c r="D181" i="14"/>
  <c r="D186" i="14"/>
  <c r="D438" i="14" s="1"/>
  <c r="D190" i="14"/>
  <c r="E195" i="14"/>
  <c r="E196" i="14"/>
  <c r="E197" i="14"/>
  <c r="E198" i="14"/>
  <c r="C471" i="14" s="1"/>
  <c r="C199" i="14"/>
  <c r="E199" i="14" s="1"/>
  <c r="C200" i="14"/>
  <c r="E200" i="14"/>
  <c r="C201" i="14"/>
  <c r="C204" i="14" s="1"/>
  <c r="E202" i="14"/>
  <c r="C203" i="14"/>
  <c r="E203" i="14" s="1"/>
  <c r="C475" i="14" s="1"/>
  <c r="B204" i="14"/>
  <c r="D204" i="14"/>
  <c r="E209" i="14"/>
  <c r="E210" i="14"/>
  <c r="E217" i="14" s="1"/>
  <c r="C478" i="14" s="1"/>
  <c r="E211" i="14"/>
  <c r="E212" i="14"/>
  <c r="B213" i="14"/>
  <c r="E213" i="14"/>
  <c r="E214" i="14"/>
  <c r="E215" i="14"/>
  <c r="E216" i="14"/>
  <c r="B217" i="14"/>
  <c r="C217" i="14"/>
  <c r="D433" i="14" s="1"/>
  <c r="D217" i="14"/>
  <c r="D221" i="14"/>
  <c r="C228" i="14"/>
  <c r="D229" i="14" s="1"/>
  <c r="B445" i="14" s="1"/>
  <c r="C233" i="14"/>
  <c r="C234" i="14"/>
  <c r="D236" i="14"/>
  <c r="B446" i="14" s="1"/>
  <c r="D240" i="14"/>
  <c r="D260" i="14"/>
  <c r="D292" i="14" s="1"/>
  <c r="D341" i="14" s="1"/>
  <c r="C481" i="14" s="1"/>
  <c r="D265" i="14"/>
  <c r="D275" i="14"/>
  <c r="D277" i="14" s="1"/>
  <c r="D283" i="14"/>
  <c r="D290" i="14"/>
  <c r="C312" i="14"/>
  <c r="D314" i="14"/>
  <c r="D319" i="14"/>
  <c r="D328" i="14"/>
  <c r="D330" i="14" s="1"/>
  <c r="D329" i="14"/>
  <c r="C337" i="14"/>
  <c r="C359" i="14"/>
  <c r="B463" i="14" s="1"/>
  <c r="D361" i="14"/>
  <c r="D368" i="14" s="1"/>
  <c r="D373" i="14" s="1"/>
  <c r="D391" i="14" s="1"/>
  <c r="D393" i="14" s="1"/>
  <c r="D396" i="14" s="1"/>
  <c r="C364" i="14"/>
  <c r="D367" i="14" s="1"/>
  <c r="C448" i="14" s="1"/>
  <c r="C365" i="14"/>
  <c r="D372" i="14"/>
  <c r="C389" i="14"/>
  <c r="D390" i="14"/>
  <c r="B441" i="14" s="1"/>
  <c r="A412" i="14"/>
  <c r="B414" i="14"/>
  <c r="B415" i="14"/>
  <c r="D415" i="14"/>
  <c r="B417" i="14"/>
  <c r="C417" i="14"/>
  <c r="B418" i="14"/>
  <c r="C418" i="14"/>
  <c r="D418" i="14"/>
  <c r="B420" i="14"/>
  <c r="C420" i="14"/>
  <c r="B421" i="14"/>
  <c r="D421" i="14"/>
  <c r="B423" i="14"/>
  <c r="B424" i="14"/>
  <c r="D424" i="14"/>
  <c r="B427" i="14"/>
  <c r="C427" i="14"/>
  <c r="B428" i="14"/>
  <c r="B429" i="14"/>
  <c r="B430" i="14"/>
  <c r="B431" i="14"/>
  <c r="C431" i="14"/>
  <c r="B432" i="14"/>
  <c r="B433" i="14"/>
  <c r="B434" i="14"/>
  <c r="B435" i="14"/>
  <c r="D435" i="14"/>
  <c r="B436" i="14"/>
  <c r="D436" i="14"/>
  <c r="B437" i="14"/>
  <c r="D437" i="14"/>
  <c r="B438" i="14"/>
  <c r="B440" i="14" s="1"/>
  <c r="C438" i="14"/>
  <c r="B439" i="14"/>
  <c r="C439" i="14"/>
  <c r="B444" i="14"/>
  <c r="C444" i="14"/>
  <c r="C445" i="14"/>
  <c r="C446" i="14"/>
  <c r="B447" i="14"/>
  <c r="C447" i="14"/>
  <c r="B453" i="14"/>
  <c r="B454" i="14"/>
  <c r="B455" i="14"/>
  <c r="B458" i="14"/>
  <c r="C458" i="14"/>
  <c r="B459" i="14"/>
  <c r="C459" i="14"/>
  <c r="D463" i="14"/>
  <c r="B464" i="14"/>
  <c r="B465" i="14"/>
  <c r="B468" i="14"/>
  <c r="C468" i="14"/>
  <c r="B469" i="14"/>
  <c r="C469" i="14"/>
  <c r="B470" i="14"/>
  <c r="C470" i="14"/>
  <c r="B471" i="14"/>
  <c r="B472" i="14"/>
  <c r="C472" i="14"/>
  <c r="B473" i="14"/>
  <c r="B474" i="14"/>
  <c r="C474" i="14"/>
  <c r="B475" i="14"/>
  <c r="B476" i="14"/>
  <c r="B478" i="14"/>
  <c r="A493" i="14"/>
  <c r="B493" i="14"/>
  <c r="C493" i="14"/>
  <c r="D493" i="14"/>
  <c r="E493" i="14"/>
  <c r="F493" i="14"/>
  <c r="G493" i="14"/>
  <c r="B496" i="14"/>
  <c r="H496" i="14" s="1"/>
  <c r="D496" i="14"/>
  <c r="E496" i="14"/>
  <c r="F496" i="14"/>
  <c r="B497" i="14"/>
  <c r="D497" i="14"/>
  <c r="E497" i="14"/>
  <c r="F497" i="14"/>
  <c r="H497" i="14"/>
  <c r="B498" i="14"/>
  <c r="D498" i="14"/>
  <c r="E498" i="14"/>
  <c r="F498" i="14"/>
  <c r="H498" i="14"/>
  <c r="B499" i="14"/>
  <c r="D499" i="14"/>
  <c r="E499" i="14"/>
  <c r="B500" i="14"/>
  <c r="D500" i="14"/>
  <c r="E500" i="14"/>
  <c r="B501" i="14"/>
  <c r="D501" i="14"/>
  <c r="E501" i="14"/>
  <c r="B502" i="14"/>
  <c r="F502" i="14" s="1"/>
  <c r="D502" i="14"/>
  <c r="E502" i="14"/>
  <c r="H502" i="14"/>
  <c r="B503" i="14"/>
  <c r="D503" i="14"/>
  <c r="E503" i="14"/>
  <c r="F503" i="14"/>
  <c r="H503" i="14"/>
  <c r="B504" i="14"/>
  <c r="H504" i="14" s="1"/>
  <c r="D504" i="14"/>
  <c r="E504" i="14"/>
  <c r="F504" i="14"/>
  <c r="B505" i="14"/>
  <c r="H505" i="14" s="1"/>
  <c r="D505" i="14"/>
  <c r="E505" i="14"/>
  <c r="F505" i="14"/>
  <c r="B506" i="14"/>
  <c r="D506" i="14"/>
  <c r="E506" i="14"/>
  <c r="F506" i="14"/>
  <c r="H506" i="14"/>
  <c r="B507" i="14"/>
  <c r="F507" i="14" s="1"/>
  <c r="D507" i="14"/>
  <c r="E507" i="14"/>
  <c r="H507" i="14"/>
  <c r="B508" i="14"/>
  <c r="D508" i="14"/>
  <c r="E508" i="14"/>
  <c r="B509" i="14"/>
  <c r="H509" i="14" s="1"/>
  <c r="D509" i="14"/>
  <c r="E509" i="14"/>
  <c r="F509" i="14"/>
  <c r="B510" i="14"/>
  <c r="F510" i="14" s="1"/>
  <c r="D510" i="14"/>
  <c r="E510" i="14"/>
  <c r="H510" i="14"/>
  <c r="B511" i="14"/>
  <c r="D511" i="14"/>
  <c r="E511" i="14"/>
  <c r="F511" i="14"/>
  <c r="H511" i="14"/>
  <c r="B512" i="14"/>
  <c r="F512" i="14" s="1"/>
  <c r="H512" i="14"/>
  <c r="B513" i="14"/>
  <c r="H513" i="14" s="1"/>
  <c r="B514" i="14"/>
  <c r="D514" i="14"/>
  <c r="E514" i="14"/>
  <c r="F514" i="14"/>
  <c r="H514" i="14"/>
  <c r="B515" i="14"/>
  <c r="D515" i="14"/>
  <c r="E515" i="14"/>
  <c r="F515" i="14"/>
  <c r="H515" i="14"/>
  <c r="B516" i="14"/>
  <c r="H516" i="14" s="1"/>
  <c r="D516" i="14"/>
  <c r="E516" i="14"/>
  <c r="F516" i="14"/>
  <c r="B517" i="14"/>
  <c r="D517" i="14"/>
  <c r="E517" i="14"/>
  <c r="B518" i="14"/>
  <c r="F518" i="14" s="1"/>
  <c r="D518" i="14"/>
  <c r="E518" i="14"/>
  <c r="H518" i="14"/>
  <c r="B519" i="14"/>
  <c r="F519" i="14" s="1"/>
  <c r="D519" i="14"/>
  <c r="E519" i="14"/>
  <c r="H519" i="14"/>
  <c r="B520" i="14"/>
  <c r="D520" i="14"/>
  <c r="E520" i="14"/>
  <c r="B521" i="14"/>
  <c r="F521" i="14"/>
  <c r="H521" i="14"/>
  <c r="B522" i="14"/>
  <c r="H522" i="14" s="1"/>
  <c r="D522" i="14"/>
  <c r="E522" i="14"/>
  <c r="F522" i="14"/>
  <c r="B523" i="14"/>
  <c r="H523" i="14" s="1"/>
  <c r="D523" i="14"/>
  <c r="E523" i="14"/>
  <c r="F523" i="14"/>
  <c r="B524" i="14"/>
  <c r="D524" i="14"/>
  <c r="E524" i="14"/>
  <c r="F524" i="14"/>
  <c r="H524" i="14"/>
  <c r="B525" i="14"/>
  <c r="F525" i="14" s="1"/>
  <c r="D525" i="14"/>
  <c r="E525" i="14"/>
  <c r="H525" i="14"/>
  <c r="B526" i="14"/>
  <c r="H526" i="14" s="1"/>
  <c r="D526" i="14"/>
  <c r="E526" i="14"/>
  <c r="F526" i="14"/>
  <c r="B527" i="14"/>
  <c r="H527" i="14" s="1"/>
  <c r="D527" i="14"/>
  <c r="E527" i="14"/>
  <c r="F527" i="14"/>
  <c r="B528" i="14"/>
  <c r="F528" i="14" s="1"/>
  <c r="D528" i="14"/>
  <c r="E528" i="14"/>
  <c r="H528" i="14"/>
  <c r="B529" i="14"/>
  <c r="H529" i="14" s="1"/>
  <c r="D529" i="14"/>
  <c r="E529" i="14"/>
  <c r="B530" i="14"/>
  <c r="H530" i="14" s="1"/>
  <c r="D530" i="14"/>
  <c r="E530" i="14"/>
  <c r="F530" i="14"/>
  <c r="B531" i="14"/>
  <c r="F531" i="14" s="1"/>
  <c r="D531" i="14"/>
  <c r="E531" i="14"/>
  <c r="H531" i="14"/>
  <c r="B532" i="14"/>
  <c r="D532" i="14"/>
  <c r="E532" i="14"/>
  <c r="F532" i="14"/>
  <c r="H532" i="14"/>
  <c r="B533" i="14"/>
  <c r="D533" i="14"/>
  <c r="E533" i="14"/>
  <c r="B534" i="14"/>
  <c r="H534" i="14" s="1"/>
  <c r="D534" i="14"/>
  <c r="E534" i="14"/>
  <c r="F534" i="14"/>
  <c r="B535" i="14"/>
  <c r="H535" i="14" s="1"/>
  <c r="D535" i="14"/>
  <c r="E535" i="14"/>
  <c r="F535" i="14"/>
  <c r="B536" i="14"/>
  <c r="D536" i="14"/>
  <c r="E536" i="14"/>
  <c r="F536" i="14"/>
  <c r="H536" i="14"/>
  <c r="B537" i="14"/>
  <c r="D537" i="14"/>
  <c r="E537" i="14"/>
  <c r="F537" i="14"/>
  <c r="H537" i="14"/>
  <c r="B538" i="14"/>
  <c r="F538" i="14" s="1"/>
  <c r="D538" i="14"/>
  <c r="E538" i="14"/>
  <c r="H538" i="14"/>
  <c r="B539" i="14"/>
  <c r="F539" i="14" s="1"/>
  <c r="D539" i="14"/>
  <c r="E539" i="14"/>
  <c r="B540" i="14"/>
  <c r="D540" i="14"/>
  <c r="E540" i="14"/>
  <c r="B541" i="14"/>
  <c r="B542" i="14"/>
  <c r="B543" i="14"/>
  <c r="B544" i="14"/>
  <c r="H544" i="14" s="1"/>
  <c r="D544" i="14"/>
  <c r="E544" i="14"/>
  <c r="F544" i="14"/>
  <c r="B545" i="14"/>
  <c r="D545" i="14"/>
  <c r="E545" i="14"/>
  <c r="F545" i="14"/>
  <c r="H545" i="14"/>
  <c r="B546" i="14"/>
  <c r="D546" i="14"/>
  <c r="E546" i="14"/>
  <c r="F546" i="14"/>
  <c r="H546" i="14"/>
  <c r="B547" i="14"/>
  <c r="B548" i="14"/>
  <c r="B549" i="14"/>
  <c r="B550" i="14"/>
  <c r="D550" i="14"/>
  <c r="E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C575" i="14"/>
  <c r="D612" i="14"/>
  <c r="F612" i="14"/>
  <c r="G612" i="14"/>
  <c r="H612" i="14"/>
  <c r="I612" i="14"/>
  <c r="J612" i="14"/>
  <c r="L612" i="14"/>
  <c r="C615" i="14"/>
  <c r="A722" i="14"/>
  <c r="B722" i="14"/>
  <c r="C722" i="14"/>
  <c r="D722" i="14"/>
  <c r="E722" i="14"/>
  <c r="F722" i="14"/>
  <c r="G722" i="14"/>
  <c r="H722" i="14"/>
  <c r="I722" i="14"/>
  <c r="J722" i="14"/>
  <c r="K722" i="14"/>
  <c r="L722" i="14"/>
  <c r="M722" i="14"/>
  <c r="N722" i="14"/>
  <c r="O722" i="14"/>
  <c r="P722" i="14"/>
  <c r="Q722" i="14"/>
  <c r="R722" i="14"/>
  <c r="S722" i="14"/>
  <c r="T722" i="14"/>
  <c r="U722" i="14"/>
  <c r="V722" i="14"/>
  <c r="W722" i="14"/>
  <c r="X722" i="14"/>
  <c r="Y722" i="14"/>
  <c r="Z722" i="14"/>
  <c r="AA722" i="14"/>
  <c r="AB722" i="14"/>
  <c r="AC722" i="14"/>
  <c r="AD722" i="14"/>
  <c r="AE722" i="14"/>
  <c r="AF722" i="14"/>
  <c r="AG722" i="14"/>
  <c r="AH722" i="14"/>
  <c r="AI722" i="14"/>
  <c r="AJ722" i="14"/>
  <c r="AK722" i="14"/>
  <c r="AL722" i="14"/>
  <c r="AM722" i="14"/>
  <c r="AN722" i="14"/>
  <c r="AO722" i="14"/>
  <c r="AP722" i="14"/>
  <c r="AQ722" i="14"/>
  <c r="AR722" i="14"/>
  <c r="AV722" i="14"/>
  <c r="AW722" i="14"/>
  <c r="AX722" i="14"/>
  <c r="AY722" i="14"/>
  <c r="AZ722" i="14"/>
  <c r="BA722" i="14"/>
  <c r="BB722" i="14"/>
  <c r="BC722" i="14"/>
  <c r="BD722" i="14"/>
  <c r="BE722" i="14"/>
  <c r="BF722" i="14"/>
  <c r="BG722" i="14"/>
  <c r="BH722" i="14"/>
  <c r="BI722" i="14"/>
  <c r="BJ722" i="14"/>
  <c r="BK722" i="14"/>
  <c r="BL722" i="14"/>
  <c r="BM722" i="14"/>
  <c r="BN722" i="14"/>
  <c r="BO722" i="14"/>
  <c r="BP722" i="14"/>
  <c r="BQ722" i="14"/>
  <c r="BR722" i="14"/>
  <c r="BS722" i="14"/>
  <c r="BT722" i="14"/>
  <c r="BU722" i="14"/>
  <c r="BV722" i="14"/>
  <c r="BW722" i="14"/>
  <c r="BX722" i="14"/>
  <c r="BY722" i="14"/>
  <c r="BZ722" i="14"/>
  <c r="CA722" i="14"/>
  <c r="CB722" i="14"/>
  <c r="CC722" i="14"/>
  <c r="CD722" i="14"/>
  <c r="A726" i="14"/>
  <c r="B726" i="14"/>
  <c r="C726" i="14"/>
  <c r="D726" i="14"/>
  <c r="E726" i="14"/>
  <c r="F726" i="14"/>
  <c r="G726" i="14"/>
  <c r="H726" i="14"/>
  <c r="I726" i="14"/>
  <c r="J726" i="14"/>
  <c r="K726" i="14"/>
  <c r="L726" i="14"/>
  <c r="M726" i="14"/>
  <c r="N726" i="14"/>
  <c r="O726" i="14"/>
  <c r="P726" i="14"/>
  <c r="Q726" i="14"/>
  <c r="R726" i="14"/>
  <c r="S726" i="14"/>
  <c r="U726" i="14"/>
  <c r="V726" i="14"/>
  <c r="W726" i="14"/>
  <c r="X726" i="14"/>
  <c r="Y726" i="14"/>
  <c r="Z726" i="14"/>
  <c r="AA726" i="14"/>
  <c r="AB726" i="14"/>
  <c r="AC726" i="14"/>
  <c r="AD726" i="14"/>
  <c r="AE726" i="14"/>
  <c r="AF726" i="14"/>
  <c r="AG726" i="14"/>
  <c r="AH726" i="14"/>
  <c r="AI726" i="14"/>
  <c r="AJ726" i="14"/>
  <c r="AK726" i="14"/>
  <c r="AL726" i="14"/>
  <c r="AM726" i="14"/>
  <c r="AN726" i="14"/>
  <c r="AO726" i="14"/>
  <c r="AP726" i="14"/>
  <c r="AQ726" i="14"/>
  <c r="AR726" i="14"/>
  <c r="AS726" i="14"/>
  <c r="AT726" i="14"/>
  <c r="AU726" i="14"/>
  <c r="AV726" i="14"/>
  <c r="AW726" i="14"/>
  <c r="AX726" i="14"/>
  <c r="AY726" i="14"/>
  <c r="AZ726" i="14"/>
  <c r="BA726" i="14"/>
  <c r="BB726" i="14"/>
  <c r="BC726" i="14"/>
  <c r="BD726" i="14"/>
  <c r="BE726" i="14"/>
  <c r="BF726" i="14"/>
  <c r="BG726" i="14"/>
  <c r="BH726" i="14"/>
  <c r="BI726" i="14"/>
  <c r="BJ726" i="14"/>
  <c r="BK726" i="14"/>
  <c r="BL726" i="14"/>
  <c r="BM726" i="14"/>
  <c r="BN726" i="14"/>
  <c r="BO726" i="14"/>
  <c r="BP726" i="14"/>
  <c r="BQ726" i="14"/>
  <c r="BR726" i="14"/>
  <c r="A730" i="14"/>
  <c r="B730" i="14"/>
  <c r="C730" i="14"/>
  <c r="D730" i="14"/>
  <c r="E730" i="14"/>
  <c r="F730" i="14"/>
  <c r="G730" i="14"/>
  <c r="H730" i="14"/>
  <c r="I730" i="14"/>
  <c r="J730" i="14"/>
  <c r="K730" i="14"/>
  <c r="L730" i="14"/>
  <c r="M730" i="14"/>
  <c r="N730" i="14"/>
  <c r="O730" i="14"/>
  <c r="P730" i="14"/>
  <c r="Q730" i="14"/>
  <c r="R730" i="14"/>
  <c r="S730" i="14"/>
  <c r="T730" i="14"/>
  <c r="U730" i="14"/>
  <c r="V730" i="14"/>
  <c r="W730" i="14"/>
  <c r="X730" i="14"/>
  <c r="Y730" i="14"/>
  <c r="Z730" i="14"/>
  <c r="AA730" i="14"/>
  <c r="AB730" i="14"/>
  <c r="AC730" i="14"/>
  <c r="AD730" i="14"/>
  <c r="AE730" i="14"/>
  <c r="AF730" i="14"/>
  <c r="AG730" i="14"/>
  <c r="AH730" i="14"/>
  <c r="AI730" i="14"/>
  <c r="AJ730" i="14"/>
  <c r="AK730" i="14"/>
  <c r="AL730" i="14"/>
  <c r="AM730" i="14"/>
  <c r="AN730" i="14"/>
  <c r="AO730" i="14"/>
  <c r="AP730" i="14"/>
  <c r="AQ730" i="14"/>
  <c r="AR730" i="14"/>
  <c r="AS730" i="14"/>
  <c r="AT730" i="14"/>
  <c r="AU730" i="14"/>
  <c r="AV730" i="14"/>
  <c r="AW730" i="14"/>
  <c r="AX730" i="14"/>
  <c r="AY730" i="14"/>
  <c r="AZ730" i="14"/>
  <c r="BA730" i="14"/>
  <c r="BB730" i="14"/>
  <c r="BE730" i="14"/>
  <c r="BF730" i="14"/>
  <c r="BI730" i="14"/>
  <c r="BJ730" i="14"/>
  <c r="BK730" i="14"/>
  <c r="BL730" i="14"/>
  <c r="BM730" i="14"/>
  <c r="BN730" i="14"/>
  <c r="BO730" i="14"/>
  <c r="BP730" i="14"/>
  <c r="BQ730" i="14"/>
  <c r="BR730" i="14"/>
  <c r="BS730" i="14"/>
  <c r="BT730" i="14"/>
  <c r="BU730" i="14"/>
  <c r="BV730" i="14"/>
  <c r="BW730" i="14"/>
  <c r="BX730" i="14"/>
  <c r="BY730" i="14"/>
  <c r="BZ730" i="14"/>
  <c r="CA730" i="14"/>
  <c r="CB730" i="14"/>
  <c r="CC730" i="14"/>
  <c r="CD730" i="14"/>
  <c r="CE730" i="14"/>
  <c r="CF730" i="14"/>
  <c r="A734" i="14"/>
  <c r="B734" i="14"/>
  <c r="C734" i="14"/>
  <c r="D734" i="14"/>
  <c r="F734" i="14"/>
  <c r="G734" i="14"/>
  <c r="H734" i="14"/>
  <c r="I734" i="14"/>
  <c r="K734" i="14"/>
  <c r="L734" i="14"/>
  <c r="M734" i="14"/>
  <c r="N734" i="14"/>
  <c r="O734" i="14"/>
  <c r="P734" i="14"/>
  <c r="Q734" i="14"/>
  <c r="R734" i="14"/>
  <c r="R815" i="14" s="1"/>
  <c r="S734" i="14"/>
  <c r="T734" i="14"/>
  <c r="A735" i="14"/>
  <c r="B735" i="14"/>
  <c r="C735" i="14"/>
  <c r="D735" i="14"/>
  <c r="E735" i="14"/>
  <c r="F735" i="14"/>
  <c r="G735" i="14"/>
  <c r="H735" i="14"/>
  <c r="I735" i="14"/>
  <c r="K735" i="14"/>
  <c r="L735" i="14"/>
  <c r="M735" i="14"/>
  <c r="N735" i="14"/>
  <c r="O735" i="14"/>
  <c r="P735" i="14"/>
  <c r="Q735" i="14"/>
  <c r="R735" i="14"/>
  <c r="S735" i="14"/>
  <c r="T735" i="14"/>
  <c r="A736" i="14"/>
  <c r="B736" i="14"/>
  <c r="C736" i="14"/>
  <c r="D736" i="14"/>
  <c r="F736" i="14"/>
  <c r="G736" i="14"/>
  <c r="H736" i="14"/>
  <c r="I736" i="14"/>
  <c r="K736" i="14"/>
  <c r="L736" i="14"/>
  <c r="M736" i="14"/>
  <c r="N736" i="14"/>
  <c r="O736" i="14"/>
  <c r="P736" i="14"/>
  <c r="Q736" i="14"/>
  <c r="R736" i="14"/>
  <c r="S736" i="14"/>
  <c r="T736" i="14"/>
  <c r="A737" i="14"/>
  <c r="B737" i="14"/>
  <c r="C737" i="14"/>
  <c r="D737" i="14"/>
  <c r="F737" i="14"/>
  <c r="G737" i="14"/>
  <c r="H737" i="14"/>
  <c r="I737" i="14"/>
  <c r="K737" i="14"/>
  <c r="L737" i="14"/>
  <c r="M737" i="14"/>
  <c r="N737" i="14"/>
  <c r="O737" i="14"/>
  <c r="P737" i="14"/>
  <c r="Q737" i="14"/>
  <c r="R737" i="14"/>
  <c r="S737" i="14"/>
  <c r="S815" i="14" s="1"/>
  <c r="T737" i="14"/>
  <c r="A738" i="14"/>
  <c r="B738" i="14"/>
  <c r="C738" i="14"/>
  <c r="D738" i="14"/>
  <c r="F738" i="14"/>
  <c r="G738" i="14"/>
  <c r="H738" i="14"/>
  <c r="I738" i="14"/>
  <c r="K738" i="14"/>
  <c r="L738" i="14"/>
  <c r="M738" i="14"/>
  <c r="N738" i="14"/>
  <c r="O738" i="14"/>
  <c r="P738" i="14"/>
  <c r="Q738" i="14"/>
  <c r="R738" i="14"/>
  <c r="S738" i="14"/>
  <c r="T738" i="14"/>
  <c r="A739" i="14"/>
  <c r="B739" i="14"/>
  <c r="C739" i="14"/>
  <c r="D739" i="14"/>
  <c r="F739" i="14"/>
  <c r="G739" i="14"/>
  <c r="H739" i="14"/>
  <c r="I739" i="14"/>
  <c r="K739" i="14"/>
  <c r="L739" i="14"/>
  <c r="M739" i="14"/>
  <c r="N739" i="14"/>
  <c r="O739" i="14"/>
  <c r="P739" i="14"/>
  <c r="Q739" i="14"/>
  <c r="R739" i="14"/>
  <c r="S739" i="14"/>
  <c r="T739" i="14"/>
  <c r="A740" i="14"/>
  <c r="B740" i="14"/>
  <c r="C740" i="14"/>
  <c r="D740" i="14"/>
  <c r="F740" i="14"/>
  <c r="G740" i="14"/>
  <c r="H740" i="14"/>
  <c r="I740" i="14"/>
  <c r="K740" i="14"/>
  <c r="L740" i="14"/>
  <c r="M740" i="14"/>
  <c r="N740" i="14"/>
  <c r="O740" i="14"/>
  <c r="P740" i="14"/>
  <c r="Q740" i="14"/>
  <c r="R740" i="14"/>
  <c r="S740" i="14"/>
  <c r="T740" i="14"/>
  <c r="A741" i="14"/>
  <c r="B741" i="14"/>
  <c r="C741" i="14"/>
  <c r="D741" i="14"/>
  <c r="F741" i="14"/>
  <c r="G741" i="14"/>
  <c r="H741" i="14"/>
  <c r="I741" i="14"/>
  <c r="J741" i="14"/>
  <c r="K741" i="14"/>
  <c r="L741" i="14"/>
  <c r="M741" i="14"/>
  <c r="N741" i="14"/>
  <c r="O741" i="14"/>
  <c r="O815" i="14" s="1"/>
  <c r="P741" i="14"/>
  <c r="Q741" i="14"/>
  <c r="R741" i="14"/>
  <c r="S741" i="14"/>
  <c r="T741" i="14"/>
  <c r="A742" i="14"/>
  <c r="B742" i="14"/>
  <c r="C742" i="14"/>
  <c r="D742" i="14"/>
  <c r="F742" i="14"/>
  <c r="G742" i="14"/>
  <c r="H742" i="14"/>
  <c r="I742" i="14"/>
  <c r="K742" i="14"/>
  <c r="L742" i="14"/>
  <c r="M742" i="14"/>
  <c r="N742" i="14"/>
  <c r="O742" i="14"/>
  <c r="P742" i="14"/>
  <c r="Q742" i="14"/>
  <c r="R742" i="14"/>
  <c r="S742" i="14"/>
  <c r="T742" i="14"/>
  <c r="A743" i="14"/>
  <c r="B743" i="14"/>
  <c r="C743" i="14"/>
  <c r="D743" i="14"/>
  <c r="E743" i="14"/>
  <c r="F743" i="14"/>
  <c r="G743" i="14"/>
  <c r="H743" i="14"/>
  <c r="I743" i="14"/>
  <c r="K743" i="14"/>
  <c r="L743" i="14"/>
  <c r="M743" i="14"/>
  <c r="N743" i="14"/>
  <c r="O743" i="14"/>
  <c r="P743" i="14"/>
  <c r="Q743" i="14"/>
  <c r="R743" i="14"/>
  <c r="S743" i="14"/>
  <c r="T743" i="14"/>
  <c r="A744" i="14"/>
  <c r="B744" i="14"/>
  <c r="C744" i="14"/>
  <c r="D744" i="14"/>
  <c r="F744" i="14"/>
  <c r="G744" i="14"/>
  <c r="H744" i="14"/>
  <c r="I744" i="14"/>
  <c r="K744" i="14"/>
  <c r="L744" i="14"/>
  <c r="M744" i="14"/>
  <c r="N744" i="14"/>
  <c r="O744" i="14"/>
  <c r="P744" i="14"/>
  <c r="Q744" i="14"/>
  <c r="R744" i="14"/>
  <c r="S744" i="14"/>
  <c r="T744" i="14"/>
  <c r="A745" i="14"/>
  <c r="B745" i="14"/>
  <c r="C745" i="14"/>
  <c r="D745" i="14"/>
  <c r="F745" i="14"/>
  <c r="G745" i="14"/>
  <c r="H745" i="14"/>
  <c r="I745" i="14"/>
  <c r="K745" i="14"/>
  <c r="L745" i="14"/>
  <c r="M745" i="14"/>
  <c r="N745" i="14"/>
  <c r="O745" i="14"/>
  <c r="P745" i="14"/>
  <c r="Q745" i="14"/>
  <c r="R745" i="14"/>
  <c r="S745" i="14"/>
  <c r="T745" i="14"/>
  <c r="A746" i="14"/>
  <c r="B746" i="14"/>
  <c r="C746" i="14"/>
  <c r="D746" i="14"/>
  <c r="F746" i="14"/>
  <c r="G746" i="14"/>
  <c r="H746" i="14"/>
  <c r="I746" i="14"/>
  <c r="K746" i="14"/>
  <c r="L746" i="14"/>
  <c r="M746" i="14"/>
  <c r="N746" i="14"/>
  <c r="O746" i="14"/>
  <c r="P746" i="14"/>
  <c r="Q746" i="14"/>
  <c r="R746" i="14"/>
  <c r="S746" i="14"/>
  <c r="T746" i="14"/>
  <c r="A747" i="14"/>
  <c r="B747" i="14"/>
  <c r="C747" i="14"/>
  <c r="D747" i="14"/>
  <c r="F747" i="14"/>
  <c r="G747" i="14"/>
  <c r="H747" i="14"/>
  <c r="I747" i="14"/>
  <c r="K747" i="14"/>
  <c r="L747" i="14"/>
  <c r="M747" i="14"/>
  <c r="N747" i="14"/>
  <c r="O747" i="14"/>
  <c r="P747" i="14"/>
  <c r="Q747" i="14"/>
  <c r="R747" i="14"/>
  <c r="S747" i="14"/>
  <c r="T747" i="14"/>
  <c r="A748" i="14"/>
  <c r="B748" i="14"/>
  <c r="C748" i="14"/>
  <c r="D748" i="14"/>
  <c r="F748" i="14"/>
  <c r="G748" i="14"/>
  <c r="H748" i="14"/>
  <c r="I748" i="14"/>
  <c r="K748" i="14"/>
  <c r="L748" i="14"/>
  <c r="M748" i="14"/>
  <c r="N748" i="14"/>
  <c r="O748" i="14"/>
  <c r="P748" i="14"/>
  <c r="Q748" i="14"/>
  <c r="R748" i="14"/>
  <c r="S748" i="14"/>
  <c r="T748" i="14"/>
  <c r="A749" i="14"/>
  <c r="B749" i="14"/>
  <c r="C749" i="14"/>
  <c r="D749" i="14"/>
  <c r="F749" i="14"/>
  <c r="G749" i="14"/>
  <c r="H749" i="14"/>
  <c r="I749" i="14"/>
  <c r="K749" i="14"/>
  <c r="L749" i="14"/>
  <c r="M749" i="14"/>
  <c r="N749" i="14"/>
  <c r="O749" i="14"/>
  <c r="P749" i="14"/>
  <c r="Q749" i="14"/>
  <c r="R749" i="14"/>
  <c r="S749" i="14"/>
  <c r="T749" i="14"/>
  <c r="A750" i="14"/>
  <c r="C750" i="14"/>
  <c r="D750" i="14"/>
  <c r="F750" i="14"/>
  <c r="G750" i="14"/>
  <c r="H750" i="14"/>
  <c r="I750" i="14"/>
  <c r="K750" i="14"/>
  <c r="L750" i="14"/>
  <c r="M750" i="14"/>
  <c r="N750" i="14"/>
  <c r="O750" i="14"/>
  <c r="P750" i="14"/>
  <c r="Q750" i="14"/>
  <c r="R750" i="14"/>
  <c r="S750" i="14"/>
  <c r="T750" i="14"/>
  <c r="A751" i="14"/>
  <c r="C751" i="14"/>
  <c r="D751" i="14"/>
  <c r="F751" i="14"/>
  <c r="G751" i="14"/>
  <c r="H751" i="14"/>
  <c r="I751" i="14"/>
  <c r="K751" i="14"/>
  <c r="L751" i="14"/>
  <c r="M751" i="14"/>
  <c r="N751" i="14"/>
  <c r="O751" i="14"/>
  <c r="P751" i="14"/>
  <c r="Q751" i="14"/>
  <c r="R751" i="14"/>
  <c r="S751" i="14"/>
  <c r="T751" i="14"/>
  <c r="A752" i="14"/>
  <c r="B752" i="14"/>
  <c r="C752" i="14"/>
  <c r="D752" i="14"/>
  <c r="F752" i="14"/>
  <c r="G752" i="14"/>
  <c r="H752" i="14"/>
  <c r="I752" i="14"/>
  <c r="K752" i="14"/>
  <c r="L752" i="14"/>
  <c r="M752" i="14"/>
  <c r="O752" i="14"/>
  <c r="P752" i="14"/>
  <c r="Q752" i="14"/>
  <c r="R752" i="14"/>
  <c r="S752" i="14"/>
  <c r="T752" i="14"/>
  <c r="A753" i="14"/>
  <c r="B753" i="14"/>
  <c r="C753" i="14"/>
  <c r="D753" i="14"/>
  <c r="F753" i="14"/>
  <c r="G753" i="14"/>
  <c r="H753" i="14"/>
  <c r="I753" i="14"/>
  <c r="K753" i="14"/>
  <c r="L753" i="14"/>
  <c r="M753" i="14"/>
  <c r="N753" i="14"/>
  <c r="O753" i="14"/>
  <c r="P753" i="14"/>
  <c r="Q753" i="14"/>
  <c r="R753" i="14"/>
  <c r="S753" i="14"/>
  <c r="T753" i="14"/>
  <c r="A754" i="14"/>
  <c r="B754" i="14"/>
  <c r="C754" i="14"/>
  <c r="D754" i="14"/>
  <c r="F754" i="14"/>
  <c r="G754" i="14"/>
  <c r="H754" i="14"/>
  <c r="I754" i="14"/>
  <c r="K754" i="14"/>
  <c r="L754" i="14"/>
  <c r="M754" i="14"/>
  <c r="N754" i="14"/>
  <c r="O754" i="14"/>
  <c r="P754" i="14"/>
  <c r="Q754" i="14"/>
  <c r="R754" i="14"/>
  <c r="S754" i="14"/>
  <c r="T754" i="14"/>
  <c r="A755" i="14"/>
  <c r="B755" i="14"/>
  <c r="C755" i="14"/>
  <c r="D755" i="14"/>
  <c r="F755" i="14"/>
  <c r="G755" i="14"/>
  <c r="H755" i="14"/>
  <c r="I755" i="14"/>
  <c r="K755" i="14"/>
  <c r="L755" i="14"/>
  <c r="M755" i="14"/>
  <c r="N755" i="14"/>
  <c r="O755" i="14"/>
  <c r="P755" i="14"/>
  <c r="Q755" i="14"/>
  <c r="R755" i="14"/>
  <c r="S755" i="14"/>
  <c r="T755" i="14"/>
  <c r="A756" i="14"/>
  <c r="B756" i="14"/>
  <c r="C756" i="14"/>
  <c r="D756" i="14"/>
  <c r="F756" i="14"/>
  <c r="G756" i="14"/>
  <c r="H756" i="14"/>
  <c r="I756" i="14"/>
  <c r="K756" i="14"/>
  <c r="L756" i="14"/>
  <c r="M756" i="14"/>
  <c r="N756" i="14"/>
  <c r="O756" i="14"/>
  <c r="P756" i="14"/>
  <c r="Q756" i="14"/>
  <c r="R756" i="14"/>
  <c r="S756" i="14"/>
  <c r="T756" i="14"/>
  <c r="A757" i="14"/>
  <c r="B757" i="14"/>
  <c r="C757" i="14"/>
  <c r="D757" i="14"/>
  <c r="F757" i="14"/>
  <c r="G757" i="14"/>
  <c r="H757" i="14"/>
  <c r="I757" i="14"/>
  <c r="K757" i="14"/>
  <c r="L757" i="14"/>
  <c r="M757" i="14"/>
  <c r="N757" i="14"/>
  <c r="O757" i="14"/>
  <c r="P757" i="14"/>
  <c r="Q757" i="14"/>
  <c r="R757" i="14"/>
  <c r="S757" i="14"/>
  <c r="T757" i="14"/>
  <c r="A758" i="14"/>
  <c r="B758" i="14"/>
  <c r="C758" i="14"/>
  <c r="D758" i="14"/>
  <c r="F758" i="14"/>
  <c r="G758" i="14"/>
  <c r="H758" i="14"/>
  <c r="I758" i="14"/>
  <c r="K758" i="14"/>
  <c r="L758" i="14"/>
  <c r="M758" i="14"/>
  <c r="N758" i="14"/>
  <c r="O758" i="14"/>
  <c r="P758" i="14"/>
  <c r="Q758" i="14"/>
  <c r="R758" i="14"/>
  <c r="S758" i="14"/>
  <c r="T758" i="14"/>
  <c r="A759" i="14"/>
  <c r="C759" i="14"/>
  <c r="D759" i="14"/>
  <c r="F759" i="14"/>
  <c r="G759" i="14"/>
  <c r="H759" i="14"/>
  <c r="I759" i="14"/>
  <c r="K759" i="14"/>
  <c r="L759" i="14"/>
  <c r="M759" i="14"/>
  <c r="N759" i="14"/>
  <c r="O759" i="14"/>
  <c r="P759" i="14"/>
  <c r="Q759" i="14"/>
  <c r="R759" i="14"/>
  <c r="S759" i="14"/>
  <c r="T759" i="14"/>
  <c r="A760" i="14"/>
  <c r="B760" i="14"/>
  <c r="C760" i="14"/>
  <c r="D760" i="14"/>
  <c r="F760" i="14"/>
  <c r="G760" i="14"/>
  <c r="H760" i="14"/>
  <c r="I760" i="14"/>
  <c r="K760" i="14"/>
  <c r="L760" i="14"/>
  <c r="M760" i="14"/>
  <c r="N760" i="14"/>
  <c r="O760" i="14"/>
  <c r="P760" i="14"/>
  <c r="Q760" i="14"/>
  <c r="R760" i="14"/>
  <c r="S760" i="14"/>
  <c r="T760" i="14"/>
  <c r="A761" i="14"/>
  <c r="B761" i="14"/>
  <c r="C761" i="14"/>
  <c r="D761" i="14"/>
  <c r="F761" i="14"/>
  <c r="G761" i="14"/>
  <c r="H761" i="14"/>
  <c r="I761" i="14"/>
  <c r="K761" i="14"/>
  <c r="L761" i="14"/>
  <c r="M761" i="14"/>
  <c r="N761" i="14"/>
  <c r="O761" i="14"/>
  <c r="P761" i="14"/>
  <c r="Q761" i="14"/>
  <c r="R761" i="14"/>
  <c r="S761" i="14"/>
  <c r="T761" i="14"/>
  <c r="A762" i="14"/>
  <c r="B762" i="14"/>
  <c r="C762" i="14"/>
  <c r="D762" i="14"/>
  <c r="F762" i="14"/>
  <c r="G762" i="14"/>
  <c r="H762" i="14"/>
  <c r="I762" i="14"/>
  <c r="K762" i="14"/>
  <c r="L762" i="14"/>
  <c r="M762" i="14"/>
  <c r="N762" i="14"/>
  <c r="O762" i="14"/>
  <c r="P762" i="14"/>
  <c r="Q762" i="14"/>
  <c r="R762" i="14"/>
  <c r="S762" i="14"/>
  <c r="T762" i="14"/>
  <c r="A763" i="14"/>
  <c r="B763" i="14"/>
  <c r="C763" i="14"/>
  <c r="D763" i="14"/>
  <c r="F763" i="14"/>
  <c r="G763" i="14"/>
  <c r="H763" i="14"/>
  <c r="I763" i="14"/>
  <c r="K763" i="14"/>
  <c r="L763" i="14"/>
  <c r="M763" i="14"/>
  <c r="N763" i="14"/>
  <c r="O763" i="14"/>
  <c r="P763" i="14"/>
  <c r="Q763" i="14"/>
  <c r="R763" i="14"/>
  <c r="S763" i="14"/>
  <c r="T763" i="14"/>
  <c r="A764" i="14"/>
  <c r="B764" i="14"/>
  <c r="C764" i="14"/>
  <c r="D764" i="14"/>
  <c r="F764" i="14"/>
  <c r="G764" i="14"/>
  <c r="H764" i="14"/>
  <c r="I764" i="14"/>
  <c r="K764" i="14"/>
  <c r="L764" i="14"/>
  <c r="M764" i="14"/>
  <c r="N764" i="14"/>
  <c r="O764" i="14"/>
  <c r="P764" i="14"/>
  <c r="Q764" i="14"/>
  <c r="R764" i="14"/>
  <c r="S764" i="14"/>
  <c r="T764" i="14"/>
  <c r="A765" i="14"/>
  <c r="B765" i="14"/>
  <c r="C765" i="14"/>
  <c r="D765" i="14"/>
  <c r="F765" i="14"/>
  <c r="G765" i="14"/>
  <c r="H765" i="14"/>
  <c r="I765" i="14"/>
  <c r="K765" i="14"/>
  <c r="L765" i="14"/>
  <c r="M765" i="14"/>
  <c r="N765" i="14"/>
  <c r="O765" i="14"/>
  <c r="P765" i="14"/>
  <c r="Q765" i="14"/>
  <c r="R765" i="14"/>
  <c r="S765" i="14"/>
  <c r="T765" i="14"/>
  <c r="A766" i="14"/>
  <c r="B766" i="14"/>
  <c r="C766" i="14"/>
  <c r="D766" i="14"/>
  <c r="F766" i="14"/>
  <c r="G766" i="14"/>
  <c r="H766" i="14"/>
  <c r="I766" i="14"/>
  <c r="K766" i="14"/>
  <c r="L766" i="14"/>
  <c r="M766" i="14"/>
  <c r="N766" i="14"/>
  <c r="O766" i="14"/>
  <c r="P766" i="14"/>
  <c r="Q766" i="14"/>
  <c r="R766" i="14"/>
  <c r="S766" i="14"/>
  <c r="T766" i="14"/>
  <c r="A767" i="14"/>
  <c r="B767" i="14"/>
  <c r="C767" i="14"/>
  <c r="D767" i="14"/>
  <c r="F767" i="14"/>
  <c r="G767" i="14"/>
  <c r="H767" i="14"/>
  <c r="I767" i="14"/>
  <c r="K767" i="14"/>
  <c r="L767" i="14"/>
  <c r="M767" i="14"/>
  <c r="N767" i="14"/>
  <c r="O767" i="14"/>
  <c r="P767" i="14"/>
  <c r="Q767" i="14"/>
  <c r="R767" i="14"/>
  <c r="S767" i="14"/>
  <c r="T767" i="14"/>
  <c r="A768" i="14"/>
  <c r="B768" i="14"/>
  <c r="C768" i="14"/>
  <c r="D768" i="14"/>
  <c r="F768" i="14"/>
  <c r="G768" i="14"/>
  <c r="H768" i="14"/>
  <c r="I768" i="14"/>
  <c r="K768" i="14"/>
  <c r="L768" i="14"/>
  <c r="M768" i="14"/>
  <c r="N768" i="14"/>
  <c r="O768" i="14"/>
  <c r="P768" i="14"/>
  <c r="Q768" i="14"/>
  <c r="R768" i="14"/>
  <c r="S768" i="14"/>
  <c r="T768" i="14"/>
  <c r="A769" i="14"/>
  <c r="B769" i="14"/>
  <c r="C769" i="14"/>
  <c r="D769" i="14"/>
  <c r="F769" i="14"/>
  <c r="G769" i="14"/>
  <c r="H769" i="14"/>
  <c r="I769" i="14"/>
  <c r="K769" i="14"/>
  <c r="L769" i="14"/>
  <c r="M769" i="14"/>
  <c r="N769" i="14"/>
  <c r="O769" i="14"/>
  <c r="P769" i="14"/>
  <c r="Q769" i="14"/>
  <c r="R769" i="14"/>
  <c r="S769" i="14"/>
  <c r="T769" i="14"/>
  <c r="A770" i="14"/>
  <c r="B770" i="14"/>
  <c r="C770" i="14"/>
  <c r="D770" i="14"/>
  <c r="F770" i="14"/>
  <c r="G770" i="14"/>
  <c r="H770" i="14"/>
  <c r="I770" i="14"/>
  <c r="K770" i="14"/>
  <c r="L770" i="14"/>
  <c r="M770" i="14"/>
  <c r="N770" i="14"/>
  <c r="O770" i="14"/>
  <c r="P770" i="14"/>
  <c r="Q770" i="14"/>
  <c r="R770" i="14"/>
  <c r="S770" i="14"/>
  <c r="T770" i="14"/>
  <c r="A771" i="14"/>
  <c r="B771" i="14"/>
  <c r="C771" i="14"/>
  <c r="D771" i="14"/>
  <c r="F771" i="14"/>
  <c r="G771" i="14"/>
  <c r="H771" i="14"/>
  <c r="I771" i="14"/>
  <c r="K771" i="14"/>
  <c r="L771" i="14"/>
  <c r="M771" i="14"/>
  <c r="N771" i="14"/>
  <c r="O771" i="14"/>
  <c r="P771" i="14"/>
  <c r="Q771" i="14"/>
  <c r="R771" i="14"/>
  <c r="S771" i="14"/>
  <c r="T771" i="14"/>
  <c r="A772" i="14"/>
  <c r="B772" i="14"/>
  <c r="C772" i="14"/>
  <c r="D772" i="14"/>
  <c r="F772" i="14"/>
  <c r="G772" i="14"/>
  <c r="H772" i="14"/>
  <c r="I772" i="14"/>
  <c r="K772" i="14"/>
  <c r="L772" i="14"/>
  <c r="M772" i="14"/>
  <c r="N772" i="14"/>
  <c r="O772" i="14"/>
  <c r="P772" i="14"/>
  <c r="Q772" i="14"/>
  <c r="R772" i="14"/>
  <c r="S772" i="14"/>
  <c r="T772" i="14"/>
  <c r="A773" i="14"/>
  <c r="B773" i="14"/>
  <c r="C773" i="14"/>
  <c r="D773" i="14"/>
  <c r="F773" i="14"/>
  <c r="G773" i="14"/>
  <c r="H773" i="14"/>
  <c r="I773" i="14"/>
  <c r="K773" i="14"/>
  <c r="L773" i="14"/>
  <c r="M773" i="14"/>
  <c r="N773" i="14"/>
  <c r="O773" i="14"/>
  <c r="P773" i="14"/>
  <c r="Q773" i="14"/>
  <c r="R773" i="14"/>
  <c r="S773" i="14"/>
  <c r="T773" i="14"/>
  <c r="A774" i="14"/>
  <c r="B774" i="14"/>
  <c r="C774" i="14"/>
  <c r="D774" i="14"/>
  <c r="F774" i="14"/>
  <c r="G774" i="14"/>
  <c r="H774" i="14"/>
  <c r="I774" i="14"/>
  <c r="K774" i="14"/>
  <c r="L774" i="14"/>
  <c r="M774" i="14"/>
  <c r="N774" i="14"/>
  <c r="O774" i="14"/>
  <c r="P774" i="14"/>
  <c r="Q774" i="14"/>
  <c r="R774" i="14"/>
  <c r="S774" i="14"/>
  <c r="T774" i="14"/>
  <c r="A775" i="14"/>
  <c r="B775" i="14"/>
  <c r="C775" i="14"/>
  <c r="D775" i="14"/>
  <c r="F775" i="14"/>
  <c r="G775" i="14"/>
  <c r="H775" i="14"/>
  <c r="I775" i="14"/>
  <c r="K775" i="14"/>
  <c r="L775" i="14"/>
  <c r="M775" i="14"/>
  <c r="N775" i="14"/>
  <c r="O775" i="14"/>
  <c r="P775" i="14"/>
  <c r="Q775" i="14"/>
  <c r="R775" i="14"/>
  <c r="S775" i="14"/>
  <c r="T775" i="14"/>
  <c r="A776" i="14"/>
  <c r="B776" i="14"/>
  <c r="C776" i="14"/>
  <c r="D776" i="14"/>
  <c r="F776" i="14"/>
  <c r="G776" i="14"/>
  <c r="H776" i="14"/>
  <c r="I776" i="14"/>
  <c r="K776" i="14"/>
  <c r="L776" i="14"/>
  <c r="M776" i="14"/>
  <c r="N776" i="14"/>
  <c r="O776" i="14"/>
  <c r="P776" i="14"/>
  <c r="Q776" i="14"/>
  <c r="R776" i="14"/>
  <c r="S776" i="14"/>
  <c r="T776" i="14"/>
  <c r="A777" i="14"/>
  <c r="B777" i="14"/>
  <c r="C777" i="14"/>
  <c r="D777" i="14"/>
  <c r="F777" i="14"/>
  <c r="G777" i="14"/>
  <c r="H777" i="14"/>
  <c r="I777" i="14"/>
  <c r="K777" i="14"/>
  <c r="L777" i="14"/>
  <c r="M777" i="14"/>
  <c r="N777" i="14"/>
  <c r="O777" i="14"/>
  <c r="P777" i="14"/>
  <c r="Q777" i="14"/>
  <c r="R777" i="14"/>
  <c r="S777" i="14"/>
  <c r="T777" i="14"/>
  <c r="A778" i="14"/>
  <c r="B778" i="14"/>
  <c r="C778" i="14"/>
  <c r="D778" i="14"/>
  <c r="F778" i="14"/>
  <c r="G778" i="14"/>
  <c r="H778" i="14"/>
  <c r="I778" i="14"/>
  <c r="K778" i="14"/>
  <c r="L778" i="14"/>
  <c r="M778" i="14"/>
  <c r="N778" i="14"/>
  <c r="O778" i="14"/>
  <c r="P778" i="14"/>
  <c r="Q778" i="14"/>
  <c r="R778" i="14"/>
  <c r="S778" i="14"/>
  <c r="T778" i="14"/>
  <c r="A779" i="14"/>
  <c r="C779" i="14"/>
  <c r="D779" i="14"/>
  <c r="F779" i="14"/>
  <c r="G779" i="14"/>
  <c r="H779" i="14"/>
  <c r="I779" i="14"/>
  <c r="K779" i="14"/>
  <c r="L779" i="14"/>
  <c r="M779" i="14"/>
  <c r="N779" i="14"/>
  <c r="O779" i="14"/>
  <c r="P779" i="14"/>
  <c r="Q779" i="14"/>
  <c r="R779" i="14"/>
  <c r="S779" i="14"/>
  <c r="T779" i="14"/>
  <c r="A780" i="14"/>
  <c r="C780" i="14"/>
  <c r="D780" i="14"/>
  <c r="F780" i="14"/>
  <c r="G780" i="14"/>
  <c r="H780" i="14"/>
  <c r="I780" i="14"/>
  <c r="K780" i="14"/>
  <c r="L780" i="14"/>
  <c r="M780" i="14"/>
  <c r="P780" i="14"/>
  <c r="Q780" i="14"/>
  <c r="R780" i="14"/>
  <c r="S780" i="14"/>
  <c r="T780" i="14"/>
  <c r="A781" i="14"/>
  <c r="C781" i="14"/>
  <c r="D781" i="14"/>
  <c r="F781" i="14"/>
  <c r="G781" i="14"/>
  <c r="H781" i="14"/>
  <c r="I781" i="14"/>
  <c r="K781" i="14"/>
  <c r="L781" i="14"/>
  <c r="M781" i="14"/>
  <c r="P781" i="14"/>
  <c r="Q781" i="14"/>
  <c r="R781" i="14"/>
  <c r="S781" i="14"/>
  <c r="T781" i="14"/>
  <c r="A782" i="14"/>
  <c r="B782" i="14"/>
  <c r="C782" i="14"/>
  <c r="D782" i="14"/>
  <c r="F782" i="14"/>
  <c r="G782" i="14"/>
  <c r="H782" i="14"/>
  <c r="I782" i="14"/>
  <c r="K782" i="14"/>
  <c r="L782" i="14"/>
  <c r="M782" i="14"/>
  <c r="P782" i="14"/>
  <c r="Q782" i="14"/>
  <c r="R782" i="14"/>
  <c r="S782" i="14"/>
  <c r="T782" i="14"/>
  <c r="A783" i="14"/>
  <c r="B783" i="14"/>
  <c r="C783" i="14"/>
  <c r="D783" i="14"/>
  <c r="F783" i="14"/>
  <c r="G783" i="14"/>
  <c r="H783" i="14"/>
  <c r="I783" i="14"/>
  <c r="K783" i="14"/>
  <c r="L783" i="14"/>
  <c r="M783" i="14"/>
  <c r="P783" i="14"/>
  <c r="Q783" i="14"/>
  <c r="R783" i="14"/>
  <c r="S783" i="14"/>
  <c r="T783" i="14"/>
  <c r="A784" i="14"/>
  <c r="B784" i="14"/>
  <c r="C784" i="14"/>
  <c r="D784" i="14"/>
  <c r="F784" i="14"/>
  <c r="G784" i="14"/>
  <c r="H784" i="14"/>
  <c r="I784" i="14"/>
  <c r="K784" i="14"/>
  <c r="L784" i="14"/>
  <c r="M784" i="14"/>
  <c r="P784" i="14"/>
  <c r="Q784" i="14"/>
  <c r="R784" i="14"/>
  <c r="S784" i="14"/>
  <c r="T784" i="14"/>
  <c r="A785" i="14"/>
  <c r="C785" i="14"/>
  <c r="D785" i="14"/>
  <c r="F785" i="14"/>
  <c r="G785" i="14"/>
  <c r="H785" i="14"/>
  <c r="I785" i="14"/>
  <c r="K785" i="14"/>
  <c r="L785" i="14"/>
  <c r="M785" i="14"/>
  <c r="P785" i="14"/>
  <c r="Q785" i="14"/>
  <c r="R785" i="14"/>
  <c r="S785" i="14"/>
  <c r="T785" i="14"/>
  <c r="A786" i="14"/>
  <c r="C786" i="14"/>
  <c r="D786" i="14"/>
  <c r="F786" i="14"/>
  <c r="G786" i="14"/>
  <c r="H786" i="14"/>
  <c r="I786" i="14"/>
  <c r="K786" i="14"/>
  <c r="L786" i="14"/>
  <c r="M786" i="14"/>
  <c r="P786" i="14"/>
  <c r="Q786" i="14"/>
  <c r="R786" i="14"/>
  <c r="S786" i="14"/>
  <c r="T786" i="14"/>
  <c r="A787" i="14"/>
  <c r="C787" i="14"/>
  <c r="D787" i="14"/>
  <c r="F787" i="14"/>
  <c r="G787" i="14"/>
  <c r="H787" i="14"/>
  <c r="I787" i="14"/>
  <c r="K787" i="14"/>
  <c r="L787" i="14"/>
  <c r="M787" i="14"/>
  <c r="P787" i="14"/>
  <c r="Q787" i="14"/>
  <c r="R787" i="14"/>
  <c r="S787" i="14"/>
  <c r="T787" i="14"/>
  <c r="A788" i="14"/>
  <c r="B788" i="14"/>
  <c r="C788" i="14"/>
  <c r="D788" i="14"/>
  <c r="F788" i="14"/>
  <c r="G788" i="14"/>
  <c r="H788" i="14"/>
  <c r="I788" i="14"/>
  <c r="K788" i="14"/>
  <c r="L788" i="14"/>
  <c r="M788" i="14"/>
  <c r="P788" i="14"/>
  <c r="Q788" i="14"/>
  <c r="R788" i="14"/>
  <c r="S788" i="14"/>
  <c r="T788" i="14"/>
  <c r="A789" i="14"/>
  <c r="C789" i="14"/>
  <c r="D789" i="14"/>
  <c r="F789" i="14"/>
  <c r="G789" i="14"/>
  <c r="H789" i="14"/>
  <c r="I789" i="14"/>
  <c r="K789" i="14"/>
  <c r="L789" i="14"/>
  <c r="M789" i="14"/>
  <c r="P789" i="14"/>
  <c r="Q789" i="14"/>
  <c r="R789" i="14"/>
  <c r="S789" i="14"/>
  <c r="T789" i="14"/>
  <c r="A790" i="14"/>
  <c r="C790" i="14"/>
  <c r="D790" i="14"/>
  <c r="F790" i="14"/>
  <c r="G790" i="14"/>
  <c r="H790" i="14"/>
  <c r="I790" i="14"/>
  <c r="K790" i="14"/>
  <c r="L790" i="14"/>
  <c r="M790" i="14"/>
  <c r="P790" i="14"/>
  <c r="Q790" i="14"/>
  <c r="R790" i="14"/>
  <c r="S790" i="14"/>
  <c r="T790" i="14"/>
  <c r="A791" i="14"/>
  <c r="C791" i="14"/>
  <c r="D791" i="14"/>
  <c r="F791" i="14"/>
  <c r="G791" i="14"/>
  <c r="H791" i="14"/>
  <c r="I791" i="14"/>
  <c r="K791" i="14"/>
  <c r="L791" i="14"/>
  <c r="M791" i="14"/>
  <c r="P791" i="14"/>
  <c r="Q791" i="14"/>
  <c r="R791" i="14"/>
  <c r="S791" i="14"/>
  <c r="T791" i="14"/>
  <c r="A792" i="14"/>
  <c r="C792" i="14"/>
  <c r="D792" i="14"/>
  <c r="F792" i="14"/>
  <c r="G792" i="14"/>
  <c r="H792" i="14"/>
  <c r="I792" i="14"/>
  <c r="K792" i="14"/>
  <c r="L792" i="14"/>
  <c r="M792" i="14"/>
  <c r="P792" i="14"/>
  <c r="Q792" i="14"/>
  <c r="R792" i="14"/>
  <c r="S792" i="14"/>
  <c r="T792" i="14"/>
  <c r="A793" i="14"/>
  <c r="C793" i="14"/>
  <c r="D793" i="14"/>
  <c r="F793" i="14"/>
  <c r="G793" i="14"/>
  <c r="H793" i="14"/>
  <c r="H815" i="14" s="1"/>
  <c r="I793" i="14"/>
  <c r="K793" i="14"/>
  <c r="L793" i="14"/>
  <c r="M793" i="14"/>
  <c r="P793" i="14"/>
  <c r="Q793" i="14"/>
  <c r="R793" i="14"/>
  <c r="S793" i="14"/>
  <c r="T793" i="14"/>
  <c r="A794" i="14"/>
  <c r="C794" i="14"/>
  <c r="D794" i="14"/>
  <c r="F794" i="14"/>
  <c r="G794" i="14"/>
  <c r="H794" i="14"/>
  <c r="I794" i="14"/>
  <c r="K794" i="14"/>
  <c r="L794" i="14"/>
  <c r="M794" i="14"/>
  <c r="P794" i="14"/>
  <c r="Q794" i="14"/>
  <c r="R794" i="14"/>
  <c r="S794" i="14"/>
  <c r="T794" i="14"/>
  <c r="A795" i="14"/>
  <c r="C795" i="14"/>
  <c r="D795" i="14"/>
  <c r="F795" i="14"/>
  <c r="G795" i="14"/>
  <c r="H795" i="14"/>
  <c r="I795" i="14"/>
  <c r="K795" i="14"/>
  <c r="L795" i="14"/>
  <c r="M795" i="14"/>
  <c r="P795" i="14"/>
  <c r="Q795" i="14"/>
  <c r="R795" i="14"/>
  <c r="S795" i="14"/>
  <c r="T795" i="14"/>
  <c r="A796" i="14"/>
  <c r="C796" i="14"/>
  <c r="D796" i="14"/>
  <c r="F796" i="14"/>
  <c r="G796" i="14"/>
  <c r="H796" i="14"/>
  <c r="I796" i="14"/>
  <c r="K796" i="14"/>
  <c r="L796" i="14"/>
  <c r="M796" i="14"/>
  <c r="P796" i="14"/>
  <c r="Q796" i="14"/>
  <c r="R796" i="14"/>
  <c r="S796" i="14"/>
  <c r="T796" i="14"/>
  <c r="A797" i="14"/>
  <c r="C797" i="14"/>
  <c r="D797" i="14"/>
  <c r="F797" i="14"/>
  <c r="G797" i="14"/>
  <c r="H797" i="14"/>
  <c r="I797" i="14"/>
  <c r="K797" i="14"/>
  <c r="L797" i="14"/>
  <c r="M797" i="14"/>
  <c r="P797" i="14"/>
  <c r="Q797" i="14"/>
  <c r="R797" i="14"/>
  <c r="S797" i="14"/>
  <c r="T797" i="14"/>
  <c r="A798" i="14"/>
  <c r="C798" i="14"/>
  <c r="D798" i="14"/>
  <c r="F798" i="14"/>
  <c r="G798" i="14"/>
  <c r="H798" i="14"/>
  <c r="I798" i="14"/>
  <c r="K798" i="14"/>
  <c r="L798" i="14"/>
  <c r="M798" i="14"/>
  <c r="P798" i="14"/>
  <c r="Q798" i="14"/>
  <c r="R798" i="14"/>
  <c r="S798" i="14"/>
  <c r="T798" i="14"/>
  <c r="A799" i="14"/>
  <c r="C799" i="14"/>
  <c r="D799" i="14"/>
  <c r="F799" i="14"/>
  <c r="G799" i="14"/>
  <c r="H799" i="14"/>
  <c r="I799" i="14"/>
  <c r="K799" i="14"/>
  <c r="L799" i="14"/>
  <c r="M799" i="14"/>
  <c r="P799" i="14"/>
  <c r="Q799" i="14"/>
  <c r="R799" i="14"/>
  <c r="S799" i="14"/>
  <c r="T799" i="14"/>
  <c r="A800" i="14"/>
  <c r="C800" i="14"/>
  <c r="D800" i="14"/>
  <c r="F800" i="14"/>
  <c r="G800" i="14"/>
  <c r="H800" i="14"/>
  <c r="I800" i="14"/>
  <c r="K800" i="14"/>
  <c r="L800" i="14"/>
  <c r="M800" i="14"/>
  <c r="P800" i="14"/>
  <c r="Q800" i="14"/>
  <c r="R800" i="14"/>
  <c r="S800" i="14"/>
  <c r="T800" i="14"/>
  <c r="A801" i="14"/>
  <c r="C801" i="14"/>
  <c r="D801" i="14"/>
  <c r="F801" i="14"/>
  <c r="G801" i="14"/>
  <c r="H801" i="14"/>
  <c r="I801" i="14"/>
  <c r="K801" i="14"/>
  <c r="L801" i="14"/>
  <c r="M801" i="14"/>
  <c r="P801" i="14"/>
  <c r="Q801" i="14"/>
  <c r="R801" i="14"/>
  <c r="S801" i="14"/>
  <c r="T801" i="14"/>
  <c r="A802" i="14"/>
  <c r="C802" i="14"/>
  <c r="D802" i="14"/>
  <c r="F802" i="14"/>
  <c r="G802" i="14"/>
  <c r="H802" i="14"/>
  <c r="I802" i="14"/>
  <c r="K802" i="14"/>
  <c r="L802" i="14"/>
  <c r="M802" i="14"/>
  <c r="P802" i="14"/>
  <c r="Q802" i="14"/>
  <c r="R802" i="14"/>
  <c r="S802" i="14"/>
  <c r="T802" i="14"/>
  <c r="A803" i="14"/>
  <c r="C803" i="14"/>
  <c r="D803" i="14"/>
  <c r="F803" i="14"/>
  <c r="G803" i="14"/>
  <c r="H803" i="14"/>
  <c r="I803" i="14"/>
  <c r="K803" i="14"/>
  <c r="L803" i="14"/>
  <c r="M803" i="14"/>
  <c r="P803" i="14"/>
  <c r="Q803" i="14"/>
  <c r="R803" i="14"/>
  <c r="S803" i="14"/>
  <c r="T803" i="14"/>
  <c r="A804" i="14"/>
  <c r="C804" i="14"/>
  <c r="D804" i="14"/>
  <c r="F804" i="14"/>
  <c r="G804" i="14"/>
  <c r="H804" i="14"/>
  <c r="I804" i="14"/>
  <c r="K804" i="14"/>
  <c r="L804" i="14"/>
  <c r="M804" i="14"/>
  <c r="P804" i="14"/>
  <c r="Q804" i="14"/>
  <c r="R804" i="14"/>
  <c r="S804" i="14"/>
  <c r="T804" i="14"/>
  <c r="A805" i="14"/>
  <c r="C805" i="14"/>
  <c r="D805" i="14"/>
  <c r="F805" i="14"/>
  <c r="G805" i="14"/>
  <c r="H805" i="14"/>
  <c r="I805" i="14"/>
  <c r="K805" i="14"/>
  <c r="L805" i="14"/>
  <c r="M805" i="14"/>
  <c r="P805" i="14"/>
  <c r="Q805" i="14"/>
  <c r="R805" i="14"/>
  <c r="S805" i="14"/>
  <c r="T805" i="14"/>
  <c r="A806" i="14"/>
  <c r="C806" i="14"/>
  <c r="D806" i="14"/>
  <c r="F806" i="14"/>
  <c r="G806" i="14"/>
  <c r="H806" i="14"/>
  <c r="I806" i="14"/>
  <c r="K806" i="14"/>
  <c r="L806" i="14"/>
  <c r="M806" i="14"/>
  <c r="P806" i="14"/>
  <c r="Q806" i="14"/>
  <c r="R806" i="14"/>
  <c r="S806" i="14"/>
  <c r="T806" i="14"/>
  <c r="A807" i="14"/>
  <c r="C807" i="14"/>
  <c r="D807" i="14"/>
  <c r="F807" i="14"/>
  <c r="G807" i="14"/>
  <c r="H807" i="14"/>
  <c r="I807" i="14"/>
  <c r="K807" i="14"/>
  <c r="L807" i="14"/>
  <c r="M807" i="14"/>
  <c r="P807" i="14"/>
  <c r="Q807" i="14"/>
  <c r="R807" i="14"/>
  <c r="S807" i="14"/>
  <c r="T807" i="14"/>
  <c r="A808" i="14"/>
  <c r="C808" i="14"/>
  <c r="D808" i="14"/>
  <c r="F808" i="14"/>
  <c r="G808" i="14"/>
  <c r="H808" i="14"/>
  <c r="I808" i="14"/>
  <c r="K808" i="14"/>
  <c r="L808" i="14"/>
  <c r="M808" i="14"/>
  <c r="P808" i="14"/>
  <c r="Q808" i="14"/>
  <c r="R808" i="14"/>
  <c r="S808" i="14"/>
  <c r="T808" i="14"/>
  <c r="A809" i="14"/>
  <c r="C809" i="14"/>
  <c r="D809" i="14"/>
  <c r="F809" i="14"/>
  <c r="G809" i="14"/>
  <c r="H809" i="14"/>
  <c r="I809" i="14"/>
  <c r="K809" i="14"/>
  <c r="L809" i="14"/>
  <c r="M809" i="14"/>
  <c r="P809" i="14"/>
  <c r="Q809" i="14"/>
  <c r="R809" i="14"/>
  <c r="S809" i="14"/>
  <c r="T809" i="14"/>
  <c r="A810" i="14"/>
  <c r="C810" i="14"/>
  <c r="D810" i="14"/>
  <c r="F810" i="14"/>
  <c r="G810" i="14"/>
  <c r="H810" i="14"/>
  <c r="I810" i="14"/>
  <c r="K810" i="14"/>
  <c r="L810" i="14"/>
  <c r="M810" i="14"/>
  <c r="P810" i="14"/>
  <c r="Q810" i="14"/>
  <c r="R810" i="14"/>
  <c r="S810" i="14"/>
  <c r="T810" i="14"/>
  <c r="A811" i="14"/>
  <c r="C811" i="14"/>
  <c r="D811" i="14"/>
  <c r="F811" i="14"/>
  <c r="G811" i="14"/>
  <c r="H811" i="14"/>
  <c r="I811" i="14"/>
  <c r="K811" i="14"/>
  <c r="L811" i="14"/>
  <c r="M811" i="14"/>
  <c r="P811" i="14"/>
  <c r="Q811" i="14"/>
  <c r="R811" i="14"/>
  <c r="S811" i="14"/>
  <c r="T811" i="14"/>
  <c r="A812" i="14"/>
  <c r="C812" i="14"/>
  <c r="D812" i="14"/>
  <c r="F812" i="14"/>
  <c r="G812" i="14"/>
  <c r="H812" i="14"/>
  <c r="I812" i="14"/>
  <c r="K812" i="14"/>
  <c r="L812" i="14"/>
  <c r="M812" i="14"/>
  <c r="P812" i="14"/>
  <c r="Q812" i="14"/>
  <c r="R812" i="14"/>
  <c r="S812" i="14"/>
  <c r="T812" i="14"/>
  <c r="A813" i="14"/>
  <c r="U813" i="14"/>
  <c r="V813" i="14"/>
  <c r="V815" i="14" s="1"/>
  <c r="W813" i="14"/>
  <c r="W815" i="14" s="1"/>
  <c r="X813" i="14"/>
  <c r="P815" i="14"/>
  <c r="U815" i="14"/>
  <c r="X815" i="14"/>
  <c r="C816" i="14"/>
  <c r="D816" i="14"/>
  <c r="F816" i="14"/>
  <c r="G816" i="14"/>
  <c r="H816" i="14"/>
  <c r="I816" i="14"/>
  <c r="K816" i="14"/>
  <c r="L816" i="14"/>
  <c r="M816" i="14"/>
  <c r="O816" i="14"/>
  <c r="P816" i="14"/>
  <c r="Q816" i="14"/>
  <c r="R816" i="14"/>
  <c r="S816" i="14"/>
  <c r="T816" i="14"/>
  <c r="D817" i="14"/>
  <c r="E817" i="14"/>
  <c r="F817" i="14"/>
  <c r="G817" i="14"/>
  <c r="H817" i="14"/>
  <c r="I817" i="14"/>
  <c r="J817" i="14"/>
  <c r="K817" i="14"/>
  <c r="L817" i="14"/>
  <c r="M817" i="14"/>
  <c r="N817" i="14"/>
  <c r="O817" i="14"/>
  <c r="M817" i="13"/>
  <c r="K817" i="13"/>
  <c r="J817" i="13"/>
  <c r="I817" i="13"/>
  <c r="H817" i="13"/>
  <c r="G817" i="13"/>
  <c r="F817" i="13"/>
  <c r="E817" i="13"/>
  <c r="D817" i="13"/>
  <c r="X813" i="13"/>
  <c r="X815" i="13" s="1"/>
  <c r="W813" i="13"/>
  <c r="W815" i="13" s="1"/>
  <c r="V813" i="13"/>
  <c r="V815" i="13" s="1"/>
  <c r="U813" i="13"/>
  <c r="U815" i="13" s="1"/>
  <c r="A813" i="13"/>
  <c r="T812" i="13"/>
  <c r="S812" i="13"/>
  <c r="R812" i="13"/>
  <c r="Q812" i="13"/>
  <c r="P812" i="13"/>
  <c r="M812" i="13"/>
  <c r="L812" i="13"/>
  <c r="K812" i="13"/>
  <c r="I812" i="13"/>
  <c r="H812" i="13"/>
  <c r="G812" i="13"/>
  <c r="F812" i="13"/>
  <c r="D812" i="13"/>
  <c r="C812" i="13"/>
  <c r="A812" i="13"/>
  <c r="T811" i="13"/>
  <c r="S811" i="13"/>
  <c r="R811" i="13"/>
  <c r="Q811" i="13"/>
  <c r="P811" i="13"/>
  <c r="M811" i="13"/>
  <c r="L811" i="13"/>
  <c r="K811" i="13"/>
  <c r="I811" i="13"/>
  <c r="H811" i="13"/>
  <c r="G811" i="13"/>
  <c r="F811" i="13"/>
  <c r="D811" i="13"/>
  <c r="C811" i="13"/>
  <c r="A811" i="13"/>
  <c r="T810" i="13"/>
  <c r="S810" i="13"/>
  <c r="R810" i="13"/>
  <c r="Q810" i="13"/>
  <c r="P810" i="13"/>
  <c r="M810" i="13"/>
  <c r="K810" i="13"/>
  <c r="I810" i="13"/>
  <c r="H810" i="13"/>
  <c r="F810" i="13"/>
  <c r="C810" i="13"/>
  <c r="A810" i="13"/>
  <c r="T809" i="13"/>
  <c r="S809" i="13"/>
  <c r="R809" i="13"/>
  <c r="Q809" i="13"/>
  <c r="P809" i="13"/>
  <c r="M809" i="13"/>
  <c r="L809" i="13"/>
  <c r="K809" i="13"/>
  <c r="I809" i="13"/>
  <c r="H809" i="13"/>
  <c r="G809" i="13"/>
  <c r="F809" i="13"/>
  <c r="D809" i="13"/>
  <c r="C809" i="13"/>
  <c r="A809" i="13"/>
  <c r="T808" i="13"/>
  <c r="S808" i="13"/>
  <c r="R808" i="13"/>
  <c r="Q808" i="13"/>
  <c r="P808" i="13"/>
  <c r="M808" i="13"/>
  <c r="H808" i="13"/>
  <c r="F808" i="13"/>
  <c r="A808" i="13"/>
  <c r="T807" i="13"/>
  <c r="S807" i="13"/>
  <c r="R807" i="13"/>
  <c r="Q807" i="13"/>
  <c r="P807" i="13"/>
  <c r="M807" i="13"/>
  <c r="K807" i="13"/>
  <c r="H807" i="13"/>
  <c r="F807" i="13"/>
  <c r="C807" i="13"/>
  <c r="A807" i="13"/>
  <c r="T806" i="13"/>
  <c r="S806" i="13"/>
  <c r="R806" i="13"/>
  <c r="Q806" i="13"/>
  <c r="P806" i="13"/>
  <c r="M806" i="13"/>
  <c r="H806" i="13"/>
  <c r="F806" i="13"/>
  <c r="C806" i="13"/>
  <c r="A806" i="13"/>
  <c r="T805" i="13"/>
  <c r="S805" i="13"/>
  <c r="R805" i="13"/>
  <c r="Q805" i="13"/>
  <c r="P805" i="13"/>
  <c r="M805" i="13"/>
  <c r="H805" i="13"/>
  <c r="F805" i="13"/>
  <c r="C805" i="13"/>
  <c r="A805" i="13"/>
  <c r="T804" i="13"/>
  <c r="S804" i="13"/>
  <c r="R804" i="13"/>
  <c r="Q804" i="13"/>
  <c r="P804" i="13"/>
  <c r="M804" i="13"/>
  <c r="L804" i="13"/>
  <c r="K804" i="13"/>
  <c r="I804" i="13"/>
  <c r="H804" i="13"/>
  <c r="G804" i="13"/>
  <c r="F804" i="13"/>
  <c r="D804" i="13"/>
  <c r="C804" i="13"/>
  <c r="A804" i="13"/>
  <c r="T803" i="13"/>
  <c r="S803" i="13"/>
  <c r="R803" i="13"/>
  <c r="Q803" i="13"/>
  <c r="P803" i="13"/>
  <c r="M803" i="13"/>
  <c r="L803" i="13"/>
  <c r="K803" i="13"/>
  <c r="I803" i="13"/>
  <c r="H803" i="13"/>
  <c r="G803" i="13"/>
  <c r="F803" i="13"/>
  <c r="D803" i="13"/>
  <c r="C803" i="13"/>
  <c r="A803" i="13"/>
  <c r="T802" i="13"/>
  <c r="S802" i="13"/>
  <c r="R802" i="13"/>
  <c r="Q802" i="13"/>
  <c r="P802" i="13"/>
  <c r="M802" i="13"/>
  <c r="L802" i="13"/>
  <c r="K802" i="13"/>
  <c r="I802" i="13"/>
  <c r="H802" i="13"/>
  <c r="G802" i="13"/>
  <c r="F802" i="13"/>
  <c r="D802" i="13"/>
  <c r="C802" i="13"/>
  <c r="A802" i="13"/>
  <c r="T801" i="13"/>
  <c r="S801" i="13"/>
  <c r="R801" i="13"/>
  <c r="Q801" i="13"/>
  <c r="P801" i="13"/>
  <c r="M801" i="13"/>
  <c r="K801" i="13"/>
  <c r="H801" i="13"/>
  <c r="F801" i="13"/>
  <c r="A801" i="13"/>
  <c r="T800" i="13"/>
  <c r="S800" i="13"/>
  <c r="R800" i="13"/>
  <c r="Q800" i="13"/>
  <c r="P800" i="13"/>
  <c r="M800" i="13"/>
  <c r="L800" i="13"/>
  <c r="K800" i="13"/>
  <c r="I800" i="13"/>
  <c r="H800" i="13"/>
  <c r="G800" i="13"/>
  <c r="F800" i="13"/>
  <c r="D800" i="13"/>
  <c r="C800" i="13"/>
  <c r="A800" i="13"/>
  <c r="T799" i="13"/>
  <c r="S799" i="13"/>
  <c r="R799" i="13"/>
  <c r="Q799" i="13"/>
  <c r="P799" i="13"/>
  <c r="M799" i="13"/>
  <c r="K799" i="13"/>
  <c r="H799" i="13"/>
  <c r="F799" i="13"/>
  <c r="C799" i="13"/>
  <c r="A799" i="13"/>
  <c r="T798" i="13"/>
  <c r="S798" i="13"/>
  <c r="R798" i="13"/>
  <c r="Q798" i="13"/>
  <c r="P798" i="13"/>
  <c r="M798" i="13"/>
  <c r="L798" i="13"/>
  <c r="K798" i="13"/>
  <c r="I798" i="13"/>
  <c r="H798" i="13"/>
  <c r="G798" i="13"/>
  <c r="F798" i="13"/>
  <c r="D798" i="13"/>
  <c r="C798" i="13"/>
  <c r="A798" i="13"/>
  <c r="T797" i="13"/>
  <c r="S797" i="13"/>
  <c r="R797" i="13"/>
  <c r="Q797" i="13"/>
  <c r="P797" i="13"/>
  <c r="M797" i="13"/>
  <c r="H797" i="13"/>
  <c r="F797" i="13"/>
  <c r="A797" i="13"/>
  <c r="T796" i="13"/>
  <c r="S796" i="13"/>
  <c r="R796" i="13"/>
  <c r="Q796" i="13"/>
  <c r="P796" i="13"/>
  <c r="M796" i="13"/>
  <c r="L796" i="13"/>
  <c r="K796" i="13"/>
  <c r="I796" i="13"/>
  <c r="H796" i="13"/>
  <c r="G796" i="13"/>
  <c r="F796" i="13"/>
  <c r="D796" i="13"/>
  <c r="C796" i="13"/>
  <c r="A796" i="13"/>
  <c r="T795" i="13"/>
  <c r="S795" i="13"/>
  <c r="R795" i="13"/>
  <c r="Q795" i="13"/>
  <c r="P795" i="13"/>
  <c r="M795" i="13"/>
  <c r="K795" i="13"/>
  <c r="H795" i="13"/>
  <c r="F795" i="13"/>
  <c r="A795" i="13"/>
  <c r="T794" i="13"/>
  <c r="S794" i="13"/>
  <c r="R794" i="13"/>
  <c r="Q794" i="13"/>
  <c r="P794" i="13"/>
  <c r="M794" i="13"/>
  <c r="L794" i="13"/>
  <c r="K794" i="13"/>
  <c r="H794" i="13"/>
  <c r="G794" i="13"/>
  <c r="F794" i="13"/>
  <c r="D794" i="13"/>
  <c r="C794" i="13"/>
  <c r="A794" i="13"/>
  <c r="T793" i="13"/>
  <c r="S793" i="13"/>
  <c r="R793" i="13"/>
  <c r="Q793" i="13"/>
  <c r="P793" i="13"/>
  <c r="M793" i="13"/>
  <c r="K793" i="13"/>
  <c r="H793" i="13"/>
  <c r="F793" i="13"/>
  <c r="C793" i="13"/>
  <c r="A793" i="13"/>
  <c r="T792" i="13"/>
  <c r="S792" i="13"/>
  <c r="R792" i="13"/>
  <c r="Q792" i="13"/>
  <c r="P792" i="13"/>
  <c r="M792" i="13"/>
  <c r="L792" i="13"/>
  <c r="K792" i="13"/>
  <c r="I792" i="13"/>
  <c r="H792" i="13"/>
  <c r="G792" i="13"/>
  <c r="F792" i="13"/>
  <c r="D792" i="13"/>
  <c r="C792" i="13"/>
  <c r="A792" i="13"/>
  <c r="T791" i="13"/>
  <c r="S791" i="13"/>
  <c r="R791" i="13"/>
  <c r="Q791" i="13"/>
  <c r="P791" i="13"/>
  <c r="M791" i="13"/>
  <c r="K791" i="13"/>
  <c r="I791" i="13"/>
  <c r="H791" i="13"/>
  <c r="F791" i="13"/>
  <c r="C791" i="13"/>
  <c r="A791" i="13"/>
  <c r="T790" i="13"/>
  <c r="S790" i="13"/>
  <c r="R790" i="13"/>
  <c r="Q790" i="13"/>
  <c r="P790" i="13"/>
  <c r="M790" i="13"/>
  <c r="L790" i="13"/>
  <c r="K790" i="13"/>
  <c r="F790" i="13"/>
  <c r="C790" i="13"/>
  <c r="A790" i="13"/>
  <c r="T789" i="13"/>
  <c r="S789" i="13"/>
  <c r="R789" i="13"/>
  <c r="Q789" i="13"/>
  <c r="P789" i="13"/>
  <c r="M789" i="13"/>
  <c r="K789" i="13"/>
  <c r="H789" i="13"/>
  <c r="F789" i="13"/>
  <c r="C789" i="13"/>
  <c r="A789" i="13"/>
  <c r="T788" i="13"/>
  <c r="S788" i="13"/>
  <c r="R788" i="13"/>
  <c r="Q788" i="13"/>
  <c r="P788" i="13"/>
  <c r="M788" i="13"/>
  <c r="I788" i="13"/>
  <c r="F788" i="13"/>
  <c r="B788" i="13"/>
  <c r="A788" i="13"/>
  <c r="T787" i="13"/>
  <c r="S787" i="13"/>
  <c r="R787" i="13"/>
  <c r="Q787" i="13"/>
  <c r="P787" i="13"/>
  <c r="M787" i="13"/>
  <c r="H787" i="13"/>
  <c r="F787" i="13"/>
  <c r="C787" i="13"/>
  <c r="A787" i="13"/>
  <c r="T786" i="13"/>
  <c r="S786" i="13"/>
  <c r="R786" i="13"/>
  <c r="Q786" i="13"/>
  <c r="P786" i="13"/>
  <c r="M786" i="13"/>
  <c r="L786" i="13"/>
  <c r="K786" i="13"/>
  <c r="I786" i="13"/>
  <c r="H786" i="13"/>
  <c r="G786" i="13"/>
  <c r="F786" i="13"/>
  <c r="D786" i="13"/>
  <c r="C786" i="13"/>
  <c r="A786" i="13"/>
  <c r="T785" i="13"/>
  <c r="S785" i="13"/>
  <c r="R785" i="13"/>
  <c r="Q785" i="13"/>
  <c r="P785" i="13"/>
  <c r="M785" i="13"/>
  <c r="H785" i="13"/>
  <c r="A785" i="13"/>
  <c r="T784" i="13"/>
  <c r="S784" i="13"/>
  <c r="R784" i="13"/>
  <c r="Q784" i="13"/>
  <c r="P784" i="13"/>
  <c r="M784" i="13"/>
  <c r="L784" i="13"/>
  <c r="K784" i="13"/>
  <c r="I784" i="13"/>
  <c r="H784" i="13"/>
  <c r="G784" i="13"/>
  <c r="F784" i="13"/>
  <c r="D784" i="13"/>
  <c r="C784" i="13"/>
  <c r="B784" i="13"/>
  <c r="A784" i="13"/>
  <c r="T783" i="13"/>
  <c r="S783" i="13"/>
  <c r="R783" i="13"/>
  <c r="Q783" i="13"/>
  <c r="P783" i="13"/>
  <c r="M783" i="13"/>
  <c r="L783" i="13"/>
  <c r="K783" i="13"/>
  <c r="I783" i="13"/>
  <c r="H783" i="13"/>
  <c r="G783" i="13"/>
  <c r="F783" i="13"/>
  <c r="D783" i="13"/>
  <c r="C783" i="13"/>
  <c r="B783" i="13"/>
  <c r="A783" i="13"/>
  <c r="T782" i="13"/>
  <c r="S782" i="13"/>
  <c r="R782" i="13"/>
  <c r="Q782" i="13"/>
  <c r="P782" i="13"/>
  <c r="M782" i="13"/>
  <c r="K782" i="13"/>
  <c r="H782" i="13"/>
  <c r="F782" i="13"/>
  <c r="C782" i="13"/>
  <c r="B782" i="13"/>
  <c r="A782" i="13"/>
  <c r="T781" i="13"/>
  <c r="S781" i="13"/>
  <c r="R781" i="13"/>
  <c r="Q781" i="13"/>
  <c r="P781" i="13"/>
  <c r="M781" i="13"/>
  <c r="L781" i="13"/>
  <c r="K781" i="13"/>
  <c r="I781" i="13"/>
  <c r="H781" i="13"/>
  <c r="G781" i="13"/>
  <c r="F781" i="13"/>
  <c r="D781" i="13"/>
  <c r="C781" i="13"/>
  <c r="A781" i="13"/>
  <c r="T780" i="13"/>
  <c r="S780" i="13"/>
  <c r="R780" i="13"/>
  <c r="Q780" i="13"/>
  <c r="P780" i="13"/>
  <c r="M780" i="13"/>
  <c r="L780" i="13"/>
  <c r="K780" i="13"/>
  <c r="I780" i="13"/>
  <c r="H780" i="13"/>
  <c r="G780" i="13"/>
  <c r="F780" i="13"/>
  <c r="D780" i="13"/>
  <c r="C780" i="13"/>
  <c r="A780" i="13"/>
  <c r="Q779" i="13"/>
  <c r="P779" i="13"/>
  <c r="M779" i="13"/>
  <c r="A779" i="13"/>
  <c r="T778" i="13"/>
  <c r="S778" i="13"/>
  <c r="R778" i="13"/>
  <c r="Q778" i="13"/>
  <c r="P778" i="13"/>
  <c r="O778" i="13"/>
  <c r="M778" i="13"/>
  <c r="L778" i="13"/>
  <c r="K778" i="13"/>
  <c r="I778" i="13"/>
  <c r="H778" i="13"/>
  <c r="G778" i="13"/>
  <c r="F778" i="13"/>
  <c r="D778" i="13"/>
  <c r="C778" i="13"/>
  <c r="B778" i="13"/>
  <c r="A778" i="13"/>
  <c r="T777" i="13"/>
  <c r="S777" i="13"/>
  <c r="R777" i="13"/>
  <c r="Q777" i="13"/>
  <c r="P777" i="13"/>
  <c r="O777" i="13"/>
  <c r="M777" i="13"/>
  <c r="L777" i="13"/>
  <c r="K777" i="13"/>
  <c r="I777" i="13"/>
  <c r="H777" i="13"/>
  <c r="G777" i="13"/>
  <c r="F777" i="13"/>
  <c r="D777" i="13"/>
  <c r="C777" i="13"/>
  <c r="B777" i="13"/>
  <c r="A777" i="13"/>
  <c r="T776" i="13"/>
  <c r="S776" i="13"/>
  <c r="R776" i="13"/>
  <c r="Q776" i="13"/>
  <c r="P776" i="13"/>
  <c r="O776" i="13"/>
  <c r="M776" i="13"/>
  <c r="L776" i="13"/>
  <c r="K776" i="13"/>
  <c r="I776" i="13"/>
  <c r="H776" i="13"/>
  <c r="G776" i="13"/>
  <c r="F776" i="13"/>
  <c r="D776" i="13"/>
  <c r="C776" i="13"/>
  <c r="B776" i="13"/>
  <c r="A776" i="13"/>
  <c r="T775" i="13"/>
  <c r="S775" i="13"/>
  <c r="R775" i="13"/>
  <c r="Q775" i="13"/>
  <c r="P775" i="13"/>
  <c r="O775" i="13"/>
  <c r="M775" i="13"/>
  <c r="L775" i="13"/>
  <c r="K775" i="13"/>
  <c r="I775" i="13"/>
  <c r="H775" i="13"/>
  <c r="G775" i="13"/>
  <c r="F775" i="13"/>
  <c r="D775" i="13"/>
  <c r="C775" i="13"/>
  <c r="B775" i="13"/>
  <c r="A775" i="13"/>
  <c r="T774" i="13"/>
  <c r="S774" i="13"/>
  <c r="R774" i="13"/>
  <c r="Q774" i="13"/>
  <c r="P774" i="13"/>
  <c r="O774" i="13"/>
  <c r="M774" i="13"/>
  <c r="L774" i="13"/>
  <c r="K774" i="13"/>
  <c r="I774" i="13"/>
  <c r="H774" i="13"/>
  <c r="G774" i="13"/>
  <c r="F774" i="13"/>
  <c r="D774" i="13"/>
  <c r="C774" i="13"/>
  <c r="B774" i="13"/>
  <c r="A774" i="13"/>
  <c r="T773" i="13"/>
  <c r="S773" i="13"/>
  <c r="R773" i="13"/>
  <c r="Q773" i="13"/>
  <c r="P773" i="13"/>
  <c r="O773" i="13"/>
  <c r="M773" i="13"/>
  <c r="L773" i="13"/>
  <c r="K773" i="13"/>
  <c r="I773" i="13"/>
  <c r="H773" i="13"/>
  <c r="G773" i="13"/>
  <c r="F773" i="13"/>
  <c r="D773" i="13"/>
  <c r="C773" i="13"/>
  <c r="B773" i="13"/>
  <c r="A773" i="13"/>
  <c r="T772" i="13"/>
  <c r="S772" i="13"/>
  <c r="R772" i="13"/>
  <c r="Q772" i="13"/>
  <c r="P772" i="13"/>
  <c r="O772" i="13"/>
  <c r="M772" i="13"/>
  <c r="L772" i="13"/>
  <c r="K772" i="13"/>
  <c r="I772" i="13"/>
  <c r="H772" i="13"/>
  <c r="G772" i="13"/>
  <c r="F772" i="13"/>
  <c r="D772" i="13"/>
  <c r="C772" i="13"/>
  <c r="B772" i="13"/>
  <c r="A772" i="13"/>
  <c r="T771" i="13"/>
  <c r="S771" i="13"/>
  <c r="R771" i="13"/>
  <c r="Q771" i="13"/>
  <c r="P771" i="13"/>
  <c r="O771" i="13"/>
  <c r="M771" i="13"/>
  <c r="L771" i="13"/>
  <c r="K771" i="13"/>
  <c r="I771" i="13"/>
  <c r="H771" i="13"/>
  <c r="G771" i="13"/>
  <c r="F771" i="13"/>
  <c r="D771" i="13"/>
  <c r="C771" i="13"/>
  <c r="B771" i="13"/>
  <c r="A771" i="13"/>
  <c r="T770" i="13"/>
  <c r="S770" i="13"/>
  <c r="R770" i="13"/>
  <c r="Q770" i="13"/>
  <c r="P770" i="13"/>
  <c r="O770" i="13"/>
  <c r="M770" i="13"/>
  <c r="L770" i="13"/>
  <c r="K770" i="13"/>
  <c r="I770" i="13"/>
  <c r="H770" i="13"/>
  <c r="G770" i="13"/>
  <c r="F770" i="13"/>
  <c r="D770" i="13"/>
  <c r="C770" i="13"/>
  <c r="B770" i="13"/>
  <c r="A770" i="13"/>
  <c r="T769" i="13"/>
  <c r="S769" i="13"/>
  <c r="R769" i="13"/>
  <c r="Q769" i="13"/>
  <c r="P769" i="13"/>
  <c r="M769" i="13"/>
  <c r="K769" i="13"/>
  <c r="I769" i="13"/>
  <c r="H769" i="13"/>
  <c r="G769" i="13"/>
  <c r="F769" i="13"/>
  <c r="D769" i="13"/>
  <c r="C769" i="13"/>
  <c r="A769" i="13"/>
  <c r="T768" i="13"/>
  <c r="S768" i="13"/>
  <c r="R768" i="13"/>
  <c r="Q768" i="13"/>
  <c r="P768" i="13"/>
  <c r="M768" i="13"/>
  <c r="K768" i="13"/>
  <c r="I768" i="13"/>
  <c r="F768" i="13"/>
  <c r="C768" i="13"/>
  <c r="A768" i="13"/>
  <c r="T767" i="13"/>
  <c r="S767" i="13"/>
  <c r="R767" i="13"/>
  <c r="Q767" i="13"/>
  <c r="P767" i="13"/>
  <c r="O767" i="13"/>
  <c r="M767" i="13"/>
  <c r="L767" i="13"/>
  <c r="K767" i="13"/>
  <c r="I767" i="13"/>
  <c r="H767" i="13"/>
  <c r="G767" i="13"/>
  <c r="F767" i="13"/>
  <c r="D767" i="13"/>
  <c r="C767" i="13"/>
  <c r="B767" i="13"/>
  <c r="A767" i="13"/>
  <c r="T766" i="13"/>
  <c r="S766" i="13"/>
  <c r="R766" i="13"/>
  <c r="Q766" i="13"/>
  <c r="P766" i="13"/>
  <c r="M766" i="13"/>
  <c r="K766" i="13"/>
  <c r="H766" i="13"/>
  <c r="F766" i="13"/>
  <c r="A766" i="13"/>
  <c r="T765" i="13"/>
  <c r="S765" i="13"/>
  <c r="R765" i="13"/>
  <c r="Q765" i="13"/>
  <c r="P765" i="13"/>
  <c r="O765" i="13"/>
  <c r="M765" i="13"/>
  <c r="L765" i="13"/>
  <c r="K765" i="13"/>
  <c r="I765" i="13"/>
  <c r="H765" i="13"/>
  <c r="G765" i="13"/>
  <c r="F765" i="13"/>
  <c r="D765" i="13"/>
  <c r="C765" i="13"/>
  <c r="B765" i="13"/>
  <c r="A765" i="13"/>
  <c r="T764" i="13"/>
  <c r="S764" i="13"/>
  <c r="R764" i="13"/>
  <c r="Q764" i="13"/>
  <c r="P764" i="13"/>
  <c r="M764" i="13"/>
  <c r="I764" i="13"/>
  <c r="H764" i="13"/>
  <c r="C764" i="13"/>
  <c r="A764" i="13"/>
  <c r="T763" i="13"/>
  <c r="S763" i="13"/>
  <c r="R763" i="13"/>
  <c r="Q763" i="13"/>
  <c r="P763" i="13"/>
  <c r="O763" i="13"/>
  <c r="M763" i="13"/>
  <c r="L763" i="13"/>
  <c r="K763" i="13"/>
  <c r="I763" i="13"/>
  <c r="H763" i="13"/>
  <c r="G763" i="13"/>
  <c r="F763" i="13"/>
  <c r="D763" i="13"/>
  <c r="C763" i="13"/>
  <c r="B763" i="13"/>
  <c r="A763" i="13"/>
  <c r="T762" i="13"/>
  <c r="S762" i="13"/>
  <c r="R762" i="13"/>
  <c r="Q762" i="13"/>
  <c r="P762" i="13"/>
  <c r="M762" i="13"/>
  <c r="F762" i="13"/>
  <c r="A762" i="13"/>
  <c r="T761" i="13"/>
  <c r="S761" i="13"/>
  <c r="R761" i="13"/>
  <c r="Q761" i="13"/>
  <c r="P761" i="13"/>
  <c r="O761" i="13"/>
  <c r="M761" i="13"/>
  <c r="L761" i="13"/>
  <c r="K761" i="13"/>
  <c r="I761" i="13"/>
  <c r="H761" i="13"/>
  <c r="G761" i="13"/>
  <c r="F761" i="13"/>
  <c r="D761" i="13"/>
  <c r="C761" i="13"/>
  <c r="B761" i="13"/>
  <c r="A761" i="13"/>
  <c r="T760" i="13"/>
  <c r="S760" i="13"/>
  <c r="R760" i="13"/>
  <c r="Q760" i="13"/>
  <c r="P760" i="13"/>
  <c r="M760" i="13"/>
  <c r="H760" i="13"/>
  <c r="A760" i="13"/>
  <c r="T759" i="13"/>
  <c r="S759" i="13"/>
  <c r="R759" i="13"/>
  <c r="Q759" i="13"/>
  <c r="P759" i="13"/>
  <c r="M759" i="13"/>
  <c r="H759" i="13"/>
  <c r="F759" i="13"/>
  <c r="A759" i="13"/>
  <c r="T758" i="13"/>
  <c r="S758" i="13"/>
  <c r="R758" i="13"/>
  <c r="Q758" i="13"/>
  <c r="P758" i="13"/>
  <c r="M758" i="13"/>
  <c r="K758" i="13"/>
  <c r="H758" i="13"/>
  <c r="G758" i="13"/>
  <c r="F758" i="13"/>
  <c r="C758" i="13"/>
  <c r="B758" i="13"/>
  <c r="A758" i="13"/>
  <c r="T757" i="13"/>
  <c r="S757" i="13"/>
  <c r="R757" i="13"/>
  <c r="Q757" i="13"/>
  <c r="P757" i="13"/>
  <c r="M757" i="13"/>
  <c r="I757" i="13"/>
  <c r="H757" i="13"/>
  <c r="F757" i="13"/>
  <c r="C757" i="13"/>
  <c r="B757" i="13"/>
  <c r="A757" i="13"/>
  <c r="T756" i="13"/>
  <c r="S756" i="13"/>
  <c r="R756" i="13"/>
  <c r="Q756" i="13"/>
  <c r="P756" i="13"/>
  <c r="M756" i="13"/>
  <c r="H756" i="13"/>
  <c r="A756" i="13"/>
  <c r="T755" i="13"/>
  <c r="S755" i="13"/>
  <c r="R755" i="13"/>
  <c r="Q755" i="13"/>
  <c r="P755" i="13"/>
  <c r="M755" i="13"/>
  <c r="F755" i="13"/>
  <c r="A755" i="13"/>
  <c r="T754" i="13"/>
  <c r="S754" i="13"/>
  <c r="R754" i="13"/>
  <c r="Q754" i="13"/>
  <c r="P754" i="13"/>
  <c r="O754" i="13"/>
  <c r="M754" i="13"/>
  <c r="K754" i="13"/>
  <c r="I754" i="13"/>
  <c r="H754" i="13"/>
  <c r="G754" i="13"/>
  <c r="F754" i="13"/>
  <c r="D754" i="13"/>
  <c r="C754" i="13"/>
  <c r="B754" i="13"/>
  <c r="A754" i="13"/>
  <c r="T753" i="13"/>
  <c r="S753" i="13"/>
  <c r="R753" i="13"/>
  <c r="Q753" i="13"/>
  <c r="P753" i="13"/>
  <c r="O753" i="13"/>
  <c r="M753" i="13"/>
  <c r="L753" i="13"/>
  <c r="K753" i="13"/>
  <c r="I753" i="13"/>
  <c r="H753" i="13"/>
  <c r="G753" i="13"/>
  <c r="F753" i="13"/>
  <c r="D753" i="13"/>
  <c r="C753" i="13"/>
  <c r="B753" i="13"/>
  <c r="A753" i="13"/>
  <c r="T752" i="13"/>
  <c r="S752" i="13"/>
  <c r="R752" i="13"/>
  <c r="Q752" i="13"/>
  <c r="P752" i="13"/>
  <c r="M752" i="13"/>
  <c r="H752" i="13"/>
  <c r="F752" i="13"/>
  <c r="C752" i="13"/>
  <c r="A752" i="13"/>
  <c r="T751" i="13"/>
  <c r="S751" i="13"/>
  <c r="R751" i="13"/>
  <c r="Q751" i="13"/>
  <c r="P751" i="13"/>
  <c r="O751" i="13"/>
  <c r="M751" i="13"/>
  <c r="L751" i="13"/>
  <c r="K751" i="13"/>
  <c r="I751" i="13"/>
  <c r="H751" i="13"/>
  <c r="G751" i="13"/>
  <c r="F751" i="13"/>
  <c r="D751" i="13"/>
  <c r="C751" i="13"/>
  <c r="A751" i="13"/>
  <c r="T750" i="13"/>
  <c r="S750" i="13"/>
  <c r="R750" i="13"/>
  <c r="Q750" i="13"/>
  <c r="P750" i="13"/>
  <c r="O750" i="13"/>
  <c r="M750" i="13"/>
  <c r="K750" i="13"/>
  <c r="I750" i="13"/>
  <c r="H750" i="13"/>
  <c r="F750" i="13"/>
  <c r="D750" i="13"/>
  <c r="C750" i="13"/>
  <c r="A750" i="13"/>
  <c r="T749" i="13"/>
  <c r="S749" i="13"/>
  <c r="R749" i="13"/>
  <c r="Q749" i="13"/>
  <c r="P749" i="13"/>
  <c r="O749" i="13"/>
  <c r="M749" i="13"/>
  <c r="I749" i="13"/>
  <c r="H749" i="13"/>
  <c r="G749" i="13"/>
  <c r="F749" i="13"/>
  <c r="C749" i="13"/>
  <c r="B749" i="13"/>
  <c r="A749" i="13"/>
  <c r="T748" i="13"/>
  <c r="S748" i="13"/>
  <c r="R748" i="13"/>
  <c r="Q748" i="13"/>
  <c r="P748" i="13"/>
  <c r="M748" i="13"/>
  <c r="K748" i="13"/>
  <c r="I748" i="13"/>
  <c r="H748" i="13"/>
  <c r="F748" i="13"/>
  <c r="D748" i="13"/>
  <c r="C748" i="13"/>
  <c r="A748" i="13"/>
  <c r="T747" i="13"/>
  <c r="S747" i="13"/>
  <c r="R747" i="13"/>
  <c r="Q747" i="13"/>
  <c r="P747" i="13"/>
  <c r="M747" i="13"/>
  <c r="H747" i="13"/>
  <c r="C747" i="13"/>
  <c r="A747" i="13"/>
  <c r="T746" i="13"/>
  <c r="S746" i="13"/>
  <c r="R746" i="13"/>
  <c r="Q746" i="13"/>
  <c r="P746" i="13"/>
  <c r="M746" i="13"/>
  <c r="H746" i="13"/>
  <c r="A746" i="13"/>
  <c r="T745" i="13"/>
  <c r="S745" i="13"/>
  <c r="R745" i="13"/>
  <c r="Q745" i="13"/>
  <c r="P745" i="13"/>
  <c r="O745" i="13"/>
  <c r="M745" i="13"/>
  <c r="L745" i="13"/>
  <c r="K745" i="13"/>
  <c r="I745" i="13"/>
  <c r="H745" i="13"/>
  <c r="G745" i="13"/>
  <c r="F745" i="13"/>
  <c r="D745" i="13"/>
  <c r="C745" i="13"/>
  <c r="B745" i="13"/>
  <c r="A745" i="13"/>
  <c r="T744" i="13"/>
  <c r="S744" i="13"/>
  <c r="R744" i="13"/>
  <c r="Q744" i="13"/>
  <c r="P744" i="13"/>
  <c r="O744" i="13"/>
  <c r="M744" i="13"/>
  <c r="L744" i="13"/>
  <c r="K744" i="13"/>
  <c r="I744" i="13"/>
  <c r="H744" i="13"/>
  <c r="G744" i="13"/>
  <c r="F744" i="13"/>
  <c r="D744" i="13"/>
  <c r="C744" i="13"/>
  <c r="B744" i="13"/>
  <c r="A744" i="13"/>
  <c r="T743" i="13"/>
  <c r="S743" i="13"/>
  <c r="R743" i="13"/>
  <c r="Q743" i="13"/>
  <c r="P743" i="13"/>
  <c r="O743" i="13"/>
  <c r="M743" i="13"/>
  <c r="L743" i="13"/>
  <c r="K743" i="13"/>
  <c r="I743" i="13"/>
  <c r="H743" i="13"/>
  <c r="G743" i="13"/>
  <c r="F743" i="13"/>
  <c r="D743" i="13"/>
  <c r="C743" i="13"/>
  <c r="B743" i="13"/>
  <c r="A743" i="13"/>
  <c r="T742" i="13"/>
  <c r="S742" i="13"/>
  <c r="R742" i="13"/>
  <c r="Q742" i="13"/>
  <c r="P742" i="13"/>
  <c r="O742" i="13"/>
  <c r="M742" i="13"/>
  <c r="L742" i="13"/>
  <c r="K742" i="13"/>
  <c r="I742" i="13"/>
  <c r="H742" i="13"/>
  <c r="G742" i="13"/>
  <c r="F742" i="13"/>
  <c r="D742" i="13"/>
  <c r="C742" i="13"/>
  <c r="B742" i="13"/>
  <c r="A742" i="13"/>
  <c r="T741" i="13"/>
  <c r="S741" i="13"/>
  <c r="R741" i="13"/>
  <c r="Q741" i="13"/>
  <c r="P741" i="13"/>
  <c r="M741" i="13"/>
  <c r="K741" i="13"/>
  <c r="H741" i="13"/>
  <c r="D741" i="13"/>
  <c r="C741" i="13"/>
  <c r="B741" i="13"/>
  <c r="A741" i="13"/>
  <c r="T740" i="13"/>
  <c r="S740" i="13"/>
  <c r="R740" i="13"/>
  <c r="Q740" i="13"/>
  <c r="P740" i="13"/>
  <c r="O740" i="13"/>
  <c r="M740" i="13"/>
  <c r="L740" i="13"/>
  <c r="K740" i="13"/>
  <c r="I740" i="13"/>
  <c r="H740" i="13"/>
  <c r="G740" i="13"/>
  <c r="F740" i="13"/>
  <c r="D740" i="13"/>
  <c r="C740" i="13"/>
  <c r="B740" i="13"/>
  <c r="A740" i="13"/>
  <c r="T739" i="13"/>
  <c r="S739" i="13"/>
  <c r="R739" i="13"/>
  <c r="Q739" i="13"/>
  <c r="P739" i="13"/>
  <c r="O739" i="13"/>
  <c r="M739" i="13"/>
  <c r="L739" i="13"/>
  <c r="K739" i="13"/>
  <c r="I739" i="13"/>
  <c r="H739" i="13"/>
  <c r="G739" i="13"/>
  <c r="F739" i="13"/>
  <c r="D739" i="13"/>
  <c r="C739" i="13"/>
  <c r="B739" i="13"/>
  <c r="A739" i="13"/>
  <c r="T738" i="13"/>
  <c r="S738" i="13"/>
  <c r="R738" i="13"/>
  <c r="Q738" i="13"/>
  <c r="P738" i="13"/>
  <c r="O738" i="13"/>
  <c r="M738" i="13"/>
  <c r="L738" i="13"/>
  <c r="K738" i="13"/>
  <c r="I738" i="13"/>
  <c r="H738" i="13"/>
  <c r="G738" i="13"/>
  <c r="F738" i="13"/>
  <c r="D738" i="13"/>
  <c r="C738" i="13"/>
  <c r="B738" i="13"/>
  <c r="A738" i="13"/>
  <c r="T737" i="13"/>
  <c r="S737" i="13"/>
  <c r="R737" i="13"/>
  <c r="Q737" i="13"/>
  <c r="P737" i="13"/>
  <c r="O737" i="13"/>
  <c r="M737" i="13"/>
  <c r="L737" i="13"/>
  <c r="K737" i="13"/>
  <c r="I737" i="13"/>
  <c r="H737" i="13"/>
  <c r="G737" i="13"/>
  <c r="F737" i="13"/>
  <c r="D737" i="13"/>
  <c r="C737" i="13"/>
  <c r="B737" i="13"/>
  <c r="A737" i="13"/>
  <c r="T736" i="13"/>
  <c r="S736" i="13"/>
  <c r="R736" i="13"/>
  <c r="Q736" i="13"/>
  <c r="Q815" i="13" s="1"/>
  <c r="P736" i="13"/>
  <c r="M736" i="13"/>
  <c r="H736" i="13"/>
  <c r="F736" i="13"/>
  <c r="A736" i="13"/>
  <c r="T735" i="13"/>
  <c r="S735" i="13"/>
  <c r="R735" i="13"/>
  <c r="Q735" i="13"/>
  <c r="P735" i="13"/>
  <c r="O735" i="13"/>
  <c r="M735" i="13"/>
  <c r="L735" i="13"/>
  <c r="K735" i="13"/>
  <c r="I735" i="13"/>
  <c r="H735" i="13"/>
  <c r="G735" i="13"/>
  <c r="F735" i="13"/>
  <c r="D735" i="13"/>
  <c r="C735" i="13"/>
  <c r="B735" i="13"/>
  <c r="A735" i="13"/>
  <c r="T734" i="13"/>
  <c r="S734" i="13"/>
  <c r="R734" i="13"/>
  <c r="Q734" i="13"/>
  <c r="P734" i="13"/>
  <c r="M734" i="13"/>
  <c r="H734" i="13"/>
  <c r="A734" i="13"/>
  <c r="CF730" i="13"/>
  <c r="CE730" i="13"/>
  <c r="CD730" i="13"/>
  <c r="CB730" i="13"/>
  <c r="CA730" i="13"/>
  <c r="BZ730" i="13"/>
  <c r="BY730" i="13"/>
  <c r="BX730" i="13"/>
  <c r="BW730" i="13"/>
  <c r="BV730" i="13"/>
  <c r="BU730" i="13"/>
  <c r="BT730" i="13"/>
  <c r="BS730" i="13"/>
  <c r="BR730" i="13"/>
  <c r="BQ730" i="13"/>
  <c r="BP730" i="13"/>
  <c r="BO730" i="13"/>
  <c r="BN730" i="13"/>
  <c r="BK730" i="13"/>
  <c r="BF730" i="13"/>
  <c r="BB730" i="13"/>
  <c r="BA730" i="13"/>
  <c r="AZ730" i="13"/>
  <c r="AY730" i="13"/>
  <c r="AX730" i="13"/>
  <c r="AW730" i="13"/>
  <c r="AV730" i="13"/>
  <c r="AU730" i="13"/>
  <c r="AT730" i="13"/>
  <c r="AS730" i="13"/>
  <c r="AR730" i="13"/>
  <c r="AQ730" i="13"/>
  <c r="AP730" i="13"/>
  <c r="AN730" i="13"/>
  <c r="AM730" i="13"/>
  <c r="AL730" i="13"/>
  <c r="AK730" i="13"/>
  <c r="AJ730" i="13"/>
  <c r="AI730" i="13"/>
  <c r="AH730" i="13"/>
  <c r="AG730" i="13"/>
  <c r="AF730" i="13"/>
  <c r="AE730" i="13"/>
  <c r="AD730" i="13"/>
  <c r="AC730" i="13"/>
  <c r="AB730" i="13"/>
  <c r="AA730" i="13"/>
  <c r="Z730" i="13"/>
  <c r="Y730" i="13"/>
  <c r="X730" i="13"/>
  <c r="W730" i="13"/>
  <c r="V730" i="13"/>
  <c r="U730" i="13"/>
  <c r="S730" i="13"/>
  <c r="P730" i="13"/>
  <c r="O730" i="13"/>
  <c r="N730" i="13"/>
  <c r="M730" i="13"/>
  <c r="L730" i="13"/>
  <c r="K730" i="13"/>
  <c r="J730" i="13"/>
  <c r="I730" i="13"/>
  <c r="H730" i="13"/>
  <c r="G730" i="13"/>
  <c r="F730" i="13"/>
  <c r="E730" i="13"/>
  <c r="D730" i="13"/>
  <c r="C730" i="13"/>
  <c r="B730" i="13"/>
  <c r="A730" i="13"/>
  <c r="BR726" i="13"/>
  <c r="BQ726" i="13"/>
  <c r="BP726" i="13"/>
  <c r="BO726" i="13"/>
  <c r="BN726" i="13"/>
  <c r="BM726" i="13"/>
  <c r="BL726" i="13"/>
  <c r="BK726" i="13"/>
  <c r="BJ726" i="13"/>
  <c r="BI726" i="13"/>
  <c r="BH726" i="13"/>
  <c r="BG726" i="13"/>
  <c r="BF726" i="13"/>
  <c r="BE726" i="13"/>
  <c r="BD726" i="13"/>
  <c r="BC726" i="13"/>
  <c r="BB726" i="13"/>
  <c r="BA726" i="13"/>
  <c r="AZ726" i="13"/>
  <c r="AY726" i="13"/>
  <c r="AX726" i="13"/>
  <c r="AW726" i="13"/>
  <c r="AV726" i="13"/>
  <c r="AU726" i="13"/>
  <c r="AT726" i="13"/>
  <c r="AS726" i="13"/>
  <c r="AR726" i="13"/>
  <c r="AQ726" i="13"/>
  <c r="AP726" i="13"/>
  <c r="AO726" i="13"/>
  <c r="AN726" i="13"/>
  <c r="AM726" i="13"/>
  <c r="AG726" i="13"/>
  <c r="AF726" i="13"/>
  <c r="AE726" i="13"/>
  <c r="AD726" i="13"/>
  <c r="AC726" i="13"/>
  <c r="AB726" i="13"/>
  <c r="AA726" i="13"/>
  <c r="Z726" i="13"/>
  <c r="Y726" i="13"/>
  <c r="X726" i="13"/>
  <c r="W726" i="13"/>
  <c r="V726" i="13"/>
  <c r="U726" i="13"/>
  <c r="S726" i="13"/>
  <c r="R726" i="13"/>
  <c r="Q726" i="13"/>
  <c r="P726" i="13"/>
  <c r="O726" i="13"/>
  <c r="N726" i="13"/>
  <c r="M726" i="13"/>
  <c r="L726" i="13"/>
  <c r="K726" i="13"/>
  <c r="J726" i="13"/>
  <c r="I726" i="13"/>
  <c r="H726" i="13"/>
  <c r="G726" i="13"/>
  <c r="F726" i="13"/>
  <c r="E726" i="13"/>
  <c r="D726" i="13"/>
  <c r="C726" i="13"/>
  <c r="B726" i="13"/>
  <c r="A726" i="13"/>
  <c r="CC722" i="13"/>
  <c r="BZ722" i="13"/>
  <c r="BX722" i="13"/>
  <c r="BW722" i="13"/>
  <c r="BV722" i="13"/>
  <c r="BU722" i="13"/>
  <c r="BT722" i="13"/>
  <c r="BS722" i="13"/>
  <c r="BR722" i="13"/>
  <c r="BQ722" i="13"/>
  <c r="BP722" i="13"/>
  <c r="BN722" i="13"/>
  <c r="BM722" i="13"/>
  <c r="BK722" i="13"/>
  <c r="BJ722" i="13"/>
  <c r="BH722" i="13"/>
  <c r="BG722" i="13"/>
  <c r="BE722" i="13"/>
  <c r="BD722" i="13"/>
  <c r="BC722" i="13"/>
  <c r="BB722" i="13"/>
  <c r="BA722" i="13"/>
  <c r="AY722" i="13"/>
  <c r="AX722" i="13"/>
  <c r="AW722" i="13"/>
  <c r="AV722" i="13"/>
  <c r="AR722" i="13"/>
  <c r="AQ722" i="13"/>
  <c r="AP722" i="13"/>
  <c r="AO722" i="13"/>
  <c r="AN722" i="13"/>
  <c r="AM722" i="13"/>
  <c r="AL722" i="13"/>
  <c r="AJ722" i="13"/>
  <c r="AI722" i="13"/>
  <c r="AG722" i="13"/>
  <c r="AF722" i="13"/>
  <c r="AD722" i="13"/>
  <c r="AC722" i="13"/>
  <c r="AB722" i="13"/>
  <c r="AA722" i="13"/>
  <c r="Z722" i="13"/>
  <c r="Y722" i="13"/>
  <c r="X722" i="13"/>
  <c r="W722" i="13"/>
  <c r="V722" i="13"/>
  <c r="U722" i="13"/>
  <c r="T722" i="13"/>
  <c r="S722" i="13"/>
  <c r="R722" i="13"/>
  <c r="Q722" i="13"/>
  <c r="P722" i="13"/>
  <c r="O722" i="13"/>
  <c r="N722" i="13"/>
  <c r="M722" i="13"/>
  <c r="L722" i="13"/>
  <c r="K722" i="13"/>
  <c r="G722" i="13"/>
  <c r="D722" i="13"/>
  <c r="A722" i="13"/>
  <c r="C615" i="13"/>
  <c r="B575" i="13"/>
  <c r="B574" i="13"/>
  <c r="B573" i="13"/>
  <c r="B572" i="13"/>
  <c r="B571" i="13"/>
  <c r="B570" i="13"/>
  <c r="B569" i="13"/>
  <c r="B568" i="13"/>
  <c r="B567" i="13"/>
  <c r="B566" i="13"/>
  <c r="B565" i="13"/>
  <c r="B564" i="13"/>
  <c r="B563" i="13"/>
  <c r="B562" i="13"/>
  <c r="B561" i="13"/>
  <c r="B560" i="13"/>
  <c r="B559" i="13"/>
  <c r="B558" i="13"/>
  <c r="B557" i="13"/>
  <c r="B556" i="13"/>
  <c r="B555" i="13"/>
  <c r="B554" i="13"/>
  <c r="B553" i="13"/>
  <c r="B552" i="13"/>
  <c r="B551" i="13"/>
  <c r="E550" i="13"/>
  <c r="D550" i="13"/>
  <c r="B550" i="13"/>
  <c r="B549" i="13"/>
  <c r="B548" i="13"/>
  <c r="B547" i="13"/>
  <c r="H546" i="13"/>
  <c r="F546" i="13"/>
  <c r="E546" i="13"/>
  <c r="D546" i="13"/>
  <c r="B546" i="13"/>
  <c r="E545" i="13"/>
  <c r="D545" i="13"/>
  <c r="B545" i="13"/>
  <c r="H545" i="13" s="1"/>
  <c r="E544" i="13"/>
  <c r="D544" i="13"/>
  <c r="B544" i="13"/>
  <c r="B543" i="13"/>
  <c r="B542" i="13"/>
  <c r="B541" i="13"/>
  <c r="E540" i="13"/>
  <c r="D540" i="13"/>
  <c r="B540" i="13"/>
  <c r="E539" i="13"/>
  <c r="D539" i="13"/>
  <c r="B539" i="13"/>
  <c r="H539" i="13" s="1"/>
  <c r="E538" i="13"/>
  <c r="D538" i="13"/>
  <c r="B538" i="13"/>
  <c r="H537" i="13"/>
  <c r="E537" i="13"/>
  <c r="D537" i="13"/>
  <c r="B537" i="13"/>
  <c r="F537" i="13" s="1"/>
  <c r="F536" i="13"/>
  <c r="E536" i="13"/>
  <c r="D536" i="13"/>
  <c r="B536" i="13"/>
  <c r="H536" i="13" s="1"/>
  <c r="E535" i="13"/>
  <c r="D535" i="13"/>
  <c r="B535" i="13"/>
  <c r="E534" i="13"/>
  <c r="D534" i="13"/>
  <c r="B534" i="13"/>
  <c r="H534" i="13" s="1"/>
  <c r="E533" i="13"/>
  <c r="D533" i="13"/>
  <c r="B533" i="13"/>
  <c r="F533" i="13" s="1"/>
  <c r="E532" i="13"/>
  <c r="D532" i="13"/>
  <c r="B532" i="13"/>
  <c r="F531" i="13"/>
  <c r="D531" i="13"/>
  <c r="B531" i="13"/>
  <c r="D530" i="13"/>
  <c r="B530" i="13"/>
  <c r="F530" i="13" s="1"/>
  <c r="E529" i="13"/>
  <c r="D529" i="13"/>
  <c r="B529" i="13"/>
  <c r="H529" i="13" s="1"/>
  <c r="D528" i="13"/>
  <c r="B528" i="13"/>
  <c r="E527" i="13"/>
  <c r="D527" i="13"/>
  <c r="B527" i="13"/>
  <c r="D526" i="13"/>
  <c r="B526" i="13"/>
  <c r="F526" i="13" s="1"/>
  <c r="E525" i="13"/>
  <c r="D525" i="13"/>
  <c r="B525" i="13"/>
  <c r="F525" i="13" s="1"/>
  <c r="D524" i="13"/>
  <c r="B524" i="13"/>
  <c r="E523" i="13"/>
  <c r="D523" i="13"/>
  <c r="B523" i="13"/>
  <c r="H523" i="13" s="1"/>
  <c r="D522" i="13"/>
  <c r="B522" i="13"/>
  <c r="B521" i="13"/>
  <c r="E520" i="13"/>
  <c r="D520" i="13"/>
  <c r="B520" i="13"/>
  <c r="E519" i="13"/>
  <c r="D519" i="13"/>
  <c r="B519" i="13"/>
  <c r="D518" i="13"/>
  <c r="B518" i="13"/>
  <c r="D517" i="13"/>
  <c r="B517" i="13"/>
  <c r="F517" i="13" s="1"/>
  <c r="E516" i="13"/>
  <c r="D516" i="13"/>
  <c r="B516" i="13"/>
  <c r="E515" i="13"/>
  <c r="D515" i="13"/>
  <c r="B515" i="13"/>
  <c r="H515" i="13" s="1"/>
  <c r="D514" i="13"/>
  <c r="B514" i="13"/>
  <c r="F514" i="13" s="1"/>
  <c r="B513" i="13"/>
  <c r="H513" i="13" s="1"/>
  <c r="B512" i="13"/>
  <c r="E511" i="13"/>
  <c r="D511" i="13"/>
  <c r="B511" i="13"/>
  <c r="D510" i="13"/>
  <c r="B510" i="13"/>
  <c r="D509" i="13"/>
  <c r="B509" i="13"/>
  <c r="D508" i="13"/>
  <c r="B508" i="13"/>
  <c r="E507" i="13"/>
  <c r="D507" i="13"/>
  <c r="B507" i="13"/>
  <c r="F507" i="13" s="1"/>
  <c r="E506" i="13"/>
  <c r="D506" i="13"/>
  <c r="B506" i="13"/>
  <c r="E505" i="13"/>
  <c r="D505" i="13"/>
  <c r="B505" i="13"/>
  <c r="H505" i="13" s="1"/>
  <c r="E504" i="13"/>
  <c r="D504" i="13"/>
  <c r="B504" i="13"/>
  <c r="F504" i="13" s="1"/>
  <c r="E503" i="13"/>
  <c r="D503" i="13"/>
  <c r="B503" i="13"/>
  <c r="E502" i="13"/>
  <c r="D502" i="13"/>
  <c r="B502" i="13"/>
  <c r="H502" i="13" s="1"/>
  <c r="E501" i="13"/>
  <c r="D501" i="13"/>
  <c r="B501" i="13"/>
  <c r="H501" i="13" s="1"/>
  <c r="E500" i="13"/>
  <c r="D500" i="13"/>
  <c r="B500" i="13"/>
  <c r="H500" i="13" s="1"/>
  <c r="E499" i="13"/>
  <c r="D499" i="13"/>
  <c r="B499" i="13"/>
  <c r="D498" i="13"/>
  <c r="B498" i="13"/>
  <c r="E497" i="13"/>
  <c r="D497" i="13"/>
  <c r="B497" i="13"/>
  <c r="H497" i="13" s="1"/>
  <c r="D496" i="13"/>
  <c r="B496" i="13"/>
  <c r="G493" i="13"/>
  <c r="F493" i="13"/>
  <c r="E493" i="13"/>
  <c r="D493" i="13"/>
  <c r="C493" i="13"/>
  <c r="B493" i="13"/>
  <c r="A493" i="13"/>
  <c r="B478" i="13"/>
  <c r="B475" i="13"/>
  <c r="B474" i="13"/>
  <c r="B472" i="13"/>
  <c r="B469" i="13"/>
  <c r="B468" i="13"/>
  <c r="B464" i="13"/>
  <c r="C459" i="13"/>
  <c r="B459" i="13"/>
  <c r="B458" i="13"/>
  <c r="B455" i="13"/>
  <c r="B453" i="13"/>
  <c r="C447" i="13"/>
  <c r="B447" i="13"/>
  <c r="C446" i="13"/>
  <c r="C445" i="13"/>
  <c r="C444" i="13"/>
  <c r="B440" i="13"/>
  <c r="B439" i="13"/>
  <c r="C438" i="13"/>
  <c r="B438" i="13"/>
  <c r="D437" i="13"/>
  <c r="B437" i="13"/>
  <c r="D436" i="13"/>
  <c r="B436" i="13"/>
  <c r="B435" i="13"/>
  <c r="B434" i="13"/>
  <c r="B433" i="13"/>
  <c r="B432" i="13"/>
  <c r="B431" i="13"/>
  <c r="B430" i="13"/>
  <c r="B429" i="13"/>
  <c r="B428" i="13"/>
  <c r="B427" i="13"/>
  <c r="D424" i="13"/>
  <c r="B424" i="13"/>
  <c r="B423" i="13"/>
  <c r="D421" i="13"/>
  <c r="B421" i="13"/>
  <c r="C420" i="13"/>
  <c r="B420" i="13"/>
  <c r="D418" i="13"/>
  <c r="C418" i="13"/>
  <c r="B418" i="13"/>
  <c r="B417" i="13"/>
  <c r="B415" i="13"/>
  <c r="B414" i="13"/>
  <c r="A412" i="13"/>
  <c r="D390" i="13"/>
  <c r="B441" i="13" s="1"/>
  <c r="C389" i="13"/>
  <c r="D372" i="13"/>
  <c r="D367" i="13"/>
  <c r="C448" i="13" s="1"/>
  <c r="C365" i="13"/>
  <c r="BM730" i="13" s="1"/>
  <c r="C364" i="13"/>
  <c r="BL730" i="13" s="1"/>
  <c r="D361" i="13"/>
  <c r="N817" i="13" s="1"/>
  <c r="C359" i="13"/>
  <c r="C337" i="13"/>
  <c r="BE730" i="13" s="1"/>
  <c r="D330" i="13"/>
  <c r="D329" i="13"/>
  <c r="D328" i="13"/>
  <c r="D319" i="13"/>
  <c r="C312" i="13"/>
  <c r="AO730" i="13" s="1"/>
  <c r="D290" i="13"/>
  <c r="D283" i="13"/>
  <c r="C272" i="13"/>
  <c r="T730" i="13" s="1"/>
  <c r="C270" i="13"/>
  <c r="R730" i="13" s="1"/>
  <c r="C269" i="13"/>
  <c r="Q730" i="13" s="1"/>
  <c r="D265" i="13"/>
  <c r="D260" i="13"/>
  <c r="D240" i="13"/>
  <c r="C234" i="13"/>
  <c r="CB722" i="13" s="1"/>
  <c r="C233" i="13"/>
  <c r="CA722" i="13" s="1"/>
  <c r="C228" i="13"/>
  <c r="D221" i="13"/>
  <c r="D217" i="13"/>
  <c r="B217" i="13"/>
  <c r="E216" i="13"/>
  <c r="C215" i="13"/>
  <c r="E214" i="13"/>
  <c r="C214" i="13"/>
  <c r="BL722" i="13" s="1"/>
  <c r="C213" i="13"/>
  <c r="BI722" i="13" s="1"/>
  <c r="E212" i="13"/>
  <c r="C212" i="13"/>
  <c r="BF722" i="13" s="1"/>
  <c r="E211" i="13"/>
  <c r="E210" i="13"/>
  <c r="C210" i="13"/>
  <c r="E209" i="13"/>
  <c r="D204" i="13"/>
  <c r="C204" i="13"/>
  <c r="B204" i="13"/>
  <c r="E203" i="13"/>
  <c r="C475" i="13" s="1"/>
  <c r="E202" i="13"/>
  <c r="C474" i="13" s="1"/>
  <c r="E201" i="13"/>
  <c r="C201" i="13"/>
  <c r="AK722" i="13" s="1"/>
  <c r="C200" i="13"/>
  <c r="AH722" i="13" s="1"/>
  <c r="E199" i="13"/>
  <c r="C472" i="13" s="1"/>
  <c r="C199" i="13"/>
  <c r="AE722" i="13" s="1"/>
  <c r="E198" i="13"/>
  <c r="C471" i="13" s="1"/>
  <c r="E197" i="13"/>
  <c r="C470" i="13" s="1"/>
  <c r="E196" i="13"/>
  <c r="C469" i="13" s="1"/>
  <c r="E195" i="13"/>
  <c r="D190" i="13"/>
  <c r="D186" i="13"/>
  <c r="D181" i="13"/>
  <c r="D438" i="13" s="1"/>
  <c r="C175" i="13"/>
  <c r="D173" i="13"/>
  <c r="D428" i="13" s="1"/>
  <c r="C172" i="13"/>
  <c r="H722" i="13" s="1"/>
  <c r="C169" i="13"/>
  <c r="F722" i="13" s="1"/>
  <c r="C168" i="13"/>
  <c r="E722" i="13" s="1"/>
  <c r="C166" i="13"/>
  <c r="C722" i="13" s="1"/>
  <c r="C165" i="13"/>
  <c r="B722" i="13" s="1"/>
  <c r="E154" i="13"/>
  <c r="E153" i="13"/>
  <c r="E152" i="13"/>
  <c r="E151" i="13"/>
  <c r="C421" i="13" s="1"/>
  <c r="E150" i="13"/>
  <c r="E148" i="13"/>
  <c r="E147" i="13"/>
  <c r="E146" i="13"/>
  <c r="E145" i="13"/>
  <c r="E144" i="13"/>
  <c r="C417" i="13" s="1"/>
  <c r="E142" i="13"/>
  <c r="D464" i="13" s="1"/>
  <c r="D142" i="13"/>
  <c r="AL726" i="13" s="1"/>
  <c r="D141" i="13"/>
  <c r="AK726" i="13" s="1"/>
  <c r="E140" i="13"/>
  <c r="D140" i="13"/>
  <c r="AJ726" i="13" s="1"/>
  <c r="D139" i="13"/>
  <c r="D138" i="13"/>
  <c r="AH726" i="13" s="1"/>
  <c r="E127" i="13"/>
  <c r="AV80" i="13"/>
  <c r="CF79" i="13"/>
  <c r="AV79" i="13"/>
  <c r="CE78" i="13"/>
  <c r="AV78" i="13"/>
  <c r="R779" i="13" s="1"/>
  <c r="CE77" i="13"/>
  <c r="CF76" i="13"/>
  <c r="BZ52" i="13" s="1"/>
  <c r="BZ67" i="13" s="1"/>
  <c r="J809" i="13" s="1"/>
  <c r="CE76" i="13"/>
  <c r="AV75" i="13"/>
  <c r="N779" i="13" s="1"/>
  <c r="AU75" i="13"/>
  <c r="N778" i="13" s="1"/>
  <c r="AT75" i="13"/>
  <c r="N777" i="13" s="1"/>
  <c r="AS75" i="13"/>
  <c r="N776" i="13" s="1"/>
  <c r="AR75" i="13"/>
  <c r="N775" i="13" s="1"/>
  <c r="AQ75" i="13"/>
  <c r="N774" i="13" s="1"/>
  <c r="AP75" i="13"/>
  <c r="N773" i="13" s="1"/>
  <c r="AO75" i="13"/>
  <c r="N772" i="13" s="1"/>
  <c r="AN75" i="13"/>
  <c r="N771" i="13" s="1"/>
  <c r="AM75" i="13"/>
  <c r="N770" i="13" s="1"/>
  <c r="AJ75" i="13"/>
  <c r="N767" i="13" s="1"/>
  <c r="AH75" i="13"/>
  <c r="N765" i="13" s="1"/>
  <c r="AG75" i="13"/>
  <c r="N764" i="13" s="1"/>
  <c r="AF75" i="13"/>
  <c r="N763" i="13" s="1"/>
  <c r="AD75" i="13"/>
  <c r="N761" i="13" s="1"/>
  <c r="AA75" i="13"/>
  <c r="N758" i="13" s="1"/>
  <c r="W75" i="13"/>
  <c r="N754" i="13" s="1"/>
  <c r="V75" i="13"/>
  <c r="N753" i="13" s="1"/>
  <c r="T75" i="13"/>
  <c r="N751" i="13" s="1"/>
  <c r="S75" i="13"/>
  <c r="N750" i="13" s="1"/>
  <c r="R75" i="13"/>
  <c r="N749" i="13" s="1"/>
  <c r="P75" i="13"/>
  <c r="N747" i="13" s="1"/>
  <c r="O75" i="13"/>
  <c r="N746" i="13" s="1"/>
  <c r="N75" i="13"/>
  <c r="N745" i="13" s="1"/>
  <c r="M75" i="13"/>
  <c r="N744" i="13" s="1"/>
  <c r="L75" i="13"/>
  <c r="N743" i="13" s="1"/>
  <c r="K75" i="13"/>
  <c r="N742" i="13" s="1"/>
  <c r="I75" i="13"/>
  <c r="N740" i="13" s="1"/>
  <c r="H75" i="13"/>
  <c r="N739" i="13" s="1"/>
  <c r="G75" i="13"/>
  <c r="N738" i="13" s="1"/>
  <c r="F75" i="13"/>
  <c r="N737" i="13" s="1"/>
  <c r="D75" i="13"/>
  <c r="N735" i="13" s="1"/>
  <c r="AV74" i="13"/>
  <c r="AL74" i="13"/>
  <c r="AK74" i="13"/>
  <c r="AI74" i="13"/>
  <c r="AI75" i="13" s="1"/>
  <c r="N766" i="13" s="1"/>
  <c r="AG74" i="13"/>
  <c r="AE74" i="13"/>
  <c r="AC74" i="13"/>
  <c r="AB74" i="13"/>
  <c r="AA74" i="13"/>
  <c r="Z74" i="13"/>
  <c r="Y74" i="13"/>
  <c r="X74" i="13"/>
  <c r="X75" i="13" s="1"/>
  <c r="N755" i="13" s="1"/>
  <c r="U74" i="13"/>
  <c r="P74" i="13"/>
  <c r="O74" i="13"/>
  <c r="E74" i="13"/>
  <c r="AV73" i="13"/>
  <c r="O779" i="13" s="1"/>
  <c r="AL73" i="13"/>
  <c r="O769" i="13" s="1"/>
  <c r="AK73" i="13"/>
  <c r="AI73" i="13"/>
  <c r="O766" i="13" s="1"/>
  <c r="AG73" i="13"/>
  <c r="O764" i="13" s="1"/>
  <c r="AE73" i="13"/>
  <c r="O762" i="13" s="1"/>
  <c r="AC73" i="13"/>
  <c r="O760" i="13" s="1"/>
  <c r="AB73" i="13"/>
  <c r="O759" i="13" s="1"/>
  <c r="AA73" i="13"/>
  <c r="O758" i="13" s="1"/>
  <c r="Z73" i="13"/>
  <c r="Y73" i="13"/>
  <c r="X73" i="13"/>
  <c r="O755" i="13" s="1"/>
  <c r="U73" i="13"/>
  <c r="O752" i="13" s="1"/>
  <c r="Q73" i="13"/>
  <c r="P73" i="13"/>
  <c r="O747" i="13" s="1"/>
  <c r="O73" i="13"/>
  <c r="O746" i="13" s="1"/>
  <c r="J73" i="13"/>
  <c r="E73" i="13"/>
  <c r="C73" i="13"/>
  <c r="CD71" i="13"/>
  <c r="C575" i="13" s="1"/>
  <c r="CE70" i="13"/>
  <c r="M816" i="13" s="1"/>
  <c r="CA69" i="13"/>
  <c r="L810" i="13" s="1"/>
  <c r="BY69" i="13"/>
  <c r="L808" i="13" s="1"/>
  <c r="BX69" i="13"/>
  <c r="L807" i="13" s="1"/>
  <c r="BW69" i="13"/>
  <c r="L806" i="13" s="1"/>
  <c r="BV69" i="13"/>
  <c r="L805" i="13" s="1"/>
  <c r="BR69" i="13"/>
  <c r="L801" i="13" s="1"/>
  <c r="BP69" i="13"/>
  <c r="L799" i="13" s="1"/>
  <c r="BN69" i="13"/>
  <c r="L797" i="13" s="1"/>
  <c r="BL69" i="13"/>
  <c r="L795" i="13" s="1"/>
  <c r="BJ69" i="13"/>
  <c r="L793" i="13" s="1"/>
  <c r="BH69" i="13"/>
  <c r="L791" i="13" s="1"/>
  <c r="BF69" i="13"/>
  <c r="L789" i="13" s="1"/>
  <c r="BE69" i="13"/>
  <c r="L788" i="13" s="1"/>
  <c r="BD69" i="13"/>
  <c r="L787" i="13" s="1"/>
  <c r="BB69" i="13"/>
  <c r="L785" i="13" s="1"/>
  <c r="AY69" i="13"/>
  <c r="L782" i="13" s="1"/>
  <c r="AV69" i="13"/>
  <c r="L779" i="13" s="1"/>
  <c r="AL69" i="13"/>
  <c r="L769" i="13" s="1"/>
  <c r="AK69" i="13"/>
  <c r="L768" i="13" s="1"/>
  <c r="AI69" i="13"/>
  <c r="L766" i="13" s="1"/>
  <c r="AG69" i="13"/>
  <c r="L764" i="13" s="1"/>
  <c r="AE69" i="13"/>
  <c r="L762" i="13" s="1"/>
  <c r="AC69" i="13"/>
  <c r="L760" i="13" s="1"/>
  <c r="AB69" i="13"/>
  <c r="L759" i="13" s="1"/>
  <c r="AA69" i="13"/>
  <c r="L758" i="13" s="1"/>
  <c r="Z69" i="13"/>
  <c r="L757" i="13" s="1"/>
  <c r="Y69" i="13"/>
  <c r="L756" i="13" s="1"/>
  <c r="X69" i="13"/>
  <c r="L755" i="13" s="1"/>
  <c r="W69" i="13"/>
  <c r="L754" i="13" s="1"/>
  <c r="U69" i="13"/>
  <c r="L752" i="13" s="1"/>
  <c r="S69" i="13"/>
  <c r="L750" i="13" s="1"/>
  <c r="R69" i="13"/>
  <c r="L749" i="13" s="1"/>
  <c r="Q69" i="13"/>
  <c r="L748" i="13" s="1"/>
  <c r="P69" i="13"/>
  <c r="L747" i="13" s="1"/>
  <c r="O69" i="13"/>
  <c r="L746" i="13" s="1"/>
  <c r="J69" i="13"/>
  <c r="L741" i="13" s="1"/>
  <c r="E69" i="13"/>
  <c r="C69" i="13"/>
  <c r="L734" i="13" s="1"/>
  <c r="BY68" i="13"/>
  <c r="K808" i="13" s="1"/>
  <c r="BW68" i="13"/>
  <c r="K806" i="13" s="1"/>
  <c r="BV68" i="13"/>
  <c r="K805" i="13" s="1"/>
  <c r="BN68" i="13"/>
  <c r="K797" i="13" s="1"/>
  <c r="BE68" i="13"/>
  <c r="K788" i="13" s="1"/>
  <c r="BD68" i="13"/>
  <c r="K787" i="13" s="1"/>
  <c r="BB68" i="13"/>
  <c r="K785" i="13" s="1"/>
  <c r="AV68" i="13"/>
  <c r="K779" i="13" s="1"/>
  <c r="AG68" i="13"/>
  <c r="K764" i="13" s="1"/>
  <c r="AE68" i="13"/>
  <c r="K762" i="13" s="1"/>
  <c r="AC68" i="13"/>
  <c r="K760" i="13" s="1"/>
  <c r="AB68" i="13"/>
  <c r="K759" i="13" s="1"/>
  <c r="Z68" i="13"/>
  <c r="K757" i="13" s="1"/>
  <c r="Y68" i="13"/>
  <c r="K756" i="13" s="1"/>
  <c r="X68" i="13"/>
  <c r="K755" i="13" s="1"/>
  <c r="U68" i="13"/>
  <c r="K752" i="13" s="1"/>
  <c r="R68" i="13"/>
  <c r="K749" i="13" s="1"/>
  <c r="P68" i="13"/>
  <c r="K747" i="13" s="1"/>
  <c r="O68" i="13"/>
  <c r="K746" i="13" s="1"/>
  <c r="E68" i="13"/>
  <c r="K736" i="13" s="1"/>
  <c r="C68" i="13"/>
  <c r="BY66" i="13"/>
  <c r="I808" i="13" s="1"/>
  <c r="BX66" i="13"/>
  <c r="I807" i="13" s="1"/>
  <c r="BW66" i="13"/>
  <c r="I806" i="13" s="1"/>
  <c r="BV66" i="13"/>
  <c r="I805" i="13" s="1"/>
  <c r="BR66" i="13"/>
  <c r="I801" i="13" s="1"/>
  <c r="BP66" i="13"/>
  <c r="I799" i="13" s="1"/>
  <c r="BN66" i="13"/>
  <c r="I797" i="13" s="1"/>
  <c r="BL66" i="13"/>
  <c r="I795" i="13" s="1"/>
  <c r="BK66" i="13"/>
  <c r="I794" i="13" s="1"/>
  <c r="BJ66" i="13"/>
  <c r="I793" i="13" s="1"/>
  <c r="BG66" i="13"/>
  <c r="I790" i="13" s="1"/>
  <c r="BF66" i="13"/>
  <c r="I789" i="13" s="1"/>
  <c r="BD66" i="13"/>
  <c r="I787" i="13" s="1"/>
  <c r="BB66" i="13"/>
  <c r="I785" i="13" s="1"/>
  <c r="AY66" i="13"/>
  <c r="I782" i="13" s="1"/>
  <c r="AV66" i="13"/>
  <c r="I779" i="13" s="1"/>
  <c r="AI66" i="13"/>
  <c r="I766" i="13" s="1"/>
  <c r="AE66" i="13"/>
  <c r="I762" i="13" s="1"/>
  <c r="AC66" i="13"/>
  <c r="I760" i="13" s="1"/>
  <c r="AB66" i="13"/>
  <c r="I759" i="13" s="1"/>
  <c r="AA66" i="13"/>
  <c r="I758" i="13" s="1"/>
  <c r="Y66" i="13"/>
  <c r="I756" i="13" s="1"/>
  <c r="X66" i="13"/>
  <c r="I755" i="13" s="1"/>
  <c r="U66" i="13"/>
  <c r="I752" i="13" s="1"/>
  <c r="P66" i="13"/>
  <c r="I747" i="13" s="1"/>
  <c r="O66" i="13"/>
  <c r="I746" i="13" s="1"/>
  <c r="J66" i="13"/>
  <c r="I741" i="13" s="1"/>
  <c r="E66" i="13"/>
  <c r="I736" i="13" s="1"/>
  <c r="C66" i="13"/>
  <c r="I734" i="13" s="1"/>
  <c r="BG65" i="13"/>
  <c r="BE65" i="13"/>
  <c r="H788" i="13" s="1"/>
  <c r="AV65" i="13"/>
  <c r="H779" i="13" s="1"/>
  <c r="AK65" i="13"/>
  <c r="H768" i="13" s="1"/>
  <c r="AE65" i="13"/>
  <c r="H762" i="13" s="1"/>
  <c r="X65" i="13"/>
  <c r="H755" i="13" s="1"/>
  <c r="CA64" i="13"/>
  <c r="G810" i="13" s="1"/>
  <c r="BY64" i="13"/>
  <c r="G808" i="13" s="1"/>
  <c r="BX64" i="13"/>
  <c r="G807" i="13" s="1"/>
  <c r="BW64" i="13"/>
  <c r="G806" i="13" s="1"/>
  <c r="BV64" i="13"/>
  <c r="G805" i="13" s="1"/>
  <c r="BR64" i="13"/>
  <c r="G801" i="13" s="1"/>
  <c r="BP64" i="13"/>
  <c r="G799" i="13" s="1"/>
  <c r="BN64" i="13"/>
  <c r="G797" i="13" s="1"/>
  <c r="BL64" i="13"/>
  <c r="G795" i="13" s="1"/>
  <c r="BJ64" i="13"/>
  <c r="G793" i="13" s="1"/>
  <c r="BH64" i="13"/>
  <c r="G791" i="13" s="1"/>
  <c r="BG64" i="13"/>
  <c r="G790" i="13" s="1"/>
  <c r="BF64" i="13"/>
  <c r="G789" i="13" s="1"/>
  <c r="BE64" i="13"/>
  <c r="G788" i="13" s="1"/>
  <c r="BD64" i="13"/>
  <c r="G787" i="13" s="1"/>
  <c r="BB64" i="13"/>
  <c r="G785" i="13" s="1"/>
  <c r="AY64" i="13"/>
  <c r="G782" i="13" s="1"/>
  <c r="AV64" i="13"/>
  <c r="G779" i="13" s="1"/>
  <c r="AK64" i="13"/>
  <c r="G768" i="13" s="1"/>
  <c r="AI64" i="13"/>
  <c r="G766" i="13" s="1"/>
  <c r="AG64" i="13"/>
  <c r="G764" i="13" s="1"/>
  <c r="AE64" i="13"/>
  <c r="G762" i="13" s="1"/>
  <c r="AC64" i="13"/>
  <c r="G760" i="13" s="1"/>
  <c r="AB64" i="13"/>
  <c r="G759" i="13" s="1"/>
  <c r="Z64" i="13"/>
  <c r="G757" i="13" s="1"/>
  <c r="Y64" i="13"/>
  <c r="G756" i="13" s="1"/>
  <c r="X64" i="13"/>
  <c r="G755" i="13" s="1"/>
  <c r="U64" i="13"/>
  <c r="G752" i="13" s="1"/>
  <c r="S64" i="13"/>
  <c r="G750" i="13" s="1"/>
  <c r="Q64" i="13"/>
  <c r="G748" i="13" s="1"/>
  <c r="P64" i="13"/>
  <c r="G747" i="13" s="1"/>
  <c r="O64" i="13"/>
  <c r="G746" i="13" s="1"/>
  <c r="J64" i="13"/>
  <c r="G741" i="13" s="1"/>
  <c r="E64" i="13"/>
  <c r="C64" i="13"/>
  <c r="G734" i="13" s="1"/>
  <c r="BB63" i="13"/>
  <c r="F785" i="13" s="1"/>
  <c r="AV63" i="13"/>
  <c r="F779" i="13" s="1"/>
  <c r="AG63" i="13"/>
  <c r="F764" i="13" s="1"/>
  <c r="AC63" i="13"/>
  <c r="F760" i="13" s="1"/>
  <c r="Y63" i="13"/>
  <c r="F756" i="13" s="1"/>
  <c r="P63" i="13"/>
  <c r="F747" i="13" s="1"/>
  <c r="O63" i="13"/>
  <c r="F746" i="13" s="1"/>
  <c r="J63" i="13"/>
  <c r="F741" i="13" s="1"/>
  <c r="C63" i="13"/>
  <c r="F734" i="13" s="1"/>
  <c r="CA61" i="13"/>
  <c r="BY61" i="13"/>
  <c r="D808" i="13" s="1"/>
  <c r="BX61" i="13"/>
  <c r="D807" i="13" s="1"/>
  <c r="BW61" i="13"/>
  <c r="BV61" i="13"/>
  <c r="BR61" i="13"/>
  <c r="BP61" i="13"/>
  <c r="D799" i="13" s="1"/>
  <c r="BN61" i="13"/>
  <c r="BL61" i="13"/>
  <c r="BJ61" i="13"/>
  <c r="D793" i="13" s="1"/>
  <c r="BH61" i="13"/>
  <c r="D791" i="13" s="1"/>
  <c r="BG61" i="13"/>
  <c r="BF61" i="13"/>
  <c r="BE61" i="13"/>
  <c r="BD61" i="13"/>
  <c r="BB61" i="13"/>
  <c r="D785" i="13" s="1"/>
  <c r="AY61" i="13"/>
  <c r="AV61" i="13"/>
  <c r="AK61" i="13"/>
  <c r="D768" i="13" s="1"/>
  <c r="AI61" i="13"/>
  <c r="AG61" i="13"/>
  <c r="D764" i="13" s="1"/>
  <c r="AE61" i="13"/>
  <c r="AC61" i="13"/>
  <c r="D760" i="13" s="1"/>
  <c r="AB61" i="13"/>
  <c r="D759" i="13" s="1"/>
  <c r="AA61" i="13"/>
  <c r="Z61" i="13"/>
  <c r="Y61" i="13"/>
  <c r="D756" i="13" s="1"/>
  <c r="X61" i="13"/>
  <c r="U61" i="13"/>
  <c r="D752" i="13" s="1"/>
  <c r="R61" i="13"/>
  <c r="P61" i="13"/>
  <c r="O61" i="13"/>
  <c r="D746" i="13" s="1"/>
  <c r="E61" i="13"/>
  <c r="D736" i="13" s="1"/>
  <c r="C61" i="13"/>
  <c r="D734" i="13" s="1"/>
  <c r="BY60" i="13"/>
  <c r="C808" i="13" s="1"/>
  <c r="BR60" i="13"/>
  <c r="C801" i="13" s="1"/>
  <c r="BN60" i="13"/>
  <c r="C797" i="13" s="1"/>
  <c r="BL60" i="13"/>
  <c r="C795" i="13" s="1"/>
  <c r="BE60" i="13"/>
  <c r="C788" i="13" s="1"/>
  <c r="BB60" i="13"/>
  <c r="C785" i="13" s="1"/>
  <c r="AV60" i="13"/>
  <c r="C779" i="13" s="1"/>
  <c r="AI60" i="13"/>
  <c r="C766" i="13" s="1"/>
  <c r="AE60" i="13"/>
  <c r="C762" i="13" s="1"/>
  <c r="AC60" i="13"/>
  <c r="C760" i="13" s="1"/>
  <c r="AB60" i="13"/>
  <c r="C759" i="13" s="1"/>
  <c r="Y60" i="13"/>
  <c r="C756" i="13" s="1"/>
  <c r="X60" i="13"/>
  <c r="C755" i="13" s="1"/>
  <c r="O60" i="13"/>
  <c r="C746" i="13" s="1"/>
  <c r="E60" i="13"/>
  <c r="C736" i="13" s="1"/>
  <c r="C60" i="13"/>
  <c r="C734" i="13" s="1"/>
  <c r="AL59" i="13"/>
  <c r="AK59" i="13"/>
  <c r="AI59" i="13"/>
  <c r="AG59" i="13"/>
  <c r="AE59" i="13"/>
  <c r="AC59" i="13"/>
  <c r="Y59" i="13"/>
  <c r="X59" i="13"/>
  <c r="U59" i="13"/>
  <c r="Q59" i="13"/>
  <c r="P59" i="13"/>
  <c r="O59" i="13"/>
  <c r="E59" i="13"/>
  <c r="C59" i="13"/>
  <c r="E496" i="13" s="1"/>
  <c r="B53" i="13"/>
  <c r="CB52" i="13"/>
  <c r="CB67" i="13" s="1"/>
  <c r="J811" i="13" s="1"/>
  <c r="CA52" i="13"/>
  <c r="CA67" i="13" s="1"/>
  <c r="J810" i="13" s="1"/>
  <c r="BT52" i="13"/>
  <c r="BT67" i="13" s="1"/>
  <c r="J803" i="13" s="1"/>
  <c r="BS52" i="13"/>
  <c r="BS67" i="13" s="1"/>
  <c r="J802" i="13" s="1"/>
  <c r="BL52" i="13"/>
  <c r="BL67" i="13" s="1"/>
  <c r="J795" i="13" s="1"/>
  <c r="BK52" i="13"/>
  <c r="BK67" i="13" s="1"/>
  <c r="J794" i="13" s="1"/>
  <c r="BD52" i="13"/>
  <c r="BD67" i="13" s="1"/>
  <c r="J787" i="13" s="1"/>
  <c r="BC52" i="13"/>
  <c r="BC67" i="13" s="1"/>
  <c r="J786" i="13" s="1"/>
  <c r="AV52" i="13"/>
  <c r="AV67" i="13" s="1"/>
  <c r="J779" i="13" s="1"/>
  <c r="AU52" i="13"/>
  <c r="AU67" i="13" s="1"/>
  <c r="J778" i="13" s="1"/>
  <c r="AN52" i="13"/>
  <c r="AN67" i="13" s="1"/>
  <c r="J771" i="13" s="1"/>
  <c r="AM52" i="13"/>
  <c r="AM67" i="13" s="1"/>
  <c r="J770" i="13" s="1"/>
  <c r="AF52" i="13"/>
  <c r="AF67" i="13" s="1"/>
  <c r="J763" i="13" s="1"/>
  <c r="AE52" i="13"/>
  <c r="AE67" i="13" s="1"/>
  <c r="J762" i="13" s="1"/>
  <c r="X52" i="13"/>
  <c r="X67" i="13" s="1"/>
  <c r="J755" i="13" s="1"/>
  <c r="W52" i="13"/>
  <c r="W67" i="13" s="1"/>
  <c r="J754" i="13" s="1"/>
  <c r="P52" i="13"/>
  <c r="P67" i="13" s="1"/>
  <c r="J747" i="13" s="1"/>
  <c r="O52" i="13"/>
  <c r="O67" i="13" s="1"/>
  <c r="J746" i="13" s="1"/>
  <c r="H52" i="13"/>
  <c r="H67" i="13" s="1"/>
  <c r="J739" i="13" s="1"/>
  <c r="G52" i="13"/>
  <c r="G67" i="13" s="1"/>
  <c r="J738" i="13" s="1"/>
  <c r="CE51" i="13"/>
  <c r="CA47" i="13"/>
  <c r="BY47" i="13"/>
  <c r="BW47" i="13"/>
  <c r="BR47" i="13"/>
  <c r="BP47" i="13"/>
  <c r="BN47" i="13"/>
  <c r="BL47" i="13"/>
  <c r="BJ47" i="13"/>
  <c r="BH47" i="13"/>
  <c r="BG47" i="13"/>
  <c r="BF47" i="13"/>
  <c r="BE47" i="13"/>
  <c r="BD47" i="13"/>
  <c r="BB47" i="13"/>
  <c r="AY47" i="13"/>
  <c r="AV47" i="13"/>
  <c r="AK47" i="13"/>
  <c r="AI47" i="13"/>
  <c r="AG47" i="13"/>
  <c r="AE47" i="13"/>
  <c r="AC47" i="13"/>
  <c r="AB47" i="13"/>
  <c r="Z47" i="13"/>
  <c r="Y47" i="13"/>
  <c r="X47" i="13"/>
  <c r="U47" i="13"/>
  <c r="Q47" i="13"/>
  <c r="P47" i="13"/>
  <c r="E47" i="13"/>
  <c r="C47" i="13"/>
  <c r="B47" i="13"/>
  <c r="B48" i="13" s="1"/>
  <c r="R815" i="15" l="1"/>
  <c r="C464" i="16"/>
  <c r="CI74" i="16"/>
  <c r="CG74" i="15"/>
  <c r="O816" i="16"/>
  <c r="CI73" i="16"/>
  <c r="CG73" i="15"/>
  <c r="N734" i="15"/>
  <c r="C26" i="9"/>
  <c r="N746" i="15"/>
  <c r="H58" i="9"/>
  <c r="N761" i="15"/>
  <c r="I122" i="9"/>
  <c r="N773" i="15"/>
  <c r="G186" i="9"/>
  <c r="N736" i="15"/>
  <c r="E26" i="9"/>
  <c r="N747" i="15"/>
  <c r="I58" i="9"/>
  <c r="N762" i="15"/>
  <c r="C154" i="9"/>
  <c r="N776" i="15"/>
  <c r="C218" i="9"/>
  <c r="N738" i="15"/>
  <c r="G26" i="9"/>
  <c r="N749" i="15"/>
  <c r="D90" i="9"/>
  <c r="N763" i="15"/>
  <c r="D154" i="9"/>
  <c r="N778" i="15"/>
  <c r="E218" i="9"/>
  <c r="N766" i="15"/>
  <c r="G154" i="9"/>
  <c r="N739" i="15"/>
  <c r="H26" i="9"/>
  <c r="N752" i="15"/>
  <c r="G90" i="9"/>
  <c r="N765" i="15"/>
  <c r="F154" i="9"/>
  <c r="N779" i="15"/>
  <c r="F218" i="9"/>
  <c r="N741" i="15"/>
  <c r="C58" i="9"/>
  <c r="N754" i="15"/>
  <c r="I90" i="9"/>
  <c r="N768" i="15"/>
  <c r="I154" i="9"/>
  <c r="N740" i="15"/>
  <c r="I26" i="9"/>
  <c r="N743" i="15"/>
  <c r="E58" i="9"/>
  <c r="N755" i="15"/>
  <c r="C122" i="9"/>
  <c r="N770" i="15"/>
  <c r="D186" i="9"/>
  <c r="N777" i="15"/>
  <c r="D218" i="9"/>
  <c r="N769" i="15"/>
  <c r="C186" i="9"/>
  <c r="N753" i="15"/>
  <c r="H90" i="9"/>
  <c r="N737" i="15"/>
  <c r="F26" i="9"/>
  <c r="N758" i="15"/>
  <c r="F122" i="9"/>
  <c r="N744" i="15"/>
  <c r="F58" i="9"/>
  <c r="N757" i="15"/>
  <c r="E122" i="9"/>
  <c r="N771" i="15"/>
  <c r="E186" i="9"/>
  <c r="N745" i="15"/>
  <c r="G58" i="9"/>
  <c r="N760" i="15"/>
  <c r="H122" i="9"/>
  <c r="N772" i="15"/>
  <c r="F186" i="9"/>
  <c r="N775" i="15"/>
  <c r="I186" i="9"/>
  <c r="N767" i="15"/>
  <c r="H154" i="9"/>
  <c r="N759" i="15"/>
  <c r="G122" i="9"/>
  <c r="N751" i="15"/>
  <c r="F90" i="9"/>
  <c r="N735" i="15"/>
  <c r="D26" i="9"/>
  <c r="P142" i="15"/>
  <c r="G142" i="16"/>
  <c r="F142" i="16"/>
  <c r="D463" i="16"/>
  <c r="F141" i="16"/>
  <c r="G141" i="16"/>
  <c r="CF73" i="16" s="1"/>
  <c r="P140" i="15"/>
  <c r="D10" i="4"/>
  <c r="C415" i="15"/>
  <c r="P139" i="15"/>
  <c r="C10" i="4"/>
  <c r="C414" i="15"/>
  <c r="P138" i="15"/>
  <c r="B10" i="4"/>
  <c r="AJ48" i="16"/>
  <c r="AJ62" i="16" s="1"/>
  <c r="L48" i="16"/>
  <c r="L62" i="16" s="1"/>
  <c r="E743" i="16" s="1"/>
  <c r="T48" i="16"/>
  <c r="T62" i="16" s="1"/>
  <c r="AC48" i="16"/>
  <c r="AC62" i="16" s="1"/>
  <c r="E760" i="16" s="1"/>
  <c r="D463" i="15"/>
  <c r="F141" i="15"/>
  <c r="E10" i="4"/>
  <c r="F142" i="15"/>
  <c r="G10" i="4"/>
  <c r="F10" i="4"/>
  <c r="D464" i="16"/>
  <c r="AR48" i="16"/>
  <c r="AR62" i="16" s="1"/>
  <c r="M48" i="16"/>
  <c r="M62" i="16" s="1"/>
  <c r="E744" i="16" s="1"/>
  <c r="AS48" i="16"/>
  <c r="AS62" i="16" s="1"/>
  <c r="E776" i="16" s="1"/>
  <c r="F48" i="16"/>
  <c r="F62" i="16" s="1"/>
  <c r="E737" i="16" s="1"/>
  <c r="N48" i="16"/>
  <c r="N62" i="16" s="1"/>
  <c r="V48" i="16"/>
  <c r="V62" i="16" s="1"/>
  <c r="E753" i="16" s="1"/>
  <c r="AE48" i="16"/>
  <c r="AE62" i="16" s="1"/>
  <c r="E762" i="16" s="1"/>
  <c r="AZ48" i="16"/>
  <c r="AZ62" i="16" s="1"/>
  <c r="E783" i="16" s="1"/>
  <c r="G48" i="16"/>
  <c r="G62" i="16" s="1"/>
  <c r="E738" i="16" s="1"/>
  <c r="O48" i="16"/>
  <c r="O62" i="16" s="1"/>
  <c r="E746" i="16" s="1"/>
  <c r="W48" i="16"/>
  <c r="W62" i="16" s="1"/>
  <c r="E754" i="16" s="1"/>
  <c r="AF48" i="16"/>
  <c r="AF62" i="16" s="1"/>
  <c r="BH48" i="16"/>
  <c r="BH62" i="16" s="1"/>
  <c r="E791" i="16" s="1"/>
  <c r="E48" i="16"/>
  <c r="E62" i="16" s="1"/>
  <c r="E736" i="16" s="1"/>
  <c r="AD48" i="16"/>
  <c r="AD62" i="16" s="1"/>
  <c r="E761" i="16" s="1"/>
  <c r="H48" i="16"/>
  <c r="H62" i="16" s="1"/>
  <c r="E739" i="16" s="1"/>
  <c r="P48" i="16"/>
  <c r="P62" i="16" s="1"/>
  <c r="E747" i="16" s="1"/>
  <c r="X48" i="16"/>
  <c r="X62" i="16" s="1"/>
  <c r="E755" i="16" s="1"/>
  <c r="AH48" i="16"/>
  <c r="AH62" i="16" s="1"/>
  <c r="E765" i="16" s="1"/>
  <c r="BI48" i="16"/>
  <c r="BI62" i="16" s="1"/>
  <c r="E792" i="16" s="1"/>
  <c r="I48" i="16"/>
  <c r="I62" i="16" s="1"/>
  <c r="Q48" i="16"/>
  <c r="Q62" i="16" s="1"/>
  <c r="E748" i="16" s="1"/>
  <c r="Y48" i="16"/>
  <c r="Y62" i="16" s="1"/>
  <c r="E756" i="16" s="1"/>
  <c r="D816" i="16"/>
  <c r="CF61" i="1"/>
  <c r="CG61" i="15"/>
  <c r="CH61" i="15" s="1"/>
  <c r="J48" i="16"/>
  <c r="J62" i="16" s="1"/>
  <c r="E741" i="16" s="1"/>
  <c r="R48" i="16"/>
  <c r="R62" i="16" s="1"/>
  <c r="E749" i="16" s="1"/>
  <c r="Z48" i="16"/>
  <c r="Z62" i="16" s="1"/>
  <c r="AK48" i="16"/>
  <c r="AK62" i="16" s="1"/>
  <c r="E768" i="16" s="1"/>
  <c r="U48" i="16"/>
  <c r="U62" i="16" s="1"/>
  <c r="E752" i="16" s="1"/>
  <c r="C48" i="16"/>
  <c r="C62" i="16" s="1"/>
  <c r="K48" i="16"/>
  <c r="K62" i="16" s="1"/>
  <c r="E742" i="16" s="1"/>
  <c r="S48" i="16"/>
  <c r="S62" i="16" s="1"/>
  <c r="AB48" i="16"/>
  <c r="AB62" i="16" s="1"/>
  <c r="E759" i="16" s="1"/>
  <c r="AP48" i="16"/>
  <c r="AP62" i="16" s="1"/>
  <c r="E773" i="16" s="1"/>
  <c r="D433" i="15"/>
  <c r="D32" i="6"/>
  <c r="F25" i="6"/>
  <c r="F26" i="6"/>
  <c r="F27" i="6"/>
  <c r="F28" i="6"/>
  <c r="F29" i="6"/>
  <c r="F30" i="6"/>
  <c r="F31" i="6"/>
  <c r="C471" i="15"/>
  <c r="F10" i="6"/>
  <c r="F7" i="6"/>
  <c r="C474" i="15"/>
  <c r="F14" i="6"/>
  <c r="C475" i="15"/>
  <c r="F15" i="6"/>
  <c r="C472" i="15"/>
  <c r="F11" i="6"/>
  <c r="B446" i="15"/>
  <c r="D242" i="15"/>
  <c r="F367" i="15" s="1"/>
  <c r="L816" i="16"/>
  <c r="G388" i="15"/>
  <c r="G387" i="15"/>
  <c r="G386" i="15"/>
  <c r="G385" i="15"/>
  <c r="G379" i="15"/>
  <c r="D464" i="15"/>
  <c r="E196" i="15"/>
  <c r="E200" i="15"/>
  <c r="C204" i="15"/>
  <c r="D16" i="6" s="1"/>
  <c r="E197" i="15"/>
  <c r="E201" i="15"/>
  <c r="P815" i="15"/>
  <c r="B476" i="15"/>
  <c r="E217" i="16"/>
  <c r="C478" i="16" s="1"/>
  <c r="E204" i="16"/>
  <c r="C476" i="16" s="1"/>
  <c r="C473" i="16"/>
  <c r="D242" i="16"/>
  <c r="B448" i="16" s="1"/>
  <c r="B476" i="16"/>
  <c r="D339" i="16"/>
  <c r="C482" i="16" s="1"/>
  <c r="R815" i="16"/>
  <c r="S815" i="16"/>
  <c r="C463" i="16"/>
  <c r="L815" i="16"/>
  <c r="F386" i="16"/>
  <c r="F382" i="16"/>
  <c r="C432" i="16"/>
  <c r="AA48" i="16"/>
  <c r="AA62" i="16" s="1"/>
  <c r="AI48" i="16"/>
  <c r="AI62" i="16" s="1"/>
  <c r="E766" i="16" s="1"/>
  <c r="AQ48" i="16"/>
  <c r="AQ62" i="16" s="1"/>
  <c r="E774" i="16" s="1"/>
  <c r="BE48" i="16"/>
  <c r="BE62" i="16" s="1"/>
  <c r="E788" i="16" s="1"/>
  <c r="AL48" i="16"/>
  <c r="AL62" i="16" s="1"/>
  <c r="E769" i="16" s="1"/>
  <c r="AT48" i="16"/>
  <c r="AT62" i="16" s="1"/>
  <c r="E777" i="16" s="1"/>
  <c r="BQ48" i="16"/>
  <c r="BQ62" i="16" s="1"/>
  <c r="E800" i="16" s="1"/>
  <c r="AM48" i="16"/>
  <c r="AM62" i="16" s="1"/>
  <c r="E770" i="16" s="1"/>
  <c r="AU48" i="16"/>
  <c r="AU62" i="16" s="1"/>
  <c r="E778" i="16" s="1"/>
  <c r="BS48" i="16"/>
  <c r="BS62" i="16" s="1"/>
  <c r="E802" i="16" s="1"/>
  <c r="AN48" i="16"/>
  <c r="AN62" i="16" s="1"/>
  <c r="E771" i="16" s="1"/>
  <c r="AW48" i="16"/>
  <c r="AW62" i="16" s="1"/>
  <c r="E780" i="16" s="1"/>
  <c r="BU48" i="16"/>
  <c r="BU62" i="16" s="1"/>
  <c r="E804" i="16" s="1"/>
  <c r="AG48" i="16"/>
  <c r="AG62" i="16" s="1"/>
  <c r="E764" i="16" s="1"/>
  <c r="AO48" i="16"/>
  <c r="AO62" i="16" s="1"/>
  <c r="E772" i="16" s="1"/>
  <c r="AY48" i="16"/>
  <c r="AY62" i="16" s="1"/>
  <c r="E782" i="16" s="1"/>
  <c r="AX48" i="16"/>
  <c r="AX62" i="16" s="1"/>
  <c r="E781" i="16" s="1"/>
  <c r="BF48" i="16"/>
  <c r="BF62" i="16" s="1"/>
  <c r="E789" i="16" s="1"/>
  <c r="BR48" i="16"/>
  <c r="BR62" i="16" s="1"/>
  <c r="E801" i="16" s="1"/>
  <c r="BA48" i="16"/>
  <c r="BA62" i="16" s="1"/>
  <c r="E784" i="16" s="1"/>
  <c r="BJ48" i="16"/>
  <c r="BJ62" i="16" s="1"/>
  <c r="E793" i="16" s="1"/>
  <c r="BY48" i="16"/>
  <c r="BY62" i="16" s="1"/>
  <c r="E808" i="16" s="1"/>
  <c r="BB48" i="16"/>
  <c r="BB62" i="16" s="1"/>
  <c r="E785" i="16" s="1"/>
  <c r="BK48" i="16"/>
  <c r="BK62" i="16" s="1"/>
  <c r="E794" i="16" s="1"/>
  <c r="BZ48" i="16"/>
  <c r="BZ62" i="16" s="1"/>
  <c r="BC48" i="16"/>
  <c r="BC62" i="16" s="1"/>
  <c r="E786" i="16" s="1"/>
  <c r="BM48" i="16"/>
  <c r="BM62" i="16" s="1"/>
  <c r="E796" i="16" s="1"/>
  <c r="CA48" i="16"/>
  <c r="CA62" i="16" s="1"/>
  <c r="E810" i="16" s="1"/>
  <c r="AV48" i="16"/>
  <c r="AV62" i="16" s="1"/>
  <c r="E779" i="16" s="1"/>
  <c r="BD48" i="16"/>
  <c r="BD62" i="16" s="1"/>
  <c r="E787" i="16" s="1"/>
  <c r="BP48" i="16"/>
  <c r="BP62" i="16" s="1"/>
  <c r="E799" i="16" s="1"/>
  <c r="BL48" i="16"/>
  <c r="BL62" i="16" s="1"/>
  <c r="E795" i="16" s="1"/>
  <c r="BT48" i="16"/>
  <c r="BT62" i="16" s="1"/>
  <c r="E803" i="16" s="1"/>
  <c r="CB48" i="16"/>
  <c r="CB62" i="16" s="1"/>
  <c r="E811" i="16" s="1"/>
  <c r="F378" i="16"/>
  <c r="CC48" i="16"/>
  <c r="CC62" i="16" s="1"/>
  <c r="E812" i="16" s="1"/>
  <c r="C815" i="16"/>
  <c r="BN48" i="16"/>
  <c r="BN62" i="16" s="1"/>
  <c r="E797" i="16" s="1"/>
  <c r="BV48" i="16"/>
  <c r="BV62" i="16" s="1"/>
  <c r="E805" i="16" s="1"/>
  <c r="BG48" i="16"/>
  <c r="BG62" i="16" s="1"/>
  <c r="E790" i="16" s="1"/>
  <c r="BO48" i="16"/>
  <c r="BO62" i="16" s="1"/>
  <c r="E798" i="16" s="1"/>
  <c r="BW48" i="16"/>
  <c r="BW62" i="16" s="1"/>
  <c r="E806" i="16" s="1"/>
  <c r="BX48" i="16"/>
  <c r="BX62" i="16" s="1"/>
  <c r="E807" i="16" s="1"/>
  <c r="E740" i="16"/>
  <c r="E763" i="16"/>
  <c r="E757" i="16"/>
  <c r="E734" i="16"/>
  <c r="E750" i="16"/>
  <c r="E758" i="16"/>
  <c r="E751" i="16"/>
  <c r="E767" i="16"/>
  <c r="E775" i="16"/>
  <c r="E745" i="16"/>
  <c r="E809" i="16"/>
  <c r="H539" i="16"/>
  <c r="F539" i="16"/>
  <c r="D368" i="16"/>
  <c r="D373" i="16" s="1"/>
  <c r="F383" i="16"/>
  <c r="F496" i="16"/>
  <c r="H497" i="16"/>
  <c r="H518" i="16"/>
  <c r="F518" i="16"/>
  <c r="H531" i="16"/>
  <c r="F531" i="16"/>
  <c r="Q816" i="16"/>
  <c r="G612" i="16"/>
  <c r="BI730" i="16"/>
  <c r="C816" i="16"/>
  <c r="H612" i="16"/>
  <c r="R816" i="16"/>
  <c r="I612" i="16"/>
  <c r="C429" i="16"/>
  <c r="H503" i="16"/>
  <c r="H523" i="16"/>
  <c r="F523" i="16"/>
  <c r="H537" i="16"/>
  <c r="H546" i="16"/>
  <c r="S816" i="16"/>
  <c r="J612" i="16"/>
  <c r="F385" i="16"/>
  <c r="C440" i="16"/>
  <c r="C469" i="16"/>
  <c r="H511" i="16"/>
  <c r="H529" i="16"/>
  <c r="H540" i="16"/>
  <c r="F540" i="16"/>
  <c r="D612" i="16"/>
  <c r="C430" i="16"/>
  <c r="C458" i="16"/>
  <c r="H532" i="16"/>
  <c r="F532" i="16"/>
  <c r="F612" i="16"/>
  <c r="D62" i="16"/>
  <c r="CE75" i="16"/>
  <c r="C427" i="16"/>
  <c r="C434" i="16"/>
  <c r="B465" i="16"/>
  <c r="H506" i="16"/>
  <c r="F506" i="16"/>
  <c r="H524" i="16"/>
  <c r="F524" i="16"/>
  <c r="D435" i="16"/>
  <c r="N815" i="16"/>
  <c r="F380" i="16"/>
  <c r="C431" i="16"/>
  <c r="B444" i="16"/>
  <c r="L612" i="16"/>
  <c r="CF76" i="16"/>
  <c r="BA52" i="16" s="1"/>
  <c r="BA67" i="16" s="1"/>
  <c r="F381" i="16"/>
  <c r="F500" i="16"/>
  <c r="H500" i="16"/>
  <c r="H550" i="16"/>
  <c r="F550" i="16"/>
  <c r="H508" i="16"/>
  <c r="D815" i="16"/>
  <c r="M815" i="16"/>
  <c r="F815" i="16"/>
  <c r="O815" i="16"/>
  <c r="G815" i="16"/>
  <c r="Q815" i="16"/>
  <c r="I815" i="16"/>
  <c r="K815" i="16"/>
  <c r="T815" i="16"/>
  <c r="B431" i="15"/>
  <c r="B433" i="15"/>
  <c r="H817" i="15"/>
  <c r="BU730" i="15"/>
  <c r="B465" i="15"/>
  <c r="D368" i="15"/>
  <c r="D373" i="15" s="1"/>
  <c r="O766" i="15"/>
  <c r="C615" i="15"/>
  <c r="V813" i="15"/>
  <c r="V815" i="15" s="1"/>
  <c r="CE68" i="15"/>
  <c r="CE65" i="15"/>
  <c r="CE64" i="15"/>
  <c r="CE51" i="15"/>
  <c r="CE47" i="15"/>
  <c r="T815" i="15"/>
  <c r="CE80" i="15"/>
  <c r="L612" i="15" s="1"/>
  <c r="CE74" i="15"/>
  <c r="D378" i="9"/>
  <c r="O758" i="15"/>
  <c r="CE73" i="15"/>
  <c r="G141" i="15" s="1"/>
  <c r="K815" i="15"/>
  <c r="CE69" i="15"/>
  <c r="F385" i="15"/>
  <c r="C439" i="15"/>
  <c r="L815" i="15"/>
  <c r="CE70" i="15"/>
  <c r="M815" i="15"/>
  <c r="G815" i="15"/>
  <c r="I815" i="15"/>
  <c r="CE63" i="15"/>
  <c r="H738" i="15"/>
  <c r="H815" i="15" s="1"/>
  <c r="F815" i="15"/>
  <c r="CE66" i="15"/>
  <c r="CH66" i="15" s="1"/>
  <c r="B766" i="15"/>
  <c r="B768" i="15"/>
  <c r="E520" i="15"/>
  <c r="BZ48" i="15"/>
  <c r="BZ62" i="15" s="1"/>
  <c r="C427" i="15"/>
  <c r="V48" i="15"/>
  <c r="V62" i="15" s="1"/>
  <c r="E753" i="15" s="1"/>
  <c r="I48" i="15"/>
  <c r="I62" i="15" s="1"/>
  <c r="E740" i="15" s="1"/>
  <c r="BV48" i="15"/>
  <c r="BV62" i="15" s="1"/>
  <c r="CA48" i="15"/>
  <c r="CA62" i="15" s="1"/>
  <c r="E810" i="15" s="1"/>
  <c r="BE48" i="15"/>
  <c r="BE62" i="15" s="1"/>
  <c r="E788" i="15" s="1"/>
  <c r="AK48" i="15"/>
  <c r="AK62" i="15" s="1"/>
  <c r="E768" i="15" s="1"/>
  <c r="BQ48" i="15"/>
  <c r="BQ62" i="15" s="1"/>
  <c r="E800" i="15" s="1"/>
  <c r="AP48" i="15"/>
  <c r="AP62" i="15" s="1"/>
  <c r="BB48" i="15"/>
  <c r="BB62" i="15" s="1"/>
  <c r="E785" i="15" s="1"/>
  <c r="AC48" i="15"/>
  <c r="AC62" i="15" s="1"/>
  <c r="AM48" i="15"/>
  <c r="AM62" i="15" s="1"/>
  <c r="E770" i="15" s="1"/>
  <c r="Z48" i="15"/>
  <c r="Z62" i="15" s="1"/>
  <c r="E757" i="15" s="1"/>
  <c r="BK48" i="15"/>
  <c r="BK62" i="15" s="1"/>
  <c r="E794" i="15" s="1"/>
  <c r="D736" i="15"/>
  <c r="D815" i="15" s="1"/>
  <c r="E504" i="15"/>
  <c r="CE60" i="15"/>
  <c r="H612" i="15" s="1"/>
  <c r="B742" i="15"/>
  <c r="C815" i="15"/>
  <c r="BS48" i="15"/>
  <c r="BS62" i="15" s="1"/>
  <c r="E802" i="15" s="1"/>
  <c r="D48" i="15"/>
  <c r="D62" i="15" s="1"/>
  <c r="T48" i="15"/>
  <c r="T62" i="15" s="1"/>
  <c r="AJ48" i="15"/>
  <c r="AJ62" i="15" s="1"/>
  <c r="AZ48" i="15"/>
  <c r="AZ62" i="15" s="1"/>
  <c r="BH48" i="15"/>
  <c r="BH62" i="15" s="1"/>
  <c r="BP48" i="15"/>
  <c r="BP62" i="15" s="1"/>
  <c r="Q816" i="15"/>
  <c r="G612" i="15"/>
  <c r="D438" i="15"/>
  <c r="C468" i="15"/>
  <c r="H521" i="15"/>
  <c r="F521" i="15"/>
  <c r="H544" i="15"/>
  <c r="F544" i="15"/>
  <c r="H498" i="15"/>
  <c r="R816" i="15"/>
  <c r="I612" i="15"/>
  <c r="S816" i="15"/>
  <c r="J612" i="15"/>
  <c r="H48" i="15"/>
  <c r="H62" i="15" s="1"/>
  <c r="P48" i="15"/>
  <c r="P62" i="15" s="1"/>
  <c r="AF48" i="15"/>
  <c r="AF62" i="15" s="1"/>
  <c r="AV48" i="15"/>
  <c r="AV62" i="15" s="1"/>
  <c r="BD48" i="15"/>
  <c r="BD62" i="15" s="1"/>
  <c r="BL48" i="15"/>
  <c r="BL62" i="15" s="1"/>
  <c r="BT48" i="15"/>
  <c r="BT62" i="15" s="1"/>
  <c r="CB48" i="15"/>
  <c r="CB62" i="15" s="1"/>
  <c r="CD722" i="15"/>
  <c r="B444" i="15"/>
  <c r="H501" i="15"/>
  <c r="F501" i="15"/>
  <c r="F508" i="15"/>
  <c r="H508" i="15" s="1"/>
  <c r="H527" i="15"/>
  <c r="F527" i="15"/>
  <c r="H535" i="15"/>
  <c r="F535" i="15"/>
  <c r="H509" i="15"/>
  <c r="F509" i="15"/>
  <c r="C431" i="15"/>
  <c r="P816" i="15"/>
  <c r="D612" i="15"/>
  <c r="C48" i="15"/>
  <c r="K48" i="15"/>
  <c r="K62" i="15" s="1"/>
  <c r="S48" i="15"/>
  <c r="S62" i="15" s="1"/>
  <c r="AA48" i="15"/>
  <c r="AA62" i="15" s="1"/>
  <c r="AI48" i="15"/>
  <c r="AI62" i="15" s="1"/>
  <c r="AQ48" i="15"/>
  <c r="AQ62" i="15" s="1"/>
  <c r="AY48" i="15"/>
  <c r="AY62" i="15" s="1"/>
  <c r="BG48" i="15"/>
  <c r="BG62" i="15" s="1"/>
  <c r="BO48" i="15"/>
  <c r="BO62" i="15" s="1"/>
  <c r="BW48" i="15"/>
  <c r="BW62" i="15" s="1"/>
  <c r="CF76" i="15"/>
  <c r="AX52" i="15" s="1"/>
  <c r="AX67" i="15" s="1"/>
  <c r="J781" i="15" s="1"/>
  <c r="H550" i="15"/>
  <c r="F503" i="15"/>
  <c r="H503" i="15" s="1"/>
  <c r="F511" i="15"/>
  <c r="H511" i="15" s="1"/>
  <c r="F515" i="15"/>
  <c r="F529" i="15"/>
  <c r="F537" i="15"/>
  <c r="F546" i="15"/>
  <c r="F510" i="13"/>
  <c r="F520" i="13"/>
  <c r="F529" i="13"/>
  <c r="F511" i="13"/>
  <c r="F497" i="13"/>
  <c r="F515" i="13"/>
  <c r="F503" i="13"/>
  <c r="F505" i="13"/>
  <c r="F508" i="13"/>
  <c r="F528" i="13"/>
  <c r="F513" i="13"/>
  <c r="F502" i="13"/>
  <c r="F516" i="13"/>
  <c r="F519" i="13"/>
  <c r="F534" i="13"/>
  <c r="F545" i="13"/>
  <c r="H525" i="13"/>
  <c r="F509" i="13"/>
  <c r="F501" i="13"/>
  <c r="F523" i="13"/>
  <c r="H533" i="13"/>
  <c r="F539" i="13"/>
  <c r="Q815" i="14"/>
  <c r="C815" i="14"/>
  <c r="D815" i="14"/>
  <c r="T815" i="14"/>
  <c r="L815" i="14"/>
  <c r="F815" i="14"/>
  <c r="M815" i="14"/>
  <c r="G815" i="14"/>
  <c r="K815" i="14"/>
  <c r="I815" i="14"/>
  <c r="H501" i="14"/>
  <c r="F501" i="14"/>
  <c r="F550" i="14"/>
  <c r="H550" i="14"/>
  <c r="F540" i="14"/>
  <c r="H540" i="14"/>
  <c r="F520" i="14"/>
  <c r="H520" i="14"/>
  <c r="F533" i="14"/>
  <c r="H533" i="14"/>
  <c r="F517" i="14"/>
  <c r="H517" i="14"/>
  <c r="F499" i="14"/>
  <c r="H499" i="14"/>
  <c r="F529" i="14"/>
  <c r="AC71" i="14"/>
  <c r="H539" i="14"/>
  <c r="D339" i="14"/>
  <c r="C482" i="14" s="1"/>
  <c r="F513" i="14"/>
  <c r="F508" i="14"/>
  <c r="H508" i="14"/>
  <c r="F500" i="14"/>
  <c r="H500" i="14"/>
  <c r="D465" i="14"/>
  <c r="D242" i="14"/>
  <c r="B448" i="14" s="1"/>
  <c r="CC52" i="14"/>
  <c r="CC67" i="14" s="1"/>
  <c r="J812" i="14" s="1"/>
  <c r="BU52" i="14"/>
  <c r="BU67" i="14" s="1"/>
  <c r="J804" i="14" s="1"/>
  <c r="BM52" i="14"/>
  <c r="BM67" i="14" s="1"/>
  <c r="J796" i="14" s="1"/>
  <c r="BE52" i="14"/>
  <c r="BE67" i="14" s="1"/>
  <c r="J788" i="14" s="1"/>
  <c r="AW52" i="14"/>
  <c r="AW67" i="14" s="1"/>
  <c r="J780" i="14" s="1"/>
  <c r="AO52" i="14"/>
  <c r="AO67" i="14" s="1"/>
  <c r="J772" i="14" s="1"/>
  <c r="AG52" i="14"/>
  <c r="AG67" i="14" s="1"/>
  <c r="J764" i="14" s="1"/>
  <c r="Y52" i="14"/>
  <c r="Y67" i="14" s="1"/>
  <c r="J756" i="14" s="1"/>
  <c r="Q52" i="14"/>
  <c r="Q67" i="14" s="1"/>
  <c r="J748" i="14" s="1"/>
  <c r="I52" i="14"/>
  <c r="I67" i="14" s="1"/>
  <c r="J740" i="14" s="1"/>
  <c r="BW48" i="14"/>
  <c r="BW62" i="14" s="1"/>
  <c r="BO48" i="14"/>
  <c r="BO62" i="14" s="1"/>
  <c r="BG48" i="14"/>
  <c r="BG62" i="14" s="1"/>
  <c r="AY48" i="14"/>
  <c r="AY62" i="14" s="1"/>
  <c r="AQ48" i="14"/>
  <c r="AQ62" i="14" s="1"/>
  <c r="AI48" i="14"/>
  <c r="AI62" i="14" s="1"/>
  <c r="AA48" i="14"/>
  <c r="AA62" i="14" s="1"/>
  <c r="S48" i="14"/>
  <c r="S62" i="14" s="1"/>
  <c r="K48" i="14"/>
  <c r="K62" i="14" s="1"/>
  <c r="C48" i="14"/>
  <c r="D177" i="14"/>
  <c r="D434" i="14" s="1"/>
  <c r="CB52" i="14"/>
  <c r="CB67" i="14" s="1"/>
  <c r="J811" i="14" s="1"/>
  <c r="BT52" i="14"/>
  <c r="BT67" i="14" s="1"/>
  <c r="J803" i="14" s="1"/>
  <c r="BL52" i="14"/>
  <c r="BL67" i="14" s="1"/>
  <c r="J795" i="14" s="1"/>
  <c r="BD52" i="14"/>
  <c r="BD67" i="14" s="1"/>
  <c r="J787" i="14" s="1"/>
  <c r="AV52" i="14"/>
  <c r="AV67" i="14" s="1"/>
  <c r="J779" i="14" s="1"/>
  <c r="AN52" i="14"/>
  <c r="AN67" i="14" s="1"/>
  <c r="J771" i="14" s="1"/>
  <c r="AF52" i="14"/>
  <c r="AF67" i="14" s="1"/>
  <c r="J763" i="14" s="1"/>
  <c r="X52" i="14"/>
  <c r="X67" i="14" s="1"/>
  <c r="J755" i="14" s="1"/>
  <c r="P52" i="14"/>
  <c r="P67" i="14" s="1"/>
  <c r="J747" i="14" s="1"/>
  <c r="H52" i="14"/>
  <c r="H67" i="14" s="1"/>
  <c r="J739" i="14" s="1"/>
  <c r="BV48" i="14"/>
  <c r="BV62" i="14" s="1"/>
  <c r="BN48" i="14"/>
  <c r="BN62" i="14" s="1"/>
  <c r="BF48" i="14"/>
  <c r="BF62" i="14" s="1"/>
  <c r="AX48" i="14"/>
  <c r="AX62" i="14" s="1"/>
  <c r="AP48" i="14"/>
  <c r="AP62" i="14" s="1"/>
  <c r="AH48" i="14"/>
  <c r="AH62" i="14" s="1"/>
  <c r="Z48" i="14"/>
  <c r="Z62" i="14" s="1"/>
  <c r="R48" i="14"/>
  <c r="R62" i="14" s="1"/>
  <c r="J48" i="14"/>
  <c r="J62" i="14" s="1"/>
  <c r="CA52" i="14"/>
  <c r="CA67" i="14" s="1"/>
  <c r="J810" i="14" s="1"/>
  <c r="BS52" i="14"/>
  <c r="BS67" i="14" s="1"/>
  <c r="J802" i="14" s="1"/>
  <c r="BK52" i="14"/>
  <c r="BK67" i="14" s="1"/>
  <c r="J794" i="14" s="1"/>
  <c r="BC52" i="14"/>
  <c r="BC67" i="14" s="1"/>
  <c r="J786" i="14" s="1"/>
  <c r="AU52" i="14"/>
  <c r="AU67" i="14" s="1"/>
  <c r="J778" i="14" s="1"/>
  <c r="AM52" i="14"/>
  <c r="AM67" i="14" s="1"/>
  <c r="J770" i="14" s="1"/>
  <c r="AE52" i="14"/>
  <c r="AE67" i="14" s="1"/>
  <c r="J762" i="14" s="1"/>
  <c r="W52" i="14"/>
  <c r="W67" i="14" s="1"/>
  <c r="J754" i="14" s="1"/>
  <c r="O52" i="14"/>
  <c r="O67" i="14" s="1"/>
  <c r="J746" i="14" s="1"/>
  <c r="G52" i="14"/>
  <c r="G67" i="14" s="1"/>
  <c r="J738" i="14" s="1"/>
  <c r="CC48" i="14"/>
  <c r="CC62" i="14" s="1"/>
  <c r="BU48" i="14"/>
  <c r="BU62" i="14" s="1"/>
  <c r="BM48" i="14"/>
  <c r="BM62" i="14" s="1"/>
  <c r="E796" i="14" s="1"/>
  <c r="BE48" i="14"/>
  <c r="BE62" i="14" s="1"/>
  <c r="E788" i="14" s="1"/>
  <c r="AW48" i="14"/>
  <c r="AW62" i="14" s="1"/>
  <c r="AO48" i="14"/>
  <c r="AO62" i="14" s="1"/>
  <c r="AG48" i="14"/>
  <c r="AG62" i="14" s="1"/>
  <c r="E764" i="14" s="1"/>
  <c r="Y48" i="14"/>
  <c r="Y62" i="14" s="1"/>
  <c r="E756" i="14" s="1"/>
  <c r="Q48" i="14"/>
  <c r="Q62" i="14" s="1"/>
  <c r="I48" i="14"/>
  <c r="I62" i="14" s="1"/>
  <c r="BZ52" i="14"/>
  <c r="BZ67" i="14" s="1"/>
  <c r="J809" i="14" s="1"/>
  <c r="BR52" i="14"/>
  <c r="BR67" i="14" s="1"/>
  <c r="J801" i="14" s="1"/>
  <c r="BJ52" i="14"/>
  <c r="BJ67" i="14" s="1"/>
  <c r="J793" i="14" s="1"/>
  <c r="BB52" i="14"/>
  <c r="BB67" i="14" s="1"/>
  <c r="J785" i="14" s="1"/>
  <c r="AT52" i="14"/>
  <c r="AT67" i="14" s="1"/>
  <c r="J777" i="14" s="1"/>
  <c r="AL52" i="14"/>
  <c r="AL67" i="14" s="1"/>
  <c r="J769" i="14" s="1"/>
  <c r="AD52" i="14"/>
  <c r="AD67" i="14" s="1"/>
  <c r="J761" i="14" s="1"/>
  <c r="V52" i="14"/>
  <c r="V67" i="14" s="1"/>
  <c r="J753" i="14" s="1"/>
  <c r="N52" i="14"/>
  <c r="N67" i="14" s="1"/>
  <c r="J745" i="14" s="1"/>
  <c r="F52" i="14"/>
  <c r="F67" i="14" s="1"/>
  <c r="J737" i="14" s="1"/>
  <c r="CB48" i="14"/>
  <c r="CB62" i="14" s="1"/>
  <c r="BT48" i="14"/>
  <c r="BT62" i="14" s="1"/>
  <c r="BL48" i="14"/>
  <c r="BL62" i="14" s="1"/>
  <c r="BD48" i="14"/>
  <c r="BD62" i="14" s="1"/>
  <c r="AV48" i="14"/>
  <c r="AV62" i="14" s="1"/>
  <c r="AN48" i="14"/>
  <c r="AN62" i="14" s="1"/>
  <c r="AF48" i="14"/>
  <c r="AF62" i="14" s="1"/>
  <c r="X48" i="14"/>
  <c r="X62" i="14" s="1"/>
  <c r="P48" i="14"/>
  <c r="P62" i="14" s="1"/>
  <c r="H48" i="14"/>
  <c r="H62" i="14" s="1"/>
  <c r="E201" i="14"/>
  <c r="E204" i="14" s="1"/>
  <c r="C476" i="14" s="1"/>
  <c r="U75" i="14"/>
  <c r="N752" i="14" s="1"/>
  <c r="N815" i="14" s="1"/>
  <c r="BY52" i="14"/>
  <c r="BY67" i="14" s="1"/>
  <c r="J808" i="14" s="1"/>
  <c r="BQ52" i="14"/>
  <c r="BQ67" i="14" s="1"/>
  <c r="J800" i="14" s="1"/>
  <c r="BI52" i="14"/>
  <c r="BI67" i="14" s="1"/>
  <c r="J792" i="14" s="1"/>
  <c r="BA52" i="14"/>
  <c r="BA67" i="14" s="1"/>
  <c r="J784" i="14" s="1"/>
  <c r="AS52" i="14"/>
  <c r="AS67" i="14" s="1"/>
  <c r="J776" i="14" s="1"/>
  <c r="AK52" i="14"/>
  <c r="AK67" i="14" s="1"/>
  <c r="J768" i="14" s="1"/>
  <c r="AC52" i="14"/>
  <c r="AC67" i="14" s="1"/>
  <c r="J760" i="14" s="1"/>
  <c r="U52" i="14"/>
  <c r="U67" i="14" s="1"/>
  <c r="J752" i="14" s="1"/>
  <c r="M52" i="14"/>
  <c r="M67" i="14" s="1"/>
  <c r="J744" i="14" s="1"/>
  <c r="E52" i="14"/>
  <c r="E67" i="14" s="1"/>
  <c r="J736" i="14" s="1"/>
  <c r="CA48" i="14"/>
  <c r="CA62" i="14" s="1"/>
  <c r="BS48" i="14"/>
  <c r="BS62" i="14" s="1"/>
  <c r="BK48" i="14"/>
  <c r="BK62" i="14" s="1"/>
  <c r="BC48" i="14"/>
  <c r="BC62" i="14" s="1"/>
  <c r="AU48" i="14"/>
  <c r="AU62" i="14" s="1"/>
  <c r="AM48" i="14"/>
  <c r="AM62" i="14" s="1"/>
  <c r="AE48" i="14"/>
  <c r="AE62" i="14" s="1"/>
  <c r="W48" i="14"/>
  <c r="W62" i="14" s="1"/>
  <c r="O48" i="14"/>
  <c r="O62" i="14" s="1"/>
  <c r="G48" i="14"/>
  <c r="G62" i="14" s="1"/>
  <c r="BX52" i="14"/>
  <c r="BX67" i="14" s="1"/>
  <c r="J807" i="14" s="1"/>
  <c r="BP52" i="14"/>
  <c r="BP67" i="14" s="1"/>
  <c r="J799" i="14" s="1"/>
  <c r="BH52" i="14"/>
  <c r="BH67" i="14" s="1"/>
  <c r="J791" i="14" s="1"/>
  <c r="AZ52" i="14"/>
  <c r="AZ67" i="14" s="1"/>
  <c r="J783" i="14" s="1"/>
  <c r="AR52" i="14"/>
  <c r="AR67" i="14" s="1"/>
  <c r="J775" i="14" s="1"/>
  <c r="AJ52" i="14"/>
  <c r="AJ67" i="14" s="1"/>
  <c r="J767" i="14" s="1"/>
  <c r="AB52" i="14"/>
  <c r="AB67" i="14" s="1"/>
  <c r="J759" i="14" s="1"/>
  <c r="T52" i="14"/>
  <c r="T67" i="14" s="1"/>
  <c r="J751" i="14" s="1"/>
  <c r="L52" i="14"/>
  <c r="L67" i="14" s="1"/>
  <c r="J743" i="14" s="1"/>
  <c r="D52" i="14"/>
  <c r="D67" i="14" s="1"/>
  <c r="J735" i="14" s="1"/>
  <c r="BZ48" i="14"/>
  <c r="BZ62" i="14" s="1"/>
  <c r="BR48" i="14"/>
  <c r="BR62" i="14" s="1"/>
  <c r="BJ48" i="14"/>
  <c r="BJ62" i="14" s="1"/>
  <c r="BB48" i="14"/>
  <c r="BB62" i="14" s="1"/>
  <c r="AT48" i="14"/>
  <c r="AT62" i="14" s="1"/>
  <c r="AL48" i="14"/>
  <c r="AL62" i="14" s="1"/>
  <c r="AD48" i="14"/>
  <c r="AD62" i="14" s="1"/>
  <c r="V48" i="14"/>
  <c r="V62" i="14" s="1"/>
  <c r="N48" i="14"/>
  <c r="N62" i="14" s="1"/>
  <c r="F48" i="14"/>
  <c r="F62" i="14" s="1"/>
  <c r="BW52" i="14"/>
  <c r="BW67" i="14" s="1"/>
  <c r="J806" i="14" s="1"/>
  <c r="BO52" i="14"/>
  <c r="BO67" i="14" s="1"/>
  <c r="J798" i="14" s="1"/>
  <c r="BG52" i="14"/>
  <c r="BG67" i="14" s="1"/>
  <c r="J790" i="14" s="1"/>
  <c r="AY52" i="14"/>
  <c r="AY67" i="14" s="1"/>
  <c r="J782" i="14" s="1"/>
  <c r="AQ52" i="14"/>
  <c r="AQ67" i="14" s="1"/>
  <c r="J774" i="14" s="1"/>
  <c r="AI52" i="14"/>
  <c r="AI67" i="14" s="1"/>
  <c r="J766" i="14" s="1"/>
  <c r="AA52" i="14"/>
  <c r="AA67" i="14" s="1"/>
  <c r="J758" i="14" s="1"/>
  <c r="S52" i="14"/>
  <c r="S67" i="14" s="1"/>
  <c r="J750" i="14" s="1"/>
  <c r="K52" i="14"/>
  <c r="K67" i="14" s="1"/>
  <c r="J742" i="14" s="1"/>
  <c r="C52" i="14"/>
  <c r="BY48" i="14"/>
  <c r="BY62" i="14" s="1"/>
  <c r="E808" i="14" s="1"/>
  <c r="BQ48" i="14"/>
  <c r="BQ62" i="14" s="1"/>
  <c r="BI48" i="14"/>
  <c r="BI62" i="14" s="1"/>
  <c r="BA48" i="14"/>
  <c r="BA62" i="14" s="1"/>
  <c r="AS48" i="14"/>
  <c r="AS62" i="14" s="1"/>
  <c r="AK48" i="14"/>
  <c r="AK62" i="14" s="1"/>
  <c r="E768" i="14" s="1"/>
  <c r="AC48" i="14"/>
  <c r="AC62" i="14" s="1"/>
  <c r="E760" i="14" s="1"/>
  <c r="U48" i="14"/>
  <c r="U62" i="14" s="1"/>
  <c r="M48" i="14"/>
  <c r="M62" i="14" s="1"/>
  <c r="E48" i="14"/>
  <c r="E62" i="14" s="1"/>
  <c r="BV52" i="14"/>
  <c r="BV67" i="14" s="1"/>
  <c r="J805" i="14" s="1"/>
  <c r="BN52" i="14"/>
  <c r="BN67" i="14" s="1"/>
  <c r="J797" i="14" s="1"/>
  <c r="BF52" i="14"/>
  <c r="BF67" i="14" s="1"/>
  <c r="J789" i="14" s="1"/>
  <c r="AX52" i="14"/>
  <c r="AX67" i="14" s="1"/>
  <c r="J781" i="14" s="1"/>
  <c r="AP52" i="14"/>
  <c r="AP67" i="14" s="1"/>
  <c r="J773" i="14" s="1"/>
  <c r="AH52" i="14"/>
  <c r="AH67" i="14" s="1"/>
  <c r="J765" i="14" s="1"/>
  <c r="Z52" i="14"/>
  <c r="Z67" i="14" s="1"/>
  <c r="J757" i="14" s="1"/>
  <c r="R52" i="14"/>
  <c r="R67" i="14" s="1"/>
  <c r="J749" i="14" s="1"/>
  <c r="BX48" i="14"/>
  <c r="BX62" i="14" s="1"/>
  <c r="BP48" i="14"/>
  <c r="BP62" i="14" s="1"/>
  <c r="BH48" i="14"/>
  <c r="BH62" i="14" s="1"/>
  <c r="AZ48" i="14"/>
  <c r="AZ62" i="14" s="1"/>
  <c r="AR48" i="14"/>
  <c r="AR62" i="14" s="1"/>
  <c r="AJ48" i="14"/>
  <c r="AJ62" i="14" s="1"/>
  <c r="AB48" i="14"/>
  <c r="AB62" i="14" s="1"/>
  <c r="T48" i="14"/>
  <c r="T62" i="14" s="1"/>
  <c r="H790" i="13"/>
  <c r="CE65" i="13"/>
  <c r="O734" i="13"/>
  <c r="CE73" i="13"/>
  <c r="C75" i="13"/>
  <c r="D749" i="13"/>
  <c r="D762" i="13"/>
  <c r="D788" i="13"/>
  <c r="D801" i="13"/>
  <c r="G736" i="13"/>
  <c r="CE64" i="13"/>
  <c r="F522" i="13"/>
  <c r="B747" i="13"/>
  <c r="E509" i="13"/>
  <c r="B766" i="13"/>
  <c r="E528" i="13"/>
  <c r="L736" i="13"/>
  <c r="CE69" i="13"/>
  <c r="CE47" i="13"/>
  <c r="AF48" i="13"/>
  <c r="AF62" i="13" s="1"/>
  <c r="CA48" i="13"/>
  <c r="CA62" i="13" s="1"/>
  <c r="O48" i="13"/>
  <c r="O62" i="13" s="1"/>
  <c r="E746" i="13" s="1"/>
  <c r="AP48" i="13"/>
  <c r="AP62" i="13" s="1"/>
  <c r="AK48" i="13"/>
  <c r="AK62" i="13" s="1"/>
  <c r="AX48" i="13"/>
  <c r="AX62" i="13" s="1"/>
  <c r="T48" i="13"/>
  <c r="T62" i="13" s="1"/>
  <c r="AI48" i="13"/>
  <c r="AI62" i="13" s="1"/>
  <c r="O756" i="13"/>
  <c r="Y75" i="13"/>
  <c r="N756" i="13" s="1"/>
  <c r="O768" i="13"/>
  <c r="AK75" i="13"/>
  <c r="N768" i="13" s="1"/>
  <c r="B49" i="13"/>
  <c r="I52" i="13"/>
  <c r="I67" i="13" s="1"/>
  <c r="J740" i="13" s="1"/>
  <c r="Q52" i="13"/>
  <c r="Q67" i="13" s="1"/>
  <c r="J748" i="13" s="1"/>
  <c r="Y52" i="13"/>
  <c r="Y67" i="13" s="1"/>
  <c r="J756" i="13" s="1"/>
  <c r="AG52" i="13"/>
  <c r="AG67" i="13" s="1"/>
  <c r="J764" i="13" s="1"/>
  <c r="AO52" i="13"/>
  <c r="AO67" i="13" s="1"/>
  <c r="J772" i="13" s="1"/>
  <c r="AW52" i="13"/>
  <c r="AW67" i="13" s="1"/>
  <c r="J780" i="13" s="1"/>
  <c r="BE52" i="13"/>
  <c r="BE67" i="13" s="1"/>
  <c r="J788" i="13" s="1"/>
  <c r="BM52" i="13"/>
  <c r="BM67" i="13" s="1"/>
  <c r="J796" i="13" s="1"/>
  <c r="BU52" i="13"/>
  <c r="BU67" i="13" s="1"/>
  <c r="J804" i="13" s="1"/>
  <c r="CC52" i="13"/>
  <c r="CC67" i="13" s="1"/>
  <c r="J812" i="13" s="1"/>
  <c r="B752" i="13"/>
  <c r="E514" i="13"/>
  <c r="B769" i="13"/>
  <c r="E531" i="13"/>
  <c r="D755" i="13"/>
  <c r="D766" i="13"/>
  <c r="D790" i="13"/>
  <c r="D806" i="13"/>
  <c r="I815" i="13"/>
  <c r="K734" i="13"/>
  <c r="K815" i="13" s="1"/>
  <c r="CE68" i="13"/>
  <c r="O741" i="13"/>
  <c r="J75" i="13"/>
  <c r="N741" i="13" s="1"/>
  <c r="E138" i="13"/>
  <c r="C414" i="13" s="1"/>
  <c r="BY722" i="13"/>
  <c r="D229" i="13"/>
  <c r="B445" i="13" s="1"/>
  <c r="F496" i="13"/>
  <c r="F512" i="13"/>
  <c r="F535" i="13"/>
  <c r="H535" i="13"/>
  <c r="I722" i="13"/>
  <c r="D177" i="13"/>
  <c r="D434" i="13" s="1"/>
  <c r="C176" i="13"/>
  <c r="J722" i="13" s="1"/>
  <c r="J52" i="13"/>
  <c r="J67" i="13" s="1"/>
  <c r="J741" i="13" s="1"/>
  <c r="R52" i="13"/>
  <c r="R67" i="13" s="1"/>
  <c r="J749" i="13" s="1"/>
  <c r="Z52" i="13"/>
  <c r="Z67" i="13" s="1"/>
  <c r="J757" i="13" s="1"/>
  <c r="AH52" i="13"/>
  <c r="AH67" i="13" s="1"/>
  <c r="J765" i="13" s="1"/>
  <c r="AP52" i="13"/>
  <c r="AP67" i="13" s="1"/>
  <c r="J773" i="13" s="1"/>
  <c r="AX52" i="13"/>
  <c r="AX67" i="13" s="1"/>
  <c r="J781" i="13" s="1"/>
  <c r="BF52" i="13"/>
  <c r="BF67" i="13" s="1"/>
  <c r="J789" i="13" s="1"/>
  <c r="BN52" i="13"/>
  <c r="BN67" i="13" s="1"/>
  <c r="J797" i="13" s="1"/>
  <c r="BV52" i="13"/>
  <c r="BV67" i="13" s="1"/>
  <c r="J805" i="13" s="1"/>
  <c r="B755" i="13"/>
  <c r="E517" i="13"/>
  <c r="C815" i="13"/>
  <c r="CE60" i="13"/>
  <c r="CE74" i="13"/>
  <c r="C464" i="13" s="1"/>
  <c r="AI726" i="13"/>
  <c r="E139" i="13"/>
  <c r="C415" i="13" s="1"/>
  <c r="D368" i="13"/>
  <c r="D373" i="13" s="1"/>
  <c r="D391" i="13" s="1"/>
  <c r="D393" i="13" s="1"/>
  <c r="D396" i="13" s="1"/>
  <c r="H532" i="13"/>
  <c r="F532" i="13"/>
  <c r="B748" i="13"/>
  <c r="E510" i="13"/>
  <c r="C52" i="13"/>
  <c r="K52" i="13"/>
  <c r="K67" i="13" s="1"/>
  <c r="J742" i="13" s="1"/>
  <c r="S52" i="13"/>
  <c r="S67" i="13" s="1"/>
  <c r="J750" i="13" s="1"/>
  <c r="AA52" i="13"/>
  <c r="AA67" i="13" s="1"/>
  <c r="J758" i="13" s="1"/>
  <c r="AI52" i="13"/>
  <c r="AI67" i="13" s="1"/>
  <c r="J766" i="13" s="1"/>
  <c r="AQ52" i="13"/>
  <c r="AQ67" i="13" s="1"/>
  <c r="J774" i="13" s="1"/>
  <c r="AY52" i="13"/>
  <c r="AY67" i="13" s="1"/>
  <c r="J782" i="13" s="1"/>
  <c r="BG52" i="13"/>
  <c r="BG67" i="13" s="1"/>
  <c r="J790" i="13" s="1"/>
  <c r="BO52" i="13"/>
  <c r="BO67" i="13" s="1"/>
  <c r="J798" i="13" s="1"/>
  <c r="BW52" i="13"/>
  <c r="BW67" i="13" s="1"/>
  <c r="J806" i="13" s="1"/>
  <c r="B756" i="13"/>
  <c r="E518" i="13"/>
  <c r="D757" i="13"/>
  <c r="D779" i="13"/>
  <c r="R816" i="13"/>
  <c r="I612" i="13"/>
  <c r="AZ722" i="13"/>
  <c r="C217" i="13"/>
  <c r="D433" i="13" s="1"/>
  <c r="BO722" i="13"/>
  <c r="E215" i="13"/>
  <c r="B473" i="13"/>
  <c r="D52" i="13"/>
  <c r="D67" i="13" s="1"/>
  <c r="J735" i="13" s="1"/>
  <c r="T52" i="13"/>
  <c r="T67" i="13" s="1"/>
  <c r="J751" i="13" s="1"/>
  <c r="AJ52" i="13"/>
  <c r="AJ67" i="13" s="1"/>
  <c r="J767" i="13" s="1"/>
  <c r="BH52" i="13"/>
  <c r="BH67" i="13" s="1"/>
  <c r="J791" i="13" s="1"/>
  <c r="BX52" i="13"/>
  <c r="BX67" i="13" s="1"/>
  <c r="J807" i="13" s="1"/>
  <c r="B734" i="13"/>
  <c r="D415" i="13"/>
  <c r="B760" i="13"/>
  <c r="E522" i="13"/>
  <c r="D758" i="13"/>
  <c r="D795" i="13"/>
  <c r="O748" i="13"/>
  <c r="Q75" i="13"/>
  <c r="N748" i="13" s="1"/>
  <c r="AL75" i="13"/>
  <c r="N769" i="13" s="1"/>
  <c r="S779" i="13"/>
  <c r="CE79" i="13"/>
  <c r="C468" i="13"/>
  <c r="H506" i="13"/>
  <c r="F506" i="13"/>
  <c r="D789" i="13"/>
  <c r="D805" i="13"/>
  <c r="O736" i="13"/>
  <c r="E75" i="13"/>
  <c r="N736" i="13" s="1"/>
  <c r="O757" i="13"/>
  <c r="Z75" i="13"/>
  <c r="N757" i="13" s="1"/>
  <c r="CD722" i="13"/>
  <c r="B444" i="13"/>
  <c r="L52" i="13"/>
  <c r="L67" i="13" s="1"/>
  <c r="J743" i="13" s="1"/>
  <c r="AB52" i="13"/>
  <c r="AB67" i="13" s="1"/>
  <c r="J759" i="13" s="1"/>
  <c r="AR52" i="13"/>
  <c r="AR67" i="13" s="1"/>
  <c r="J775" i="13" s="1"/>
  <c r="BP52" i="13"/>
  <c r="BP67" i="13" s="1"/>
  <c r="J799" i="13" s="1"/>
  <c r="D782" i="13"/>
  <c r="D810" i="13"/>
  <c r="E52" i="13"/>
  <c r="E67" i="13" s="1"/>
  <c r="J736" i="13" s="1"/>
  <c r="M52" i="13"/>
  <c r="M67" i="13" s="1"/>
  <c r="J744" i="13" s="1"/>
  <c r="U52" i="13"/>
  <c r="U67" i="13" s="1"/>
  <c r="J752" i="13" s="1"/>
  <c r="AC52" i="13"/>
  <c r="AC67" i="13" s="1"/>
  <c r="J760" i="13" s="1"/>
  <c r="AK52" i="13"/>
  <c r="AK67" i="13" s="1"/>
  <c r="J768" i="13" s="1"/>
  <c r="AS52" i="13"/>
  <c r="AS67" i="13" s="1"/>
  <c r="J776" i="13" s="1"/>
  <c r="BA52" i="13"/>
  <c r="BA67" i="13" s="1"/>
  <c r="J784" i="13" s="1"/>
  <c r="BI52" i="13"/>
  <c r="BI67" i="13" s="1"/>
  <c r="J792" i="13" s="1"/>
  <c r="BQ52" i="13"/>
  <c r="BQ67" i="13" s="1"/>
  <c r="J800" i="13" s="1"/>
  <c r="BY52" i="13"/>
  <c r="BY67" i="13" s="1"/>
  <c r="J808" i="13" s="1"/>
  <c r="B736" i="13"/>
  <c r="E498" i="13"/>
  <c r="B762" i="13"/>
  <c r="E524" i="13"/>
  <c r="D797" i="13"/>
  <c r="CE61" i="13"/>
  <c r="BD48" i="13" s="1"/>
  <c r="BD62" i="13" s="1"/>
  <c r="B768" i="13"/>
  <c r="E530" i="13"/>
  <c r="AZ52" i="13"/>
  <c r="AZ67" i="13" s="1"/>
  <c r="J783" i="13" s="1"/>
  <c r="F52" i="13"/>
  <c r="F67" i="13" s="1"/>
  <c r="J737" i="13" s="1"/>
  <c r="N52" i="13"/>
  <c r="N67" i="13" s="1"/>
  <c r="J745" i="13" s="1"/>
  <c r="V52" i="13"/>
  <c r="V67" i="13" s="1"/>
  <c r="J753" i="13" s="1"/>
  <c r="AD52" i="13"/>
  <c r="AD67" i="13" s="1"/>
  <c r="J761" i="13" s="1"/>
  <c r="AL52" i="13"/>
  <c r="AL67" i="13" s="1"/>
  <c r="J769" i="13" s="1"/>
  <c r="AT52" i="13"/>
  <c r="AT67" i="13" s="1"/>
  <c r="J777" i="13" s="1"/>
  <c r="BB52" i="13"/>
  <c r="BB67" i="13" s="1"/>
  <c r="J785" i="13" s="1"/>
  <c r="BJ52" i="13"/>
  <c r="BJ67" i="13" s="1"/>
  <c r="J793" i="13" s="1"/>
  <c r="BR52" i="13"/>
  <c r="BR67" i="13" s="1"/>
  <c r="J801" i="13" s="1"/>
  <c r="B746" i="13"/>
  <c r="E508" i="13"/>
  <c r="B764" i="13"/>
  <c r="E526" i="13"/>
  <c r="D747" i="13"/>
  <c r="D815" i="13" s="1"/>
  <c r="D787" i="13"/>
  <c r="G815" i="13"/>
  <c r="CE66" i="13"/>
  <c r="AE75" i="13"/>
  <c r="N762" i="13" s="1"/>
  <c r="T779" i="13"/>
  <c r="CE80" i="13"/>
  <c r="D435" i="13"/>
  <c r="B465" i="13"/>
  <c r="F499" i="13"/>
  <c r="H499" i="13"/>
  <c r="F521" i="13"/>
  <c r="F538" i="13"/>
  <c r="H538" i="13"/>
  <c r="F550" i="13"/>
  <c r="F500" i="13"/>
  <c r="H504" i="13"/>
  <c r="H507" i="13"/>
  <c r="F524" i="13"/>
  <c r="H540" i="13"/>
  <c r="F540" i="13"/>
  <c r="P816" i="13"/>
  <c r="D612" i="13"/>
  <c r="D314" i="13"/>
  <c r="D339" i="13" s="1"/>
  <c r="C482" i="13" s="1"/>
  <c r="O817" i="13"/>
  <c r="BJ730" i="13"/>
  <c r="L817" i="13"/>
  <c r="CC730" i="13"/>
  <c r="C458" i="13"/>
  <c r="B470" i="13"/>
  <c r="F518" i="13"/>
  <c r="F544" i="13"/>
  <c r="S815" i="13"/>
  <c r="F815" i="13"/>
  <c r="AB75" i="13"/>
  <c r="N759" i="13" s="1"/>
  <c r="Q816" i="13"/>
  <c r="G612" i="13"/>
  <c r="D236" i="13"/>
  <c r="B446" i="13" s="1"/>
  <c r="D275" i="13"/>
  <c r="B471" i="13"/>
  <c r="F527" i="13"/>
  <c r="H527" i="13"/>
  <c r="CE63" i="13"/>
  <c r="L815" i="13"/>
  <c r="U75" i="13"/>
  <c r="N752" i="13" s="1"/>
  <c r="AC75" i="13"/>
  <c r="N760" i="13" s="1"/>
  <c r="CF77" i="13"/>
  <c r="E141" i="13"/>
  <c r="D463" i="13" s="1"/>
  <c r="D465" i="13" s="1"/>
  <c r="E200" i="13"/>
  <c r="C473" i="13" s="1"/>
  <c r="E213" i="13"/>
  <c r="E217" i="13" s="1"/>
  <c r="C478" i="13" s="1"/>
  <c r="B463" i="13"/>
  <c r="F498" i="13"/>
  <c r="C439" i="13"/>
  <c r="B454" i="13"/>
  <c r="H815" i="13"/>
  <c r="M815" i="13"/>
  <c r="P815" i="13"/>
  <c r="R815" i="13"/>
  <c r="T815" i="13"/>
  <c r="CG75" i="15" l="1"/>
  <c r="CI75" i="16"/>
  <c r="C464" i="15"/>
  <c r="CH74" i="15"/>
  <c r="I377" i="9"/>
  <c r="G142" i="15"/>
  <c r="N750" i="15"/>
  <c r="E90" i="9"/>
  <c r="N756" i="15"/>
  <c r="D122" i="9"/>
  <c r="N742" i="15"/>
  <c r="D58" i="9"/>
  <c r="N764" i="15"/>
  <c r="E154" i="9"/>
  <c r="O816" i="15"/>
  <c r="CH73" i="15"/>
  <c r="I376" i="9"/>
  <c r="N774" i="15"/>
  <c r="H186" i="9"/>
  <c r="N748" i="15"/>
  <c r="C90" i="9"/>
  <c r="D465" i="16"/>
  <c r="D465" i="15"/>
  <c r="C473" i="15"/>
  <c r="F12" i="6"/>
  <c r="C469" i="15"/>
  <c r="F8" i="6"/>
  <c r="F13" i="6"/>
  <c r="C470" i="15"/>
  <c r="F9" i="6"/>
  <c r="B448" i="15"/>
  <c r="L816" i="15"/>
  <c r="CH69" i="15"/>
  <c r="M816" i="15"/>
  <c r="CH70" i="15"/>
  <c r="K816" i="15"/>
  <c r="CH68" i="15"/>
  <c r="C430" i="15"/>
  <c r="CH64" i="15"/>
  <c r="F381" i="15"/>
  <c r="F382" i="15"/>
  <c r="CH65" i="15"/>
  <c r="C429" i="15"/>
  <c r="CH63" i="15"/>
  <c r="F380" i="15"/>
  <c r="E204" i="15"/>
  <c r="CE48" i="16"/>
  <c r="J784" i="16"/>
  <c r="BA71" i="16"/>
  <c r="AC52" i="16"/>
  <c r="AC67" i="16" s="1"/>
  <c r="N816" i="16"/>
  <c r="C465" i="16"/>
  <c r="K612" i="16"/>
  <c r="E735" i="16"/>
  <c r="E815" i="16" s="1"/>
  <c r="U52" i="16"/>
  <c r="U67" i="16" s="1"/>
  <c r="CE62" i="16"/>
  <c r="BY52" i="16"/>
  <c r="BY67" i="16" s="1"/>
  <c r="M52" i="16"/>
  <c r="M67" i="16" s="1"/>
  <c r="BQ52" i="16"/>
  <c r="BQ67" i="16" s="1"/>
  <c r="E52" i="16"/>
  <c r="E67" i="16" s="1"/>
  <c r="AK52" i="16"/>
  <c r="AK67" i="16" s="1"/>
  <c r="BI52" i="16"/>
  <c r="BI67" i="16" s="1"/>
  <c r="CC52" i="16"/>
  <c r="CC67" i="16" s="1"/>
  <c r="BU52" i="16"/>
  <c r="BU67" i="16" s="1"/>
  <c r="BM52" i="16"/>
  <c r="BM67" i="16" s="1"/>
  <c r="BE52" i="16"/>
  <c r="BE67" i="16" s="1"/>
  <c r="AW52" i="16"/>
  <c r="AW67" i="16" s="1"/>
  <c r="AO52" i="16"/>
  <c r="AO67" i="16" s="1"/>
  <c r="AG52" i="16"/>
  <c r="AG67" i="16" s="1"/>
  <c r="Y52" i="16"/>
  <c r="Y67" i="16" s="1"/>
  <c r="Q52" i="16"/>
  <c r="Q67" i="16" s="1"/>
  <c r="I52" i="16"/>
  <c r="I67" i="16" s="1"/>
  <c r="AX52" i="16"/>
  <c r="AX67" i="16" s="1"/>
  <c r="CB52" i="16"/>
  <c r="CB67" i="16" s="1"/>
  <c r="BT52" i="16"/>
  <c r="BT67" i="16" s="1"/>
  <c r="BL52" i="16"/>
  <c r="BL67" i="16" s="1"/>
  <c r="BD52" i="16"/>
  <c r="BD67" i="16" s="1"/>
  <c r="AV52" i="16"/>
  <c r="AV67" i="16" s="1"/>
  <c r="AN52" i="16"/>
  <c r="AN67" i="16" s="1"/>
  <c r="AF52" i="16"/>
  <c r="AF67" i="16" s="1"/>
  <c r="X52" i="16"/>
  <c r="X67" i="16" s="1"/>
  <c r="P52" i="16"/>
  <c r="P67" i="16" s="1"/>
  <c r="H52" i="16"/>
  <c r="H67" i="16" s="1"/>
  <c r="J52" i="16"/>
  <c r="J67" i="16" s="1"/>
  <c r="CA52" i="16"/>
  <c r="CA67" i="16" s="1"/>
  <c r="BS52" i="16"/>
  <c r="BS67" i="16" s="1"/>
  <c r="BK52" i="16"/>
  <c r="BK67" i="16" s="1"/>
  <c r="BC52" i="16"/>
  <c r="BC67" i="16" s="1"/>
  <c r="AU52" i="16"/>
  <c r="AU67" i="16" s="1"/>
  <c r="AM52" i="16"/>
  <c r="AM67" i="16" s="1"/>
  <c r="AE52" i="16"/>
  <c r="AE67" i="16" s="1"/>
  <c r="W52" i="16"/>
  <c r="W67" i="16" s="1"/>
  <c r="O52" i="16"/>
  <c r="O67" i="16" s="1"/>
  <c r="G52" i="16"/>
  <c r="G67" i="16" s="1"/>
  <c r="BZ52" i="16"/>
  <c r="BZ67" i="16" s="1"/>
  <c r="BR52" i="16"/>
  <c r="BR67" i="16" s="1"/>
  <c r="BJ52" i="16"/>
  <c r="BJ67" i="16" s="1"/>
  <c r="BB52" i="16"/>
  <c r="BB67" i="16" s="1"/>
  <c r="AT52" i="16"/>
  <c r="AT67" i="16" s="1"/>
  <c r="AL52" i="16"/>
  <c r="AL67" i="16" s="1"/>
  <c r="AD52" i="16"/>
  <c r="AD67" i="16" s="1"/>
  <c r="V52" i="16"/>
  <c r="V67" i="16" s="1"/>
  <c r="N52" i="16"/>
  <c r="N67" i="16" s="1"/>
  <c r="F52" i="16"/>
  <c r="F67" i="16" s="1"/>
  <c r="BF52" i="16"/>
  <c r="BF67" i="16" s="1"/>
  <c r="Z52" i="16"/>
  <c r="Z67" i="16" s="1"/>
  <c r="BN52" i="16"/>
  <c r="BN67" i="16" s="1"/>
  <c r="AH52" i="16"/>
  <c r="AH67" i="16" s="1"/>
  <c r="BX52" i="16"/>
  <c r="BX67" i="16" s="1"/>
  <c r="BP52" i="16"/>
  <c r="BP67" i="16" s="1"/>
  <c r="BH52" i="16"/>
  <c r="BH67" i="16" s="1"/>
  <c r="AZ52" i="16"/>
  <c r="AZ67" i="16" s="1"/>
  <c r="AR52" i="16"/>
  <c r="AR67" i="16" s="1"/>
  <c r="AJ52" i="16"/>
  <c r="AJ67" i="16" s="1"/>
  <c r="AB52" i="16"/>
  <c r="AB67" i="16" s="1"/>
  <c r="T52" i="16"/>
  <c r="T67" i="16" s="1"/>
  <c r="L52" i="16"/>
  <c r="L67" i="16" s="1"/>
  <c r="D52" i="16"/>
  <c r="D67" i="16" s="1"/>
  <c r="J735" i="16" s="1"/>
  <c r="R52" i="16"/>
  <c r="R67" i="16" s="1"/>
  <c r="BW52" i="16"/>
  <c r="BW67" i="16" s="1"/>
  <c r="BO52" i="16"/>
  <c r="BO67" i="16" s="1"/>
  <c r="BG52" i="16"/>
  <c r="BG67" i="16" s="1"/>
  <c r="AY52" i="16"/>
  <c r="AY67" i="16" s="1"/>
  <c r="AQ52" i="16"/>
  <c r="AQ67" i="16" s="1"/>
  <c r="AI52" i="16"/>
  <c r="AI67" i="16" s="1"/>
  <c r="AA52" i="16"/>
  <c r="AA67" i="16" s="1"/>
  <c r="S52" i="16"/>
  <c r="S67" i="16" s="1"/>
  <c r="K52" i="16"/>
  <c r="K67" i="16" s="1"/>
  <c r="C52" i="16"/>
  <c r="BV52" i="16"/>
  <c r="BV67" i="16" s="1"/>
  <c r="AP52" i="16"/>
  <c r="AP67" i="16" s="1"/>
  <c r="AS52" i="16"/>
  <c r="AS67" i="16" s="1"/>
  <c r="O815" i="15"/>
  <c r="C434" i="15"/>
  <c r="H816" i="15"/>
  <c r="G816" i="15"/>
  <c r="F612" i="15"/>
  <c r="AN48" i="15"/>
  <c r="AN62" i="15" s="1"/>
  <c r="E771" i="15" s="1"/>
  <c r="AR48" i="15"/>
  <c r="AR62" i="15" s="1"/>
  <c r="E775" i="15" s="1"/>
  <c r="AO48" i="15"/>
  <c r="AO62" i="15" s="1"/>
  <c r="E772" i="15" s="1"/>
  <c r="BU48" i="15"/>
  <c r="BU62" i="15" s="1"/>
  <c r="E804" i="15" s="1"/>
  <c r="D816" i="15"/>
  <c r="X48" i="15"/>
  <c r="X62" i="15" s="1"/>
  <c r="AB48" i="15"/>
  <c r="AB62" i="15" s="1"/>
  <c r="AW48" i="15"/>
  <c r="AW62" i="15" s="1"/>
  <c r="E780" i="15" s="1"/>
  <c r="BN48" i="15"/>
  <c r="BN62" i="15" s="1"/>
  <c r="E797" i="15" s="1"/>
  <c r="G48" i="15"/>
  <c r="G62" i="15" s="1"/>
  <c r="E738" i="15" s="1"/>
  <c r="BX48" i="15"/>
  <c r="BX62" i="15" s="1"/>
  <c r="L48" i="15"/>
  <c r="L62" i="15" s="1"/>
  <c r="BR48" i="15"/>
  <c r="BR62" i="15" s="1"/>
  <c r="E801" i="15" s="1"/>
  <c r="N48" i="15"/>
  <c r="N62" i="15" s="1"/>
  <c r="E745" i="15" s="1"/>
  <c r="BC48" i="15"/>
  <c r="BC62" i="15" s="1"/>
  <c r="E786" i="15" s="1"/>
  <c r="W48" i="15"/>
  <c r="W62" i="15" s="1"/>
  <c r="E754" i="15" s="1"/>
  <c r="T816" i="15"/>
  <c r="C463" i="15"/>
  <c r="CE75" i="15"/>
  <c r="F386" i="15"/>
  <c r="C440" i="15"/>
  <c r="C458" i="15"/>
  <c r="I816" i="15"/>
  <c r="C432" i="15"/>
  <c r="F383" i="15"/>
  <c r="F816" i="15"/>
  <c r="BB52" i="15"/>
  <c r="BB67" i="15" s="1"/>
  <c r="J785" i="15" s="1"/>
  <c r="BM52" i="15"/>
  <c r="BM67" i="15" s="1"/>
  <c r="J796" i="15" s="1"/>
  <c r="V52" i="15"/>
  <c r="V67" i="15" s="1"/>
  <c r="AW52" i="15"/>
  <c r="AW67" i="15" s="1"/>
  <c r="AO52" i="15"/>
  <c r="AO67" i="15" s="1"/>
  <c r="J772" i="15" s="1"/>
  <c r="BV52" i="15"/>
  <c r="BV67" i="15" s="1"/>
  <c r="J805" i="15" s="1"/>
  <c r="AG52" i="15"/>
  <c r="AG67" i="15" s="1"/>
  <c r="J764" i="15" s="1"/>
  <c r="AP52" i="15"/>
  <c r="AP67" i="15" s="1"/>
  <c r="J773" i="15" s="1"/>
  <c r="J52" i="15"/>
  <c r="J67" i="15" s="1"/>
  <c r="J741" i="15" s="1"/>
  <c r="BE52" i="15"/>
  <c r="BE67" i="15" s="1"/>
  <c r="E809" i="15"/>
  <c r="E773" i="15"/>
  <c r="CC48" i="15"/>
  <c r="CC62" i="15" s="1"/>
  <c r="E812" i="15" s="1"/>
  <c r="M48" i="15"/>
  <c r="M62" i="15" s="1"/>
  <c r="BA48" i="15"/>
  <c r="BA62" i="15" s="1"/>
  <c r="J48" i="15"/>
  <c r="J62" i="15" s="1"/>
  <c r="F48" i="15"/>
  <c r="F62" i="15" s="1"/>
  <c r="U48" i="15"/>
  <c r="U62" i="15" s="1"/>
  <c r="AH48" i="15"/>
  <c r="AH62" i="15" s="1"/>
  <c r="E805" i="15"/>
  <c r="BY48" i="15"/>
  <c r="BY62" i="15" s="1"/>
  <c r="Y48" i="15"/>
  <c r="Y62" i="15" s="1"/>
  <c r="BM48" i="15"/>
  <c r="BM62" i="15" s="1"/>
  <c r="E48" i="15"/>
  <c r="E62" i="15" s="1"/>
  <c r="R48" i="15"/>
  <c r="R62" i="15" s="1"/>
  <c r="AG48" i="15"/>
  <c r="AG62" i="15" s="1"/>
  <c r="AU48" i="15"/>
  <c r="AU62" i="15" s="1"/>
  <c r="C816" i="15"/>
  <c r="AL48" i="15"/>
  <c r="AL62" i="15" s="1"/>
  <c r="BJ48" i="15"/>
  <c r="BJ62" i="15" s="1"/>
  <c r="Q48" i="15"/>
  <c r="Q62" i="15" s="1"/>
  <c r="AE48" i="15"/>
  <c r="AE62" i="15" s="1"/>
  <c r="AT48" i="15"/>
  <c r="AT62" i="15" s="1"/>
  <c r="BI48" i="15"/>
  <c r="BI62" i="15" s="1"/>
  <c r="E760" i="15"/>
  <c r="AX48" i="15"/>
  <c r="AX62" i="15" s="1"/>
  <c r="O48" i="15"/>
  <c r="O62" i="15" s="1"/>
  <c r="AD48" i="15"/>
  <c r="AD62" i="15" s="1"/>
  <c r="AS48" i="15"/>
  <c r="AS62" i="15" s="1"/>
  <c r="BF48" i="15"/>
  <c r="BF62" i="15" s="1"/>
  <c r="E789" i="15" s="1"/>
  <c r="BI730" i="15"/>
  <c r="E739" i="15"/>
  <c r="E783" i="15"/>
  <c r="BU52" i="15"/>
  <c r="BU67" i="15" s="1"/>
  <c r="I52" i="15"/>
  <c r="I67" i="15" s="1"/>
  <c r="J740" i="15" s="1"/>
  <c r="E750" i="15"/>
  <c r="AD52" i="15"/>
  <c r="AD67" i="15" s="1"/>
  <c r="J761" i="15" s="1"/>
  <c r="E779" i="15"/>
  <c r="R52" i="15"/>
  <c r="R67" i="15" s="1"/>
  <c r="J749" i="15" s="1"/>
  <c r="E759" i="15"/>
  <c r="E742" i="15"/>
  <c r="E751" i="15"/>
  <c r="E798" i="15"/>
  <c r="C62" i="15"/>
  <c r="N52" i="15"/>
  <c r="N67" i="15" s="1"/>
  <c r="E763" i="15"/>
  <c r="BN52" i="15"/>
  <c r="BN67" i="15" s="1"/>
  <c r="J797" i="15" s="1"/>
  <c r="E807" i="15"/>
  <c r="E743" i="15"/>
  <c r="E790" i="15"/>
  <c r="BR52" i="15"/>
  <c r="BR67" i="15" s="1"/>
  <c r="J801" i="15" s="1"/>
  <c r="F52" i="15"/>
  <c r="F67" i="15" s="1"/>
  <c r="J737" i="15" s="1"/>
  <c r="BF52" i="15"/>
  <c r="BF67" i="15" s="1"/>
  <c r="J789" i="15" s="1"/>
  <c r="E799" i="15"/>
  <c r="E735" i="15"/>
  <c r="BZ52" i="15"/>
  <c r="BZ67" i="15" s="1"/>
  <c r="J809" i="15" s="1"/>
  <c r="E806" i="15"/>
  <c r="E782" i="15"/>
  <c r="BJ52" i="15"/>
  <c r="BJ67" i="15" s="1"/>
  <c r="J793" i="15" s="1"/>
  <c r="E811" i="15"/>
  <c r="E747" i="15"/>
  <c r="E791" i="15"/>
  <c r="E774" i="15"/>
  <c r="CB52" i="15"/>
  <c r="CB67" i="15" s="1"/>
  <c r="J811" i="15" s="1"/>
  <c r="BT52" i="15"/>
  <c r="BT67" i="15" s="1"/>
  <c r="J803" i="15" s="1"/>
  <c r="BL52" i="15"/>
  <c r="BL67" i="15" s="1"/>
  <c r="J795" i="15" s="1"/>
  <c r="BD52" i="15"/>
  <c r="BD67" i="15" s="1"/>
  <c r="J787" i="15" s="1"/>
  <c r="AV52" i="15"/>
  <c r="AV67" i="15" s="1"/>
  <c r="J779" i="15" s="1"/>
  <c r="AN52" i="15"/>
  <c r="AN67" i="15" s="1"/>
  <c r="J771" i="15" s="1"/>
  <c r="AF52" i="15"/>
  <c r="AF67" i="15" s="1"/>
  <c r="J763" i="15" s="1"/>
  <c r="X52" i="15"/>
  <c r="X67" i="15" s="1"/>
  <c r="J755" i="15" s="1"/>
  <c r="P52" i="15"/>
  <c r="P67" i="15" s="1"/>
  <c r="J747" i="15" s="1"/>
  <c r="H52" i="15"/>
  <c r="H67" i="15" s="1"/>
  <c r="J739" i="15" s="1"/>
  <c r="CA52" i="15"/>
  <c r="CA67" i="15" s="1"/>
  <c r="J810" i="15" s="1"/>
  <c r="BS52" i="15"/>
  <c r="BS67" i="15" s="1"/>
  <c r="J802" i="15" s="1"/>
  <c r="BK52" i="15"/>
  <c r="BK67" i="15" s="1"/>
  <c r="J794" i="15" s="1"/>
  <c r="BC52" i="15"/>
  <c r="BC67" i="15" s="1"/>
  <c r="J786" i="15" s="1"/>
  <c r="AU52" i="15"/>
  <c r="AU67" i="15" s="1"/>
  <c r="J778" i="15" s="1"/>
  <c r="AM52" i="15"/>
  <c r="AM67" i="15" s="1"/>
  <c r="J770" i="15" s="1"/>
  <c r="AE52" i="15"/>
  <c r="AE67" i="15" s="1"/>
  <c r="J762" i="15" s="1"/>
  <c r="W52" i="15"/>
  <c r="W67" i="15" s="1"/>
  <c r="J754" i="15" s="1"/>
  <c r="O52" i="15"/>
  <c r="O67" i="15" s="1"/>
  <c r="J746" i="15" s="1"/>
  <c r="G52" i="15"/>
  <c r="G67" i="15" s="1"/>
  <c r="J738" i="15" s="1"/>
  <c r="BY52" i="15"/>
  <c r="BY67" i="15" s="1"/>
  <c r="J808" i="15" s="1"/>
  <c r="BQ52" i="15"/>
  <c r="BQ67" i="15" s="1"/>
  <c r="BI52" i="15"/>
  <c r="BI67" i="15" s="1"/>
  <c r="J792" i="15" s="1"/>
  <c r="BA52" i="15"/>
  <c r="BA67" i="15" s="1"/>
  <c r="J784" i="15" s="1"/>
  <c r="AS52" i="15"/>
  <c r="AS67" i="15" s="1"/>
  <c r="J776" i="15" s="1"/>
  <c r="AK52" i="15"/>
  <c r="AK67" i="15" s="1"/>
  <c r="J768" i="15" s="1"/>
  <c r="AC52" i="15"/>
  <c r="AC67" i="15" s="1"/>
  <c r="J760" i="15" s="1"/>
  <c r="U52" i="15"/>
  <c r="U67" i="15" s="1"/>
  <c r="J752" i="15" s="1"/>
  <c r="M52" i="15"/>
  <c r="M67" i="15" s="1"/>
  <c r="J744" i="15" s="1"/>
  <c r="E52" i="15"/>
  <c r="E67" i="15" s="1"/>
  <c r="J736" i="15" s="1"/>
  <c r="BX52" i="15"/>
  <c r="BX67" i="15" s="1"/>
  <c r="J807" i="15" s="1"/>
  <c r="BP52" i="15"/>
  <c r="BP67" i="15" s="1"/>
  <c r="J799" i="15" s="1"/>
  <c r="BH52" i="15"/>
  <c r="BH67" i="15" s="1"/>
  <c r="J791" i="15" s="1"/>
  <c r="AZ52" i="15"/>
  <c r="AZ67" i="15" s="1"/>
  <c r="J783" i="15" s="1"/>
  <c r="AR52" i="15"/>
  <c r="AR67" i="15" s="1"/>
  <c r="J775" i="15" s="1"/>
  <c r="AJ52" i="15"/>
  <c r="AJ67" i="15" s="1"/>
  <c r="J767" i="15" s="1"/>
  <c r="AB52" i="15"/>
  <c r="AB67" i="15" s="1"/>
  <c r="J759" i="15" s="1"/>
  <c r="T52" i="15"/>
  <c r="T67" i="15" s="1"/>
  <c r="J751" i="15" s="1"/>
  <c r="L52" i="15"/>
  <c r="L67" i="15" s="1"/>
  <c r="J743" i="15" s="1"/>
  <c r="D52" i="15"/>
  <c r="D67" i="15" s="1"/>
  <c r="J735" i="15" s="1"/>
  <c r="BW52" i="15"/>
  <c r="BW67" i="15" s="1"/>
  <c r="J806" i="15" s="1"/>
  <c r="BO52" i="15"/>
  <c r="BO67" i="15" s="1"/>
  <c r="J798" i="15" s="1"/>
  <c r="BG52" i="15"/>
  <c r="BG67" i="15" s="1"/>
  <c r="J790" i="15" s="1"/>
  <c r="AY52" i="15"/>
  <c r="AY67" i="15" s="1"/>
  <c r="J782" i="15" s="1"/>
  <c r="AQ52" i="15"/>
  <c r="AQ67" i="15" s="1"/>
  <c r="J774" i="15" s="1"/>
  <c r="AI52" i="15"/>
  <c r="AI67" i="15" s="1"/>
  <c r="J766" i="15" s="1"/>
  <c r="AA52" i="15"/>
  <c r="AA67" i="15" s="1"/>
  <c r="J758" i="15" s="1"/>
  <c r="S52" i="15"/>
  <c r="S67" i="15" s="1"/>
  <c r="J750" i="15" s="1"/>
  <c r="K52" i="15"/>
  <c r="K67" i="15" s="1"/>
  <c r="J742" i="15" s="1"/>
  <c r="C52" i="15"/>
  <c r="Y52" i="15"/>
  <c r="Y67" i="15" s="1"/>
  <c r="J756" i="15" s="1"/>
  <c r="E766" i="15"/>
  <c r="AT52" i="15"/>
  <c r="AT67" i="15" s="1"/>
  <c r="J777" i="15" s="1"/>
  <c r="E795" i="15"/>
  <c r="AH52" i="15"/>
  <c r="AH67" i="15" s="1"/>
  <c r="J765" i="15" s="1"/>
  <c r="E803" i="15"/>
  <c r="BT71" i="15"/>
  <c r="CC52" i="15"/>
  <c r="CC67" i="15" s="1"/>
  <c r="J812" i="15" s="1"/>
  <c r="Q52" i="15"/>
  <c r="Q67" i="15" s="1"/>
  <c r="J748" i="15" s="1"/>
  <c r="E758" i="15"/>
  <c r="AA71" i="15"/>
  <c r="AL52" i="15"/>
  <c r="AL67" i="15" s="1"/>
  <c r="J769" i="15" s="1"/>
  <c r="E787" i="15"/>
  <c r="Z52" i="15"/>
  <c r="Z67" i="15" s="1"/>
  <c r="E767" i="15"/>
  <c r="BH71" i="14"/>
  <c r="E791" i="14"/>
  <c r="BL71" i="14"/>
  <c r="E795" i="14"/>
  <c r="AV71" i="14"/>
  <c r="E779" i="14"/>
  <c r="U71" i="14"/>
  <c r="E752" i="14"/>
  <c r="BU71" i="14"/>
  <c r="E804" i="14"/>
  <c r="CC71" i="14"/>
  <c r="E812" i="14"/>
  <c r="T71" i="14"/>
  <c r="E751" i="14"/>
  <c r="E71" i="14"/>
  <c r="E736" i="14"/>
  <c r="BQ71" i="14"/>
  <c r="E800" i="14"/>
  <c r="AL71" i="14"/>
  <c r="E769" i="14"/>
  <c r="G71" i="14"/>
  <c r="E738" i="14"/>
  <c r="BS71" i="14"/>
  <c r="E802" i="14"/>
  <c r="X71" i="14"/>
  <c r="E755" i="14"/>
  <c r="Z71" i="14"/>
  <c r="E757" i="14"/>
  <c r="AY71" i="14"/>
  <c r="E782" i="14"/>
  <c r="L71" i="14"/>
  <c r="AB71" i="14"/>
  <c r="E759" i="14"/>
  <c r="M71" i="14"/>
  <c r="E744" i="14"/>
  <c r="AT71" i="14"/>
  <c r="E777" i="14"/>
  <c r="O71" i="14"/>
  <c r="E746" i="14"/>
  <c r="CA71" i="14"/>
  <c r="E810" i="14"/>
  <c r="AF71" i="14"/>
  <c r="E763" i="14"/>
  <c r="AH71" i="14"/>
  <c r="E765" i="14"/>
  <c r="BG71" i="14"/>
  <c r="E790" i="14"/>
  <c r="D71" i="14"/>
  <c r="C522" i="14"/>
  <c r="G522" i="14" s="1"/>
  <c r="C694" i="14"/>
  <c r="AX71" i="14"/>
  <c r="E781" i="14"/>
  <c r="AZ71" i="14"/>
  <c r="E783" i="14"/>
  <c r="F71" i="14"/>
  <c r="E737" i="14"/>
  <c r="BR71" i="14"/>
  <c r="E801" i="14"/>
  <c r="AM71" i="14"/>
  <c r="E770" i="14"/>
  <c r="BD71" i="14"/>
  <c r="E787" i="14"/>
  <c r="BF71" i="14"/>
  <c r="E789" i="14"/>
  <c r="S71" i="14"/>
  <c r="E750" i="14"/>
  <c r="C473" i="14"/>
  <c r="AJ71" i="14"/>
  <c r="E767" i="14"/>
  <c r="CE52" i="14"/>
  <c r="C67" i="14"/>
  <c r="K71" i="14"/>
  <c r="E742" i="14"/>
  <c r="BE71" i="14"/>
  <c r="AS71" i="14"/>
  <c r="E776" i="14"/>
  <c r="N71" i="14"/>
  <c r="E745" i="14"/>
  <c r="BZ71" i="14"/>
  <c r="E809" i="14"/>
  <c r="AU71" i="14"/>
  <c r="E778" i="14"/>
  <c r="BN71" i="14"/>
  <c r="E797" i="14"/>
  <c r="AA71" i="14"/>
  <c r="E758" i="14"/>
  <c r="Y71" i="14"/>
  <c r="BM71" i="14"/>
  <c r="BB71" i="14"/>
  <c r="E785" i="14"/>
  <c r="AN71" i="14"/>
  <c r="E771" i="14"/>
  <c r="AP71" i="14"/>
  <c r="E773" i="14"/>
  <c r="BO71" i="14"/>
  <c r="E798" i="14"/>
  <c r="AE71" i="14"/>
  <c r="E762" i="14"/>
  <c r="Q71" i="14"/>
  <c r="E748" i="14"/>
  <c r="BW71" i="14"/>
  <c r="E806" i="14"/>
  <c r="BP71" i="14"/>
  <c r="E799" i="14"/>
  <c r="BA71" i="14"/>
  <c r="E784" i="14"/>
  <c r="V71" i="14"/>
  <c r="E753" i="14"/>
  <c r="BC71" i="14"/>
  <c r="E786" i="14"/>
  <c r="H71" i="14"/>
  <c r="E739" i="14"/>
  <c r="BT71" i="14"/>
  <c r="E803" i="14"/>
  <c r="AO71" i="14"/>
  <c r="E772" i="14"/>
  <c r="J71" i="14"/>
  <c r="E741" i="14"/>
  <c r="BV71" i="14"/>
  <c r="E805" i="14"/>
  <c r="AI71" i="14"/>
  <c r="E766" i="14"/>
  <c r="AG71" i="14"/>
  <c r="AK71" i="14"/>
  <c r="W71" i="14"/>
  <c r="E754" i="14"/>
  <c r="I71" i="14"/>
  <c r="E740" i="14"/>
  <c r="CE48" i="14"/>
  <c r="C62" i="14"/>
  <c r="AR71" i="14"/>
  <c r="E775" i="14"/>
  <c r="BJ71" i="14"/>
  <c r="E793" i="14"/>
  <c r="BX71" i="14"/>
  <c r="E807" i="14"/>
  <c r="BI71" i="14"/>
  <c r="E792" i="14"/>
  <c r="AD71" i="14"/>
  <c r="E761" i="14"/>
  <c r="BK71" i="14"/>
  <c r="E794" i="14"/>
  <c r="P71" i="14"/>
  <c r="E747" i="14"/>
  <c r="CB71" i="14"/>
  <c r="E811" i="14"/>
  <c r="AW71" i="14"/>
  <c r="E780" i="14"/>
  <c r="R71" i="14"/>
  <c r="E749" i="14"/>
  <c r="AQ71" i="14"/>
  <c r="E774" i="14"/>
  <c r="CE75" i="14"/>
  <c r="BY71" i="14"/>
  <c r="E810" i="13"/>
  <c r="CA71" i="13"/>
  <c r="E768" i="13"/>
  <c r="AK71" i="13"/>
  <c r="E766" i="13"/>
  <c r="AI71" i="13"/>
  <c r="E787" i="13"/>
  <c r="BD71" i="13"/>
  <c r="O816" i="13"/>
  <c r="C463" i="13"/>
  <c r="O71" i="13"/>
  <c r="AQ48" i="13"/>
  <c r="AQ62" i="13" s="1"/>
  <c r="AJ48" i="13"/>
  <c r="AJ62" i="13" s="1"/>
  <c r="BN48" i="13"/>
  <c r="BN62" i="13" s="1"/>
  <c r="AS48" i="13"/>
  <c r="AS62" i="13" s="1"/>
  <c r="BV48" i="13"/>
  <c r="BV62" i="13" s="1"/>
  <c r="W48" i="13"/>
  <c r="W62" i="13" s="1"/>
  <c r="F48" i="13"/>
  <c r="F62" i="13" s="1"/>
  <c r="AN48" i="13"/>
  <c r="AN62" i="13" s="1"/>
  <c r="O815" i="13"/>
  <c r="E773" i="13"/>
  <c r="AP71" i="13"/>
  <c r="I816" i="13"/>
  <c r="C432" i="13"/>
  <c r="D242" i="13"/>
  <c r="B448" i="13" s="1"/>
  <c r="J48" i="13"/>
  <c r="J62" i="13" s="1"/>
  <c r="AY48" i="13"/>
  <c r="AY62" i="13" s="1"/>
  <c r="AR48" i="13"/>
  <c r="AR62" i="13" s="1"/>
  <c r="L48" i="13"/>
  <c r="L62" i="13" s="1"/>
  <c r="BA48" i="13"/>
  <c r="BA62" i="13" s="1"/>
  <c r="N48" i="13"/>
  <c r="N62" i="13" s="1"/>
  <c r="AE48" i="13"/>
  <c r="AE62" i="13" s="1"/>
  <c r="V48" i="13"/>
  <c r="V62" i="13" s="1"/>
  <c r="AV48" i="13"/>
  <c r="AV62" i="13" s="1"/>
  <c r="H816" i="13"/>
  <c r="C431" i="13"/>
  <c r="T816" i="13"/>
  <c r="L612" i="13"/>
  <c r="CE52" i="13"/>
  <c r="C67" i="13"/>
  <c r="BF48" i="13"/>
  <c r="BF62" i="13" s="1"/>
  <c r="BG48" i="13"/>
  <c r="BG62" i="13" s="1"/>
  <c r="AZ48" i="13"/>
  <c r="AZ62" i="13" s="1"/>
  <c r="AB48" i="13"/>
  <c r="AB62" i="13" s="1"/>
  <c r="BI48" i="13"/>
  <c r="BI62" i="13" s="1"/>
  <c r="AD48" i="13"/>
  <c r="AD62" i="13" s="1"/>
  <c r="AM48" i="13"/>
  <c r="AM62" i="13" s="1"/>
  <c r="AL48" i="13"/>
  <c r="AL62" i="13" s="1"/>
  <c r="E763" i="13"/>
  <c r="AF71" i="13"/>
  <c r="D277" i="13"/>
  <c r="D292" i="13" s="1"/>
  <c r="D341" i="13" s="1"/>
  <c r="C481" i="13" s="1"/>
  <c r="B476" i="13"/>
  <c r="D816" i="13"/>
  <c r="C427" i="13"/>
  <c r="BM48" i="13"/>
  <c r="BM62" i="13" s="1"/>
  <c r="AG48" i="13"/>
  <c r="AG62" i="13" s="1"/>
  <c r="CC48" i="13"/>
  <c r="CC62" i="13" s="1"/>
  <c r="Q48" i="13"/>
  <c r="Q62" i="13" s="1"/>
  <c r="AO48" i="13"/>
  <c r="AO62" i="13" s="1"/>
  <c r="Y48" i="13"/>
  <c r="Y62" i="13" s="1"/>
  <c r="AW48" i="13"/>
  <c r="AW62" i="13" s="1"/>
  <c r="E204" i="13"/>
  <c r="C476" i="13" s="1"/>
  <c r="C48" i="13"/>
  <c r="BO48" i="13"/>
  <c r="BO62" i="13" s="1"/>
  <c r="BH48" i="13"/>
  <c r="BH62" i="13" s="1"/>
  <c r="E48" i="13"/>
  <c r="E62" i="13" s="1"/>
  <c r="BQ48" i="13"/>
  <c r="BQ62" i="13" s="1"/>
  <c r="BB48" i="13"/>
  <c r="BB62" i="13" s="1"/>
  <c r="AU48" i="13"/>
  <c r="AU62" i="13" s="1"/>
  <c r="BR48" i="13"/>
  <c r="BR62" i="13" s="1"/>
  <c r="BL48" i="13"/>
  <c r="BL62" i="13" s="1"/>
  <c r="G816" i="13"/>
  <c r="F612" i="13"/>
  <c r="C430" i="13"/>
  <c r="K48" i="13"/>
  <c r="K62" i="13" s="1"/>
  <c r="BW48" i="13"/>
  <c r="BW62" i="13" s="1"/>
  <c r="BP48" i="13"/>
  <c r="BP62" i="13" s="1"/>
  <c r="M48" i="13"/>
  <c r="M62" i="13" s="1"/>
  <c r="BY48" i="13"/>
  <c r="BY62" i="13" s="1"/>
  <c r="BJ48" i="13"/>
  <c r="BJ62" i="13" s="1"/>
  <c r="BC48" i="13"/>
  <c r="BC62" i="13" s="1"/>
  <c r="H48" i="13"/>
  <c r="H62" i="13" s="1"/>
  <c r="BT48" i="13"/>
  <c r="BT62" i="13" s="1"/>
  <c r="L816" i="13"/>
  <c r="C440" i="13"/>
  <c r="E781" i="13"/>
  <c r="AX71" i="13"/>
  <c r="S816" i="13"/>
  <c r="J612" i="13"/>
  <c r="K816" i="13"/>
  <c r="C434" i="13"/>
  <c r="BU48" i="13"/>
  <c r="BU62" i="13" s="1"/>
  <c r="S48" i="13"/>
  <c r="S62" i="13" s="1"/>
  <c r="AH48" i="13"/>
  <c r="AH62" i="13" s="1"/>
  <c r="BX48" i="13"/>
  <c r="BX62" i="13" s="1"/>
  <c r="U48" i="13"/>
  <c r="U62" i="13" s="1"/>
  <c r="AT48" i="13"/>
  <c r="AT62" i="13" s="1"/>
  <c r="BZ48" i="13"/>
  <c r="BZ62" i="13" s="1"/>
  <c r="BK48" i="13"/>
  <c r="BK62" i="13" s="1"/>
  <c r="P48" i="13"/>
  <c r="P62" i="13" s="1"/>
  <c r="CB48" i="13"/>
  <c r="CB62" i="13" s="1"/>
  <c r="BE48" i="13"/>
  <c r="BE62" i="13" s="1"/>
  <c r="E751" i="13"/>
  <c r="T71" i="13"/>
  <c r="F816" i="13"/>
  <c r="C429" i="13"/>
  <c r="BI730" i="13"/>
  <c r="C816" i="13"/>
  <c r="H612" i="13"/>
  <c r="I48" i="13"/>
  <c r="I62" i="13" s="1"/>
  <c r="AA48" i="13"/>
  <c r="AA62" i="13" s="1"/>
  <c r="D48" i="13"/>
  <c r="D62" i="13" s="1"/>
  <c r="Z48" i="13"/>
  <c r="Z62" i="13" s="1"/>
  <c r="AC48" i="13"/>
  <c r="AC62" i="13" s="1"/>
  <c r="R48" i="13"/>
  <c r="R62" i="13" s="1"/>
  <c r="G48" i="13"/>
  <c r="G62" i="13" s="1"/>
  <c r="BS48" i="13"/>
  <c r="BS62" i="13" s="1"/>
  <c r="X48" i="13"/>
  <c r="X62" i="13" s="1"/>
  <c r="N734" i="13"/>
  <c r="N815" i="13" s="1"/>
  <c r="CE75" i="13"/>
  <c r="C465" i="15" l="1"/>
  <c r="CH75" i="15"/>
  <c r="I378" i="9"/>
  <c r="N815" i="15"/>
  <c r="CG48" i="15"/>
  <c r="CH48" i="15" s="1"/>
  <c r="C476" i="15"/>
  <c r="F16" i="6"/>
  <c r="CG62" i="15"/>
  <c r="CH62" i="15" s="1"/>
  <c r="C379" i="16"/>
  <c r="F379" i="16" s="1"/>
  <c r="BB71" i="15"/>
  <c r="C547" i="15" s="1"/>
  <c r="AP71" i="15"/>
  <c r="C535" i="15" s="1"/>
  <c r="G535" i="15" s="1"/>
  <c r="AR71" i="15"/>
  <c r="BV71" i="15"/>
  <c r="C642" i="15" s="1"/>
  <c r="X71" i="15"/>
  <c r="C689" i="15" s="1"/>
  <c r="J776" i="16"/>
  <c r="AS71" i="16"/>
  <c r="J741" i="16"/>
  <c r="J71" i="16"/>
  <c r="D71" i="16"/>
  <c r="J773" i="16"/>
  <c r="AP71" i="16"/>
  <c r="J782" i="16"/>
  <c r="AY71" i="16"/>
  <c r="J759" i="16"/>
  <c r="AB71" i="16"/>
  <c r="J797" i="16"/>
  <c r="BN71" i="16"/>
  <c r="J777" i="16"/>
  <c r="AT71" i="16"/>
  <c r="J762" i="16"/>
  <c r="AE71" i="16"/>
  <c r="J739" i="16"/>
  <c r="H71" i="16"/>
  <c r="J803" i="16"/>
  <c r="BT71" i="16"/>
  <c r="J780" i="16"/>
  <c r="AW71" i="16"/>
  <c r="J751" i="16"/>
  <c r="T71" i="16"/>
  <c r="J754" i="16"/>
  <c r="W71" i="16"/>
  <c r="J795" i="16"/>
  <c r="BL71" i="16"/>
  <c r="J805" i="16"/>
  <c r="BV71" i="16"/>
  <c r="J757" i="16"/>
  <c r="Z71" i="16"/>
  <c r="C67" i="16"/>
  <c r="CE52" i="16"/>
  <c r="J798" i="16"/>
  <c r="BO71" i="16"/>
  <c r="J775" i="16"/>
  <c r="AR71" i="16"/>
  <c r="J789" i="16"/>
  <c r="BF71" i="16"/>
  <c r="J793" i="16"/>
  <c r="BJ71" i="16"/>
  <c r="J778" i="16"/>
  <c r="AU71" i="16"/>
  <c r="J755" i="16"/>
  <c r="X71" i="16"/>
  <c r="J781" i="16"/>
  <c r="AX71" i="16"/>
  <c r="J796" i="16"/>
  <c r="BM71" i="16"/>
  <c r="J800" i="16"/>
  <c r="BQ71" i="16"/>
  <c r="J765" i="16"/>
  <c r="AH71" i="16"/>
  <c r="J772" i="16"/>
  <c r="AO71" i="16"/>
  <c r="J767" i="16"/>
  <c r="AJ71" i="16"/>
  <c r="J770" i="16"/>
  <c r="AM71" i="16"/>
  <c r="J747" i="16"/>
  <c r="P71" i="16"/>
  <c r="J736" i="16"/>
  <c r="E71" i="16"/>
  <c r="J742" i="16"/>
  <c r="K71" i="16"/>
  <c r="J806" i="16"/>
  <c r="BW71" i="16"/>
  <c r="J783" i="16"/>
  <c r="AZ71" i="16"/>
  <c r="J737" i="16"/>
  <c r="F71" i="16"/>
  <c r="J801" i="16"/>
  <c r="BR71" i="16"/>
  <c r="J786" i="16"/>
  <c r="BC71" i="16"/>
  <c r="J763" i="16"/>
  <c r="AF71" i="16"/>
  <c r="J740" i="16"/>
  <c r="I71" i="16"/>
  <c r="J804" i="16"/>
  <c r="BU71" i="16"/>
  <c r="J744" i="16"/>
  <c r="M71" i="16"/>
  <c r="J774" i="16"/>
  <c r="AQ71" i="16"/>
  <c r="J769" i="16"/>
  <c r="AL71" i="16"/>
  <c r="J768" i="16"/>
  <c r="AK71" i="16"/>
  <c r="J790" i="16"/>
  <c r="BG71" i="16"/>
  <c r="J785" i="16"/>
  <c r="BB71" i="16"/>
  <c r="J811" i="16"/>
  <c r="CB71" i="16"/>
  <c r="J788" i="16"/>
  <c r="BE71" i="16"/>
  <c r="J750" i="16"/>
  <c r="S71" i="16"/>
  <c r="J749" i="16"/>
  <c r="R71" i="16"/>
  <c r="J791" i="16"/>
  <c r="BH71" i="16"/>
  <c r="J745" i="16"/>
  <c r="N71" i="16"/>
  <c r="J809" i="16"/>
  <c r="BZ71" i="16"/>
  <c r="J794" i="16"/>
  <c r="BK71" i="16"/>
  <c r="J771" i="16"/>
  <c r="AN71" i="16"/>
  <c r="J748" i="16"/>
  <c r="Q71" i="16"/>
  <c r="J812" i="16"/>
  <c r="CC71" i="16"/>
  <c r="J808" i="16"/>
  <c r="BY71" i="16"/>
  <c r="J760" i="16"/>
  <c r="AC71" i="16"/>
  <c r="J758" i="16"/>
  <c r="AA71" i="16"/>
  <c r="J799" i="16"/>
  <c r="BP71" i="16"/>
  <c r="J753" i="16"/>
  <c r="V71" i="16"/>
  <c r="J738" i="16"/>
  <c r="G71" i="16"/>
  <c r="J802" i="16"/>
  <c r="BS71" i="16"/>
  <c r="J779" i="16"/>
  <c r="AV71" i="16"/>
  <c r="J756" i="16"/>
  <c r="Y71" i="16"/>
  <c r="E816" i="16"/>
  <c r="C428" i="16"/>
  <c r="C630" i="16"/>
  <c r="C546" i="16"/>
  <c r="G546" i="16" s="1"/>
  <c r="J766" i="16"/>
  <c r="AI71" i="16"/>
  <c r="J743" i="16"/>
  <c r="L71" i="16"/>
  <c r="J807" i="16"/>
  <c r="BX71" i="16"/>
  <c r="J761" i="16"/>
  <c r="AD71" i="16"/>
  <c r="J746" i="16"/>
  <c r="O71" i="16"/>
  <c r="J810" i="16"/>
  <c r="CA71" i="16"/>
  <c r="J787" i="16"/>
  <c r="BD71" i="16"/>
  <c r="J764" i="16"/>
  <c r="AG71" i="16"/>
  <c r="J792" i="16"/>
  <c r="BI71" i="16"/>
  <c r="J752" i="16"/>
  <c r="U71" i="16"/>
  <c r="E755" i="15"/>
  <c r="CE48" i="15"/>
  <c r="S71" i="15"/>
  <c r="C512" i="15" s="1"/>
  <c r="G512" i="15" s="1"/>
  <c r="AJ71" i="15"/>
  <c r="C701" i="15" s="1"/>
  <c r="BD71" i="15"/>
  <c r="C624" i="15" s="1"/>
  <c r="BK71" i="15"/>
  <c r="C635" i="15" s="1"/>
  <c r="G71" i="15"/>
  <c r="C500" i="15" s="1"/>
  <c r="G500" i="15" s="1"/>
  <c r="AV71" i="15"/>
  <c r="C713" i="15" s="1"/>
  <c r="D71" i="15"/>
  <c r="C669" i="15" s="1"/>
  <c r="I71" i="15"/>
  <c r="C502" i="15" s="1"/>
  <c r="G502" i="15" s="1"/>
  <c r="N816" i="15"/>
  <c r="K612" i="15"/>
  <c r="J804" i="15"/>
  <c r="BU71" i="15"/>
  <c r="J788" i="15"/>
  <c r="BE71" i="15"/>
  <c r="J757" i="15"/>
  <c r="Z71" i="15"/>
  <c r="CB71" i="15"/>
  <c r="C573" i="15" s="1"/>
  <c r="BX71" i="15"/>
  <c r="C644" i="15" s="1"/>
  <c r="BO71" i="15"/>
  <c r="C627" i="15" s="1"/>
  <c r="AZ71" i="15"/>
  <c r="C628" i="15" s="1"/>
  <c r="CA71" i="15"/>
  <c r="C572" i="15" s="1"/>
  <c r="AO71" i="15"/>
  <c r="W71" i="15"/>
  <c r="BL71" i="15"/>
  <c r="C637" i="15" s="1"/>
  <c r="AQ71" i="15"/>
  <c r="C536" i="15" s="1"/>
  <c r="G536" i="15" s="1"/>
  <c r="T71" i="15"/>
  <c r="C685" i="15" s="1"/>
  <c r="H71" i="15"/>
  <c r="C673" i="15" s="1"/>
  <c r="J780" i="15"/>
  <c r="AW71" i="15"/>
  <c r="AN71" i="15"/>
  <c r="C533" i="15" s="1"/>
  <c r="G533" i="15" s="1"/>
  <c r="BR71" i="15"/>
  <c r="C563" i="15" s="1"/>
  <c r="AY71" i="15"/>
  <c r="C625" i="15" s="1"/>
  <c r="AF71" i="15"/>
  <c r="C697" i="15" s="1"/>
  <c r="AC71" i="15"/>
  <c r="AK71" i="15"/>
  <c r="J800" i="15"/>
  <c r="BQ71" i="15"/>
  <c r="CC71" i="15"/>
  <c r="J753" i="15"/>
  <c r="V71" i="15"/>
  <c r="AI71" i="15"/>
  <c r="C700" i="15" s="1"/>
  <c r="BW71" i="15"/>
  <c r="C643" i="15" s="1"/>
  <c r="BG71" i="15"/>
  <c r="C618" i="15" s="1"/>
  <c r="J745" i="15"/>
  <c r="N71" i="15"/>
  <c r="C632" i="15"/>
  <c r="BS71" i="15"/>
  <c r="C639" i="15" s="1"/>
  <c r="BN71" i="15"/>
  <c r="BH71" i="15"/>
  <c r="C636" i="15" s="1"/>
  <c r="K71" i="15"/>
  <c r="C676" i="15" s="1"/>
  <c r="BZ71" i="15"/>
  <c r="P71" i="15"/>
  <c r="C681" i="15" s="1"/>
  <c r="BP71" i="15"/>
  <c r="C561" i="15" s="1"/>
  <c r="L71" i="15"/>
  <c r="C505" i="15" s="1"/>
  <c r="G505" i="15" s="1"/>
  <c r="AB71" i="15"/>
  <c r="C693" i="15" s="1"/>
  <c r="AM71" i="15"/>
  <c r="BC71" i="15"/>
  <c r="E746" i="15"/>
  <c r="O71" i="15"/>
  <c r="E769" i="15"/>
  <c r="AL71" i="15"/>
  <c r="E784" i="15"/>
  <c r="BA71" i="15"/>
  <c r="AX71" i="15"/>
  <c r="E781" i="15"/>
  <c r="E808" i="15"/>
  <c r="BY71" i="15"/>
  <c r="M71" i="15"/>
  <c r="E744" i="15"/>
  <c r="BI71" i="15"/>
  <c r="E792" i="15"/>
  <c r="E778" i="15"/>
  <c r="AU71" i="15"/>
  <c r="BF71" i="15"/>
  <c r="E777" i="15"/>
  <c r="AT71" i="15"/>
  <c r="E764" i="15"/>
  <c r="AG71" i="15"/>
  <c r="E765" i="15"/>
  <c r="AH71" i="15"/>
  <c r="E762" i="15"/>
  <c r="AE71" i="15"/>
  <c r="E749" i="15"/>
  <c r="R71" i="15"/>
  <c r="E752" i="15"/>
  <c r="U71" i="15"/>
  <c r="E776" i="15"/>
  <c r="AS71" i="15"/>
  <c r="E748" i="15"/>
  <c r="Q71" i="15"/>
  <c r="E736" i="15"/>
  <c r="E71" i="15"/>
  <c r="E737" i="15"/>
  <c r="F71" i="15"/>
  <c r="E761" i="15"/>
  <c r="AD71" i="15"/>
  <c r="E793" i="15"/>
  <c r="BJ71" i="15"/>
  <c r="BM71" i="15"/>
  <c r="E796" i="15"/>
  <c r="E741" i="15"/>
  <c r="J71" i="15"/>
  <c r="E756" i="15"/>
  <c r="Y71" i="15"/>
  <c r="C67" i="15"/>
  <c r="C71" i="15" s="1"/>
  <c r="CE52" i="15"/>
  <c r="C692" i="15"/>
  <c r="C520" i="15"/>
  <c r="G520" i="15" s="1"/>
  <c r="C640" i="15"/>
  <c r="C565" i="15"/>
  <c r="E734" i="15"/>
  <c r="CE62" i="15"/>
  <c r="C517" i="15"/>
  <c r="G517" i="15" s="1"/>
  <c r="C684" i="15"/>
  <c r="C709" i="15"/>
  <c r="C537" i="15"/>
  <c r="G537" i="15" s="1"/>
  <c r="C546" i="14"/>
  <c r="G546" i="14" s="1"/>
  <c r="C630" i="14"/>
  <c r="C512" i="14"/>
  <c r="G512" i="14" s="1"/>
  <c r="C684" i="14"/>
  <c r="C553" i="14"/>
  <c r="C636" i="14"/>
  <c r="C497" i="14"/>
  <c r="G497" i="14" s="1"/>
  <c r="C669" i="14"/>
  <c r="C693" i="14"/>
  <c r="C521" i="14"/>
  <c r="G521" i="14" s="1"/>
  <c r="C536" i="14"/>
  <c r="G536" i="14" s="1"/>
  <c r="C708" i="14"/>
  <c r="C569" i="14"/>
  <c r="C644" i="14"/>
  <c r="C674" i="14"/>
  <c r="C502" i="14"/>
  <c r="G502" i="14" s="1"/>
  <c r="C501" i="14"/>
  <c r="G501" i="14" s="1"/>
  <c r="C673" i="14"/>
  <c r="C561" i="14"/>
  <c r="C621" i="14"/>
  <c r="C627" i="14"/>
  <c r="C560" i="14"/>
  <c r="C690" i="14"/>
  <c r="C518" i="14"/>
  <c r="G518" i="14" s="1"/>
  <c r="C646" i="14"/>
  <c r="C571" i="14"/>
  <c r="CE67" i="14"/>
  <c r="J734" i="14"/>
  <c r="J815" i="14" s="1"/>
  <c r="C629" i="14"/>
  <c r="C551" i="14"/>
  <c r="C499" i="14"/>
  <c r="G499" i="14" s="1"/>
  <c r="C671" i="14"/>
  <c r="C505" i="14"/>
  <c r="G505" i="14" s="1"/>
  <c r="C677" i="14"/>
  <c r="C639" i="14"/>
  <c r="C564" i="14"/>
  <c r="C670" i="14"/>
  <c r="C498" i="14"/>
  <c r="G498" i="14" s="1"/>
  <c r="C686" i="14"/>
  <c r="C514" i="14"/>
  <c r="G514" i="14" s="1"/>
  <c r="C528" i="14"/>
  <c r="G528" i="14" s="1"/>
  <c r="C700" i="14"/>
  <c r="C623" i="14"/>
  <c r="C562" i="14"/>
  <c r="C558" i="14"/>
  <c r="C638" i="14"/>
  <c r="C504" i="14"/>
  <c r="G504" i="14" s="1"/>
  <c r="C676" i="14"/>
  <c r="C647" i="14"/>
  <c r="C572" i="14"/>
  <c r="C509" i="14"/>
  <c r="G509" i="14" s="1"/>
  <c r="C681" i="14"/>
  <c r="C642" i="14"/>
  <c r="C567" i="14"/>
  <c r="C618" i="14"/>
  <c r="C552" i="14"/>
  <c r="C680" i="14"/>
  <c r="C508" i="14"/>
  <c r="G508" i="14" s="1"/>
  <c r="C573" i="14"/>
  <c r="C622" i="14"/>
  <c r="C524" i="14"/>
  <c r="G524" i="14" s="1"/>
  <c r="C696" i="14"/>
  <c r="C566" i="14"/>
  <c r="C641" i="14"/>
  <c r="C511" i="14"/>
  <c r="G511" i="14" s="1"/>
  <c r="C683" i="14"/>
  <c r="C516" i="14"/>
  <c r="G516" i="14" s="1"/>
  <c r="C688" i="14"/>
  <c r="C548" i="14"/>
  <c r="C633" i="14"/>
  <c r="C535" i="14"/>
  <c r="G535" i="14" s="1"/>
  <c r="C707" i="14"/>
  <c r="C507" i="14"/>
  <c r="G507" i="14" s="1"/>
  <c r="C679" i="14"/>
  <c r="C545" i="14"/>
  <c r="G545" i="14" s="1"/>
  <c r="C628" i="14"/>
  <c r="C513" i="14"/>
  <c r="G513" i="14" s="1"/>
  <c r="C685" i="14"/>
  <c r="C530" i="14"/>
  <c r="G530" i="14" s="1"/>
  <c r="C702" i="14"/>
  <c r="C529" i="14"/>
  <c r="G529" i="14" s="1"/>
  <c r="C701" i="14"/>
  <c r="C527" i="14"/>
  <c r="G527" i="14" s="1"/>
  <c r="C699" i="14"/>
  <c r="C539" i="14"/>
  <c r="G539" i="14" s="1"/>
  <c r="C711" i="14"/>
  <c r="C554" i="14"/>
  <c r="C634" i="14"/>
  <c r="C547" i="14"/>
  <c r="C632" i="14"/>
  <c r="C617" i="14"/>
  <c r="C555" i="14"/>
  <c r="C643" i="14"/>
  <c r="C568" i="14"/>
  <c r="C500" i="14"/>
  <c r="G500" i="14" s="1"/>
  <c r="C672" i="14"/>
  <c r="C631" i="14"/>
  <c r="C542" i="14"/>
  <c r="C523" i="14"/>
  <c r="G523" i="14" s="1"/>
  <c r="C695" i="14"/>
  <c r="C526" i="14"/>
  <c r="G526" i="14" s="1"/>
  <c r="C698" i="14"/>
  <c r="C534" i="14"/>
  <c r="G534" i="14" s="1"/>
  <c r="C706" i="14"/>
  <c r="C515" i="14"/>
  <c r="G515" i="14" s="1"/>
  <c r="C687" i="14"/>
  <c r="C682" i="14"/>
  <c r="C510" i="14"/>
  <c r="G510" i="14" s="1"/>
  <c r="C533" i="14"/>
  <c r="G533" i="14" s="1"/>
  <c r="C705" i="14"/>
  <c r="C619" i="14"/>
  <c r="C559" i="14"/>
  <c r="C538" i="14"/>
  <c r="G538" i="14" s="1"/>
  <c r="C710" i="14"/>
  <c r="C532" i="14"/>
  <c r="G532" i="14" s="1"/>
  <c r="C704" i="14"/>
  <c r="C543" i="14"/>
  <c r="C616" i="14"/>
  <c r="C519" i="14"/>
  <c r="G519" i="14" s="1"/>
  <c r="C691" i="14"/>
  <c r="C531" i="14"/>
  <c r="G531" i="14" s="1"/>
  <c r="C703" i="14"/>
  <c r="C620" i="14"/>
  <c r="C574" i="14"/>
  <c r="C557" i="14"/>
  <c r="C637" i="14"/>
  <c r="C465" i="14"/>
  <c r="N816" i="14"/>
  <c r="K612" i="14"/>
  <c r="C565" i="14"/>
  <c r="C640" i="14"/>
  <c r="C540" i="14"/>
  <c r="G540" i="14" s="1"/>
  <c r="C712" i="14"/>
  <c r="C626" i="14"/>
  <c r="C563" i="14"/>
  <c r="C517" i="14"/>
  <c r="G517" i="14" s="1"/>
  <c r="C689" i="14"/>
  <c r="C635" i="14"/>
  <c r="C556" i="14"/>
  <c r="C503" i="14"/>
  <c r="G503" i="14" s="1"/>
  <c r="C675" i="14"/>
  <c r="C520" i="14"/>
  <c r="G520" i="14" s="1"/>
  <c r="C692" i="14"/>
  <c r="C624" i="14"/>
  <c r="C549" i="14"/>
  <c r="C544" i="14"/>
  <c r="G544" i="14" s="1"/>
  <c r="C625" i="14"/>
  <c r="C541" i="14"/>
  <c r="C713" i="14"/>
  <c r="C537" i="14"/>
  <c r="G537" i="14" s="1"/>
  <c r="C709" i="14"/>
  <c r="C570" i="14"/>
  <c r="C645" i="14"/>
  <c r="CE62" i="14"/>
  <c r="C71" i="14"/>
  <c r="E734" i="14"/>
  <c r="E815" i="14" s="1"/>
  <c r="C550" i="14"/>
  <c r="G550" i="14" s="1"/>
  <c r="C614" i="14"/>
  <c r="C525" i="14"/>
  <c r="G525" i="14" s="1"/>
  <c r="C697" i="14"/>
  <c r="C506" i="14"/>
  <c r="G506" i="14" s="1"/>
  <c r="C678" i="14"/>
  <c r="N816" i="13"/>
  <c r="C465" i="13"/>
  <c r="K612" i="13"/>
  <c r="E764" i="13"/>
  <c r="AG71" i="13"/>
  <c r="C549" i="13"/>
  <c r="C624" i="13"/>
  <c r="E758" i="13"/>
  <c r="AA71" i="13"/>
  <c r="E807" i="13"/>
  <c r="BX71" i="13"/>
  <c r="C543" i="13"/>
  <c r="C616" i="13"/>
  <c r="E808" i="13"/>
  <c r="BY71" i="13"/>
  <c r="E795" i="13"/>
  <c r="BL71" i="13"/>
  <c r="CE48" i="13"/>
  <c r="C62" i="13"/>
  <c r="E796" i="13"/>
  <c r="BM71" i="13"/>
  <c r="E770" i="13"/>
  <c r="AM71" i="13"/>
  <c r="E745" i="13"/>
  <c r="N71" i="13"/>
  <c r="E776" i="13"/>
  <c r="AS71" i="13"/>
  <c r="C685" i="13"/>
  <c r="C513" i="13"/>
  <c r="G513" i="13" s="1"/>
  <c r="E762" i="13"/>
  <c r="AE71" i="13"/>
  <c r="E811" i="13"/>
  <c r="CB71" i="13"/>
  <c r="E750" i="13"/>
  <c r="S71" i="13"/>
  <c r="E799" i="13"/>
  <c r="BP71" i="13"/>
  <c r="E778" i="13"/>
  <c r="AU71" i="13"/>
  <c r="E780" i="13"/>
  <c r="AW71" i="13"/>
  <c r="E792" i="13"/>
  <c r="BI71" i="13"/>
  <c r="E743" i="13"/>
  <c r="L71" i="13"/>
  <c r="E767" i="13"/>
  <c r="AJ71" i="13"/>
  <c r="E755" i="13"/>
  <c r="X71" i="13"/>
  <c r="E744" i="13"/>
  <c r="M71" i="13"/>
  <c r="E797" i="13"/>
  <c r="BN71" i="13"/>
  <c r="E747" i="13"/>
  <c r="P71" i="13"/>
  <c r="E804" i="13"/>
  <c r="BU71" i="13"/>
  <c r="E806" i="13"/>
  <c r="BW71" i="13"/>
  <c r="E785" i="13"/>
  <c r="BB71" i="13"/>
  <c r="E756" i="13"/>
  <c r="Y71" i="13"/>
  <c r="E759" i="13"/>
  <c r="AB71" i="13"/>
  <c r="E775" i="13"/>
  <c r="AR71" i="13"/>
  <c r="E774" i="13"/>
  <c r="AQ71" i="13"/>
  <c r="C702" i="13"/>
  <c r="C530" i="13"/>
  <c r="E735" i="13"/>
  <c r="D71" i="13"/>
  <c r="E798" i="13"/>
  <c r="BO71" i="13"/>
  <c r="J734" i="13"/>
  <c r="J815" i="13" s="1"/>
  <c r="CE67" i="13"/>
  <c r="E788" i="13"/>
  <c r="BE71" i="13"/>
  <c r="E761" i="13"/>
  <c r="AD71" i="13"/>
  <c r="C700" i="13"/>
  <c r="C528" i="13"/>
  <c r="E738" i="13"/>
  <c r="G71" i="13"/>
  <c r="E794" i="13"/>
  <c r="BK71" i="13"/>
  <c r="E803" i="13"/>
  <c r="BT71" i="13"/>
  <c r="E742" i="13"/>
  <c r="K71" i="13"/>
  <c r="E800" i="13"/>
  <c r="BQ71" i="13"/>
  <c r="E772" i="13"/>
  <c r="AO71" i="13"/>
  <c r="E783" i="13"/>
  <c r="AZ71" i="13"/>
  <c r="E782" i="13"/>
  <c r="AY71" i="13"/>
  <c r="E771" i="13"/>
  <c r="AN71" i="13"/>
  <c r="C680" i="13"/>
  <c r="C508" i="13"/>
  <c r="E793" i="13"/>
  <c r="BJ71" i="13"/>
  <c r="E769" i="13"/>
  <c r="AL71" i="13"/>
  <c r="E740" i="13"/>
  <c r="I71" i="13"/>
  <c r="E801" i="13"/>
  <c r="BR71" i="13"/>
  <c r="E784" i="13"/>
  <c r="BA71" i="13"/>
  <c r="E802" i="13"/>
  <c r="BS71" i="13"/>
  <c r="E749" i="13"/>
  <c r="R71" i="13"/>
  <c r="E760" i="13"/>
  <c r="AC71" i="13"/>
  <c r="E809" i="13"/>
  <c r="BZ71" i="13"/>
  <c r="E739" i="13"/>
  <c r="H71" i="13"/>
  <c r="E736" i="13"/>
  <c r="E71" i="13"/>
  <c r="E748" i="13"/>
  <c r="Q71" i="13"/>
  <c r="C525" i="13"/>
  <c r="G525" i="13" s="1"/>
  <c r="C697" i="13"/>
  <c r="E790" i="13"/>
  <c r="BG71" i="13"/>
  <c r="E779" i="13"/>
  <c r="AV71" i="13"/>
  <c r="E741" i="13"/>
  <c r="J71" i="13"/>
  <c r="E737" i="13"/>
  <c r="F71" i="13"/>
  <c r="C647" i="13"/>
  <c r="C572" i="13"/>
  <c r="E752" i="13"/>
  <c r="U71" i="13"/>
  <c r="E805" i="13"/>
  <c r="BV71" i="13"/>
  <c r="E765" i="13"/>
  <c r="AH71" i="13"/>
  <c r="C707" i="13"/>
  <c r="C535" i="13"/>
  <c r="G535" i="13" s="1"/>
  <c r="E757" i="13"/>
  <c r="Z71" i="13"/>
  <c r="E777" i="13"/>
  <c r="AT71" i="13"/>
  <c r="E786" i="13"/>
  <c r="BC71" i="13"/>
  <c r="E791" i="13"/>
  <c r="BH71" i="13"/>
  <c r="E812" i="13"/>
  <c r="CC71" i="13"/>
  <c r="E789" i="13"/>
  <c r="BF71" i="13"/>
  <c r="E753" i="13"/>
  <c r="V71" i="13"/>
  <c r="E754" i="13"/>
  <c r="W71" i="13"/>
  <c r="C556" i="15" l="1"/>
  <c r="C567" i="15"/>
  <c r="C707" i="15"/>
  <c r="BR730" i="16"/>
  <c r="E817" i="16"/>
  <c r="B428" i="16"/>
  <c r="C504" i="15"/>
  <c r="G504" i="15" s="1"/>
  <c r="C705" i="15"/>
  <c r="C677" i="15"/>
  <c r="C674" i="15"/>
  <c r="C634" i="16"/>
  <c r="C554" i="16"/>
  <c r="C508" i="16"/>
  <c r="G508" i="16" s="1"/>
  <c r="C680" i="16"/>
  <c r="C700" i="16"/>
  <c r="C528" i="16"/>
  <c r="G528" i="16" s="1"/>
  <c r="C690" i="16"/>
  <c r="C518" i="16"/>
  <c r="G518" i="16" s="1"/>
  <c r="C687" i="16"/>
  <c r="C515" i="16"/>
  <c r="G515" i="16" s="1"/>
  <c r="C645" i="16"/>
  <c r="C570" i="16"/>
  <c r="C556" i="16"/>
  <c r="C635" i="16"/>
  <c r="C683" i="16"/>
  <c r="C511" i="16"/>
  <c r="G511" i="16" s="1"/>
  <c r="C632" i="16"/>
  <c r="C547" i="16"/>
  <c r="C708" i="16"/>
  <c r="C536" i="16"/>
  <c r="G536" i="16" s="1"/>
  <c r="C697" i="16"/>
  <c r="C525" i="16"/>
  <c r="G525" i="16" s="1"/>
  <c r="C545" i="16"/>
  <c r="G545" i="16" s="1"/>
  <c r="C628" i="16"/>
  <c r="C681" i="16"/>
  <c r="C509" i="16"/>
  <c r="G509" i="16" s="1"/>
  <c r="C699" i="16"/>
  <c r="C527" i="16"/>
  <c r="G527" i="16" s="1"/>
  <c r="C689" i="16"/>
  <c r="C517" i="16"/>
  <c r="G517" i="16" s="1"/>
  <c r="C709" i="16"/>
  <c r="C537" i="16"/>
  <c r="G537" i="16" s="1"/>
  <c r="C642" i="16"/>
  <c r="C567" i="16"/>
  <c r="C542" i="16"/>
  <c r="C631" i="16"/>
  <c r="C711" i="16"/>
  <c r="C539" i="16"/>
  <c r="G539" i="16" s="1"/>
  <c r="C707" i="16"/>
  <c r="C535" i="16"/>
  <c r="G535" i="16" s="1"/>
  <c r="C698" i="16"/>
  <c r="C526" i="16"/>
  <c r="G526" i="16" s="1"/>
  <c r="C695" i="16"/>
  <c r="C523" i="16"/>
  <c r="G523" i="16" s="1"/>
  <c r="C713" i="16"/>
  <c r="C541" i="16"/>
  <c r="C621" i="16"/>
  <c r="C561" i="16"/>
  <c r="C574" i="16"/>
  <c r="C620" i="16"/>
  <c r="C646" i="16"/>
  <c r="C571" i="16"/>
  <c r="C684" i="16"/>
  <c r="C512" i="16"/>
  <c r="G512" i="16" s="1"/>
  <c r="C552" i="16"/>
  <c r="C618" i="16"/>
  <c r="C678" i="16"/>
  <c r="C506" i="16"/>
  <c r="G506" i="16" s="1"/>
  <c r="C633" i="16"/>
  <c r="C548" i="16"/>
  <c r="C568" i="16"/>
  <c r="C643" i="16"/>
  <c r="C704" i="16"/>
  <c r="C532" i="16"/>
  <c r="G532" i="16" s="1"/>
  <c r="C562" i="16"/>
  <c r="C623" i="16"/>
  <c r="C712" i="16"/>
  <c r="C540" i="16"/>
  <c r="G540" i="16" s="1"/>
  <c r="C560" i="16"/>
  <c r="C627" i="16"/>
  <c r="C637" i="16"/>
  <c r="C557" i="16"/>
  <c r="C640" i="16"/>
  <c r="C565" i="16"/>
  <c r="C559" i="16"/>
  <c r="C619" i="16"/>
  <c r="C497" i="16"/>
  <c r="G497" i="16" s="1"/>
  <c r="C669" i="16"/>
  <c r="C675" i="16"/>
  <c r="C503" i="16"/>
  <c r="G503" i="16" s="1"/>
  <c r="C549" i="16"/>
  <c r="C624" i="16"/>
  <c r="C644" i="16"/>
  <c r="C569" i="16"/>
  <c r="C564" i="16"/>
  <c r="C639" i="16"/>
  <c r="C692" i="16"/>
  <c r="C520" i="16"/>
  <c r="G520" i="16" s="1"/>
  <c r="C682" i="16"/>
  <c r="C510" i="16"/>
  <c r="G510" i="16" s="1"/>
  <c r="C679" i="16"/>
  <c r="C507" i="16"/>
  <c r="G507" i="16" s="1"/>
  <c r="C614" i="16"/>
  <c r="C550" i="16"/>
  <c r="G550" i="16" s="1"/>
  <c r="C702" i="16"/>
  <c r="C530" i="16"/>
  <c r="G530" i="16" s="1"/>
  <c r="C641" i="16"/>
  <c r="C566" i="16"/>
  <c r="C626" i="16"/>
  <c r="C563" i="16"/>
  <c r="C676" i="16"/>
  <c r="C504" i="16"/>
  <c r="G504" i="16" s="1"/>
  <c r="C701" i="16"/>
  <c r="C529" i="16"/>
  <c r="G529" i="16" s="1"/>
  <c r="C638" i="16"/>
  <c r="C558" i="16"/>
  <c r="C617" i="16"/>
  <c r="C555" i="16"/>
  <c r="C688" i="16"/>
  <c r="C516" i="16"/>
  <c r="G516" i="16" s="1"/>
  <c r="C673" i="16"/>
  <c r="C501" i="16"/>
  <c r="G501" i="16" s="1"/>
  <c r="C693" i="16"/>
  <c r="C521" i="16"/>
  <c r="G521" i="16" s="1"/>
  <c r="J734" i="16"/>
  <c r="J815" i="16" s="1"/>
  <c r="CE67" i="16"/>
  <c r="C71" i="16"/>
  <c r="C710" i="16"/>
  <c r="C538" i="16"/>
  <c r="G538" i="16" s="1"/>
  <c r="C686" i="16"/>
  <c r="C514" i="16"/>
  <c r="G514" i="16" s="1"/>
  <c r="C572" i="16"/>
  <c r="C647" i="16"/>
  <c r="C505" i="16"/>
  <c r="G505" i="16" s="1"/>
  <c r="C677" i="16"/>
  <c r="C500" i="16"/>
  <c r="G500" i="16" s="1"/>
  <c r="C672" i="16"/>
  <c r="C694" i="16"/>
  <c r="C522" i="16"/>
  <c r="G522" i="16" s="1"/>
  <c r="C705" i="16"/>
  <c r="C533" i="16"/>
  <c r="G533" i="16" s="1"/>
  <c r="C636" i="16"/>
  <c r="C553" i="16"/>
  <c r="C573" i="16"/>
  <c r="C622" i="16"/>
  <c r="C703" i="16"/>
  <c r="C531" i="16"/>
  <c r="G531" i="16" s="1"/>
  <c r="C674" i="16"/>
  <c r="C502" i="16"/>
  <c r="G502" i="16" s="1"/>
  <c r="C671" i="16"/>
  <c r="C499" i="16"/>
  <c r="G499" i="16" s="1"/>
  <c r="C670" i="16"/>
  <c r="C498" i="16"/>
  <c r="G498" i="16" s="1"/>
  <c r="C706" i="16"/>
  <c r="C534" i="16"/>
  <c r="G534" i="16" s="1"/>
  <c r="C616" i="16"/>
  <c r="C543" i="16"/>
  <c r="C629" i="16"/>
  <c r="C551" i="16"/>
  <c r="C691" i="16"/>
  <c r="C519" i="16"/>
  <c r="G519" i="16" s="1"/>
  <c r="C685" i="16"/>
  <c r="C513" i="16"/>
  <c r="G513" i="16" s="1"/>
  <c r="C696" i="16"/>
  <c r="C524" i="16"/>
  <c r="G524" i="16" s="1"/>
  <c r="C625" i="16"/>
  <c r="C544" i="16"/>
  <c r="G544" i="16" s="1"/>
  <c r="C497" i="15"/>
  <c r="G497" i="15" s="1"/>
  <c r="C509" i="15"/>
  <c r="G509" i="15" s="1"/>
  <c r="C529" i="15"/>
  <c r="G529" i="15" s="1"/>
  <c r="C549" i="15"/>
  <c r="C560" i="15"/>
  <c r="C541" i="15"/>
  <c r="C672" i="15"/>
  <c r="C621" i="15"/>
  <c r="C708" i="15"/>
  <c r="C553" i="15"/>
  <c r="C557" i="15"/>
  <c r="C521" i="15"/>
  <c r="G521" i="15" s="1"/>
  <c r="C544" i="15"/>
  <c r="G544" i="15" s="1"/>
  <c r="C626" i="15"/>
  <c r="C622" i="15"/>
  <c r="C647" i="15"/>
  <c r="C545" i="15"/>
  <c r="G545" i="15" s="1"/>
  <c r="C568" i="15"/>
  <c r="C501" i="15"/>
  <c r="G501" i="15" s="1"/>
  <c r="C704" i="15"/>
  <c r="C532" i="15"/>
  <c r="G532" i="15" s="1"/>
  <c r="C513" i="15"/>
  <c r="G513" i="15" s="1"/>
  <c r="C569" i="15"/>
  <c r="C619" i="15"/>
  <c r="C559" i="15"/>
  <c r="C687" i="15"/>
  <c r="C515" i="15"/>
  <c r="G515" i="15" s="1"/>
  <c r="C691" i="15"/>
  <c r="C519" i="15"/>
  <c r="G519" i="15" s="1"/>
  <c r="C516" i="15"/>
  <c r="G516" i="15" s="1"/>
  <c r="C688" i="15"/>
  <c r="C525" i="15"/>
  <c r="G525" i="15" s="1"/>
  <c r="C552" i="15"/>
  <c r="C620" i="15"/>
  <c r="C574" i="15"/>
  <c r="C534" i="15"/>
  <c r="G534" i="15" s="1"/>
  <c r="C706" i="15"/>
  <c r="C614" i="15"/>
  <c r="C550" i="15"/>
  <c r="G550" i="15" s="1"/>
  <c r="C694" i="15"/>
  <c r="C522" i="15"/>
  <c r="G522" i="15" s="1"/>
  <c r="C528" i="15"/>
  <c r="G528" i="15" s="1"/>
  <c r="C679" i="15"/>
  <c r="C507" i="15"/>
  <c r="G507" i="15" s="1"/>
  <c r="C623" i="15"/>
  <c r="C562" i="15"/>
  <c r="C631" i="15"/>
  <c r="C542" i="15"/>
  <c r="C633" i="15"/>
  <c r="C548" i="15"/>
  <c r="C564" i="15"/>
  <c r="C566" i="15"/>
  <c r="C641" i="15"/>
  <c r="C646" i="15"/>
  <c r="C571" i="15"/>
  <c r="C530" i="15"/>
  <c r="G530" i="15" s="1"/>
  <c r="C702" i="15"/>
  <c r="E815" i="15"/>
  <c r="C540" i="15"/>
  <c r="G540" i="15" s="1"/>
  <c r="C712" i="15"/>
  <c r="C690" i="15"/>
  <c r="C518" i="15"/>
  <c r="G518" i="15" s="1"/>
  <c r="C695" i="15"/>
  <c r="C523" i="15"/>
  <c r="G523" i="15" s="1"/>
  <c r="C710" i="15"/>
  <c r="C538" i="15"/>
  <c r="G538" i="15" s="1"/>
  <c r="C527" i="15"/>
  <c r="G527" i="15" s="1"/>
  <c r="C699" i="15"/>
  <c r="C543" i="15"/>
  <c r="C616" i="15"/>
  <c r="C630" i="15"/>
  <c r="C546" i="15"/>
  <c r="G546" i="15" s="1"/>
  <c r="C675" i="15"/>
  <c r="C503" i="15"/>
  <c r="G503" i="15" s="1"/>
  <c r="C671" i="15"/>
  <c r="C499" i="15"/>
  <c r="G499" i="15" s="1"/>
  <c r="C686" i="15"/>
  <c r="C514" i="15"/>
  <c r="G514" i="15" s="1"/>
  <c r="C526" i="15"/>
  <c r="G526" i="15" s="1"/>
  <c r="C698" i="15"/>
  <c r="C634" i="15"/>
  <c r="C554" i="15"/>
  <c r="C703" i="15"/>
  <c r="C531" i="15"/>
  <c r="G531" i="15" s="1"/>
  <c r="C670" i="15"/>
  <c r="C498" i="15"/>
  <c r="G498" i="15" s="1"/>
  <c r="C683" i="15"/>
  <c r="C511" i="15"/>
  <c r="G511" i="15" s="1"/>
  <c r="C711" i="15"/>
  <c r="C539" i="15"/>
  <c r="G539" i="15" s="1"/>
  <c r="C506" i="15"/>
  <c r="G506" i="15" s="1"/>
  <c r="C678" i="15"/>
  <c r="C638" i="15"/>
  <c r="C558" i="15"/>
  <c r="C570" i="15"/>
  <c r="C645" i="15"/>
  <c r="C680" i="15"/>
  <c r="C508" i="15"/>
  <c r="G508" i="15" s="1"/>
  <c r="C617" i="15"/>
  <c r="C555" i="15"/>
  <c r="C682" i="15"/>
  <c r="C510" i="15"/>
  <c r="G510" i="15" s="1"/>
  <c r="C696" i="15"/>
  <c r="C524" i="15"/>
  <c r="G524" i="15" s="1"/>
  <c r="C551" i="15"/>
  <c r="C629" i="15"/>
  <c r="E816" i="15"/>
  <c r="C428" i="15"/>
  <c r="F379" i="15"/>
  <c r="C496" i="15"/>
  <c r="G496" i="15" s="1"/>
  <c r="C668" i="15"/>
  <c r="J734" i="15"/>
  <c r="J815" i="15" s="1"/>
  <c r="CE67" i="15"/>
  <c r="CE71" i="15" s="1"/>
  <c r="C716" i="15" s="1"/>
  <c r="D615" i="14"/>
  <c r="C648" i="14"/>
  <c r="M716" i="14" s="1"/>
  <c r="Y816" i="14" s="1"/>
  <c r="C715" i="14"/>
  <c r="C496" i="14"/>
  <c r="G496" i="14" s="1"/>
  <c r="C668" i="14"/>
  <c r="C433" i="14"/>
  <c r="J816" i="14"/>
  <c r="C428" i="14"/>
  <c r="C441" i="14" s="1"/>
  <c r="CE71" i="14"/>
  <c r="C716" i="14" s="1"/>
  <c r="E816" i="14"/>
  <c r="C694" i="13"/>
  <c r="C522" i="13"/>
  <c r="C626" i="13"/>
  <c r="C563" i="13"/>
  <c r="G508" i="13"/>
  <c r="H508" i="13"/>
  <c r="C706" i="13"/>
  <c r="C534" i="13"/>
  <c r="G534" i="13" s="1"/>
  <c r="C635" i="13"/>
  <c r="C556" i="13"/>
  <c r="C550" i="13"/>
  <c r="C614" i="13"/>
  <c r="G530" i="13"/>
  <c r="H530" i="13"/>
  <c r="C690" i="13"/>
  <c r="C518" i="13"/>
  <c r="C681" i="13"/>
  <c r="C509" i="13"/>
  <c r="C529" i="13"/>
  <c r="G529" i="13" s="1"/>
  <c r="C701" i="13"/>
  <c r="C712" i="13"/>
  <c r="C540" i="13"/>
  <c r="G540" i="13" s="1"/>
  <c r="C696" i="13"/>
  <c r="C524" i="13"/>
  <c r="C704" i="13"/>
  <c r="C532" i="13"/>
  <c r="G532" i="13" s="1"/>
  <c r="C645" i="13"/>
  <c r="C570" i="13"/>
  <c r="C711" i="13"/>
  <c r="C539" i="13"/>
  <c r="G539" i="13" s="1"/>
  <c r="C674" i="13"/>
  <c r="C502" i="13"/>
  <c r="G502" i="13" s="1"/>
  <c r="C677" i="13"/>
  <c r="C505" i="13"/>
  <c r="G505" i="13" s="1"/>
  <c r="C629" i="13"/>
  <c r="C551" i="13"/>
  <c r="J816" i="13"/>
  <c r="C433" i="13"/>
  <c r="C558" i="13"/>
  <c r="C638" i="13"/>
  <c r="C698" i="13"/>
  <c r="C526" i="13"/>
  <c r="C567" i="13"/>
  <c r="C642" i="13"/>
  <c r="C686" i="13"/>
  <c r="C514" i="13"/>
  <c r="C683" i="13"/>
  <c r="C511" i="13"/>
  <c r="C672" i="13"/>
  <c r="C500" i="13"/>
  <c r="G500" i="13" s="1"/>
  <c r="C619" i="13"/>
  <c r="C559" i="13"/>
  <c r="C688" i="13"/>
  <c r="C516" i="13"/>
  <c r="C636" i="13"/>
  <c r="C553" i="13"/>
  <c r="C618" i="13"/>
  <c r="C552" i="13"/>
  <c r="C673" i="13"/>
  <c r="C501" i="13"/>
  <c r="G501" i="13" s="1"/>
  <c r="C639" i="13"/>
  <c r="C564" i="13"/>
  <c r="C703" i="13"/>
  <c r="C531" i="13"/>
  <c r="C544" i="13"/>
  <c r="C625" i="13"/>
  <c r="C676" i="13"/>
  <c r="C504" i="13"/>
  <c r="G504" i="13" s="1"/>
  <c r="G528" i="13"/>
  <c r="H528" i="13" s="1"/>
  <c r="C627" i="13"/>
  <c r="C560" i="13"/>
  <c r="C709" i="13"/>
  <c r="C537" i="13"/>
  <c r="G537" i="13" s="1"/>
  <c r="C568" i="13"/>
  <c r="C643" i="13"/>
  <c r="C678" i="13"/>
  <c r="C506" i="13"/>
  <c r="G506" i="13" s="1"/>
  <c r="C554" i="13"/>
  <c r="C634" i="13"/>
  <c r="C503" i="13"/>
  <c r="C675" i="13"/>
  <c r="C574" i="13"/>
  <c r="C620" i="13"/>
  <c r="C713" i="13"/>
  <c r="C541" i="13"/>
  <c r="C705" i="13"/>
  <c r="C533" i="13"/>
  <c r="G533" i="13" s="1"/>
  <c r="C708" i="13"/>
  <c r="C536" i="13"/>
  <c r="G536" i="13" s="1"/>
  <c r="C684" i="13"/>
  <c r="C512" i="13"/>
  <c r="C538" i="13"/>
  <c r="G538" i="13" s="1"/>
  <c r="C710" i="13"/>
  <c r="E734" i="13"/>
  <c r="E815" i="13" s="1"/>
  <c r="CE62" i="13"/>
  <c r="C71" i="13"/>
  <c r="C569" i="13"/>
  <c r="C644" i="13"/>
  <c r="C682" i="13"/>
  <c r="C510" i="13"/>
  <c r="C691" i="13"/>
  <c r="C519" i="13"/>
  <c r="C670" i="13"/>
  <c r="C498" i="13"/>
  <c r="C562" i="13"/>
  <c r="C623" i="13"/>
  <c r="C632" i="13"/>
  <c r="C547" i="13"/>
  <c r="C621" i="13"/>
  <c r="C561" i="13"/>
  <c r="C515" i="13"/>
  <c r="G515" i="13" s="1"/>
  <c r="C687" i="13"/>
  <c r="C633" i="13"/>
  <c r="C548" i="13"/>
  <c r="C527" i="13"/>
  <c r="G527" i="13" s="1"/>
  <c r="C699" i="13"/>
  <c r="C671" i="13"/>
  <c r="C499" i="13"/>
  <c r="G499" i="13" s="1"/>
  <c r="C646" i="13"/>
  <c r="C571" i="13"/>
  <c r="C546" i="13"/>
  <c r="G546" i="13" s="1"/>
  <c r="C630" i="13"/>
  <c r="C617" i="13"/>
  <c r="C555" i="13"/>
  <c r="C628" i="13"/>
  <c r="C545" i="13"/>
  <c r="G545" i="13" s="1"/>
  <c r="C640" i="13"/>
  <c r="C565" i="13"/>
  <c r="C523" i="13"/>
  <c r="G523" i="13" s="1"/>
  <c r="C695" i="13"/>
  <c r="C669" i="13"/>
  <c r="C497" i="13"/>
  <c r="G497" i="13" s="1"/>
  <c r="C521" i="13"/>
  <c r="C693" i="13"/>
  <c r="C566" i="13"/>
  <c r="C641" i="13"/>
  <c r="C517" i="13"/>
  <c r="C689" i="13"/>
  <c r="C631" i="13"/>
  <c r="C542" i="13"/>
  <c r="C622" i="13"/>
  <c r="C573" i="13"/>
  <c r="C679" i="13"/>
  <c r="C507" i="13"/>
  <c r="G507" i="13" s="1"/>
  <c r="C637" i="13"/>
  <c r="C557" i="13"/>
  <c r="C520" i="13"/>
  <c r="C692" i="13"/>
  <c r="CG67" i="15" l="1"/>
  <c r="CH67" i="15" s="1"/>
  <c r="C384" i="16"/>
  <c r="C496" i="16"/>
  <c r="G496" i="16" s="1"/>
  <c r="C668" i="16"/>
  <c r="C715" i="16" s="1"/>
  <c r="D615" i="16"/>
  <c r="C648" i="16"/>
  <c r="M716" i="16" s="1"/>
  <c r="Y816" i="16" s="1"/>
  <c r="J816" i="16"/>
  <c r="C433" i="16"/>
  <c r="C441" i="16" s="1"/>
  <c r="F384" i="16"/>
  <c r="CE71" i="16"/>
  <c r="C715" i="15"/>
  <c r="D615" i="15"/>
  <c r="C648" i="15"/>
  <c r="M716" i="15" s="1"/>
  <c r="Y816" i="15" s="1"/>
  <c r="J816" i="15"/>
  <c r="F384" i="15"/>
  <c r="C433" i="15"/>
  <c r="C441" i="15" s="1"/>
  <c r="D625" i="14"/>
  <c r="D671" i="14"/>
  <c r="D679" i="14"/>
  <c r="D687" i="14"/>
  <c r="D695" i="14"/>
  <c r="D619" i="14"/>
  <c r="D623" i="14"/>
  <c r="D674" i="14"/>
  <c r="D682" i="14"/>
  <c r="D690" i="14"/>
  <c r="D627" i="14"/>
  <c r="D669" i="14"/>
  <c r="D677" i="14"/>
  <c r="D685" i="14"/>
  <c r="D693" i="14"/>
  <c r="D616" i="14"/>
  <c r="D620" i="14"/>
  <c r="D672" i="14"/>
  <c r="D680" i="14"/>
  <c r="D688" i="14"/>
  <c r="D624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75" i="14"/>
  <c r="D683" i="14"/>
  <c r="D691" i="14"/>
  <c r="D673" i="14"/>
  <c r="D681" i="14"/>
  <c r="D689" i="14"/>
  <c r="D618" i="14"/>
  <c r="D622" i="14"/>
  <c r="D628" i="14"/>
  <c r="D668" i="14"/>
  <c r="D676" i="14"/>
  <c r="D684" i="14"/>
  <c r="D692" i="14"/>
  <c r="D647" i="14"/>
  <c r="D699" i="14"/>
  <c r="D707" i="14"/>
  <c r="D716" i="14"/>
  <c r="D646" i="14"/>
  <c r="D704" i="14"/>
  <c r="D617" i="14"/>
  <c r="D702" i="14"/>
  <c r="D710" i="14"/>
  <c r="D712" i="14"/>
  <c r="D621" i="14"/>
  <c r="D686" i="14"/>
  <c r="D697" i="14"/>
  <c r="D705" i="14"/>
  <c r="D713" i="14"/>
  <c r="D700" i="14"/>
  <c r="D708" i="14"/>
  <c r="D626" i="14"/>
  <c r="D670" i="14"/>
  <c r="D703" i="14"/>
  <c r="D711" i="14"/>
  <c r="D678" i="14"/>
  <c r="D696" i="14"/>
  <c r="D694" i="14"/>
  <c r="D698" i="14"/>
  <c r="D706" i="14"/>
  <c r="D629" i="14"/>
  <c r="D645" i="14"/>
  <c r="D701" i="14"/>
  <c r="D709" i="14"/>
  <c r="G524" i="13"/>
  <c r="H524" i="13"/>
  <c r="G518" i="13"/>
  <c r="H518" i="13" s="1"/>
  <c r="G520" i="13"/>
  <c r="H520" i="13"/>
  <c r="G512" i="13"/>
  <c r="H512" i="13"/>
  <c r="G510" i="13"/>
  <c r="H510" i="13" s="1"/>
  <c r="G517" i="13"/>
  <c r="H517" i="13"/>
  <c r="G526" i="13"/>
  <c r="H526" i="13"/>
  <c r="G498" i="13"/>
  <c r="H498" i="13" s="1"/>
  <c r="C668" i="13"/>
  <c r="C496" i="13"/>
  <c r="H503" i="13"/>
  <c r="G503" i="13"/>
  <c r="G544" i="13"/>
  <c r="H544" i="13" s="1"/>
  <c r="C715" i="13"/>
  <c r="C648" i="13"/>
  <c r="M716" i="13" s="1"/>
  <c r="Y816" i="13" s="1"/>
  <c r="D615" i="13"/>
  <c r="E816" i="13"/>
  <c r="C428" i="13"/>
  <c r="C441" i="13" s="1"/>
  <c r="CE71" i="13"/>
  <c r="C716" i="13" s="1"/>
  <c r="G531" i="13"/>
  <c r="H531" i="13"/>
  <c r="H511" i="13"/>
  <c r="G511" i="13"/>
  <c r="G550" i="13"/>
  <c r="H550" i="13" s="1"/>
  <c r="G509" i="13"/>
  <c r="H509" i="13"/>
  <c r="G522" i="13"/>
  <c r="H522" i="13" s="1"/>
  <c r="G519" i="13"/>
  <c r="H519" i="13"/>
  <c r="G521" i="13"/>
  <c r="H521" i="13"/>
  <c r="G516" i="13"/>
  <c r="H516" i="13"/>
  <c r="G514" i="13"/>
  <c r="H514" i="13" s="1"/>
  <c r="BW730" i="16" l="1"/>
  <c r="J817" i="16"/>
  <c r="B433" i="16"/>
  <c r="D390" i="16"/>
  <c r="C716" i="16"/>
  <c r="CG71" i="15"/>
  <c r="CH71" i="15" s="1"/>
  <c r="D709" i="16"/>
  <c r="D701" i="16"/>
  <c r="D693" i="16"/>
  <c r="D685" i="16"/>
  <c r="D706" i="16"/>
  <c r="D698" i="16"/>
  <c r="D690" i="16"/>
  <c r="D711" i="16"/>
  <c r="D703" i="16"/>
  <c r="D695" i="16"/>
  <c r="D687" i="16"/>
  <c r="D708" i="16"/>
  <c r="D700" i="16"/>
  <c r="D692" i="16"/>
  <c r="D684" i="16"/>
  <c r="D713" i="16"/>
  <c r="D705" i="16"/>
  <c r="D697" i="16"/>
  <c r="D689" i="16"/>
  <c r="D710" i="16"/>
  <c r="D702" i="16"/>
  <c r="D694" i="16"/>
  <c r="D686" i="16"/>
  <c r="D716" i="16"/>
  <c r="D707" i="16"/>
  <c r="D699" i="16"/>
  <c r="D691" i="16"/>
  <c r="D683" i="16"/>
  <c r="D682" i="16"/>
  <c r="D676" i="16"/>
  <c r="D668" i="16"/>
  <c r="D628" i="16"/>
  <c r="D622" i="16"/>
  <c r="D618" i="16"/>
  <c r="D712" i="16"/>
  <c r="D681" i="16"/>
  <c r="D673" i="16"/>
  <c r="D688" i="16"/>
  <c r="D678" i="16"/>
  <c r="D67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4" i="16"/>
  <c r="D704" i="16"/>
  <c r="D680" i="16"/>
  <c r="D672" i="16"/>
  <c r="D620" i="16"/>
  <c r="D616" i="16"/>
  <c r="D677" i="16"/>
  <c r="D669" i="16"/>
  <c r="D627" i="16"/>
  <c r="D674" i="16"/>
  <c r="D623" i="16"/>
  <c r="D619" i="16"/>
  <c r="D679" i="16"/>
  <c r="D645" i="16"/>
  <c r="D629" i="16"/>
  <c r="D696" i="16"/>
  <c r="D617" i="16"/>
  <c r="D647" i="16"/>
  <c r="D671" i="16"/>
  <c r="D621" i="16"/>
  <c r="D646" i="16"/>
  <c r="D625" i="16"/>
  <c r="D670" i="16"/>
  <c r="D626" i="16"/>
  <c r="D693" i="15"/>
  <c r="D687" i="15"/>
  <c r="D689" i="15"/>
  <c r="D691" i="15"/>
  <c r="D682" i="15"/>
  <c r="D622" i="15"/>
  <c r="D641" i="15"/>
  <c r="D633" i="15"/>
  <c r="D621" i="15"/>
  <c r="D646" i="15"/>
  <c r="D711" i="15"/>
  <c r="D685" i="15"/>
  <c r="D708" i="15"/>
  <c r="D710" i="15"/>
  <c r="D680" i="15"/>
  <c r="D679" i="15"/>
  <c r="D618" i="15"/>
  <c r="D640" i="15"/>
  <c r="D632" i="15"/>
  <c r="D677" i="15"/>
  <c r="D616" i="15"/>
  <c r="D670" i="15"/>
  <c r="D688" i="15"/>
  <c r="D674" i="15"/>
  <c r="D712" i="15"/>
  <c r="D706" i="15"/>
  <c r="D700" i="15"/>
  <c r="D702" i="15"/>
  <c r="D672" i="15"/>
  <c r="D671" i="15"/>
  <c r="D681" i="15"/>
  <c r="D639" i="15"/>
  <c r="D631" i="15"/>
  <c r="D617" i="15"/>
  <c r="D684" i="15"/>
  <c r="D675" i="15"/>
  <c r="D713" i="15"/>
  <c r="D636" i="15"/>
  <c r="D647" i="15"/>
  <c r="D704" i="15"/>
  <c r="D698" i="15"/>
  <c r="D692" i="15"/>
  <c r="D694" i="15"/>
  <c r="D620" i="15"/>
  <c r="D625" i="15"/>
  <c r="D673" i="15"/>
  <c r="D638" i="15"/>
  <c r="D630" i="15"/>
  <c r="D627" i="15"/>
  <c r="D696" i="15"/>
  <c r="D683" i="15"/>
  <c r="D709" i="15"/>
  <c r="D703" i="15"/>
  <c r="D705" i="15"/>
  <c r="D707" i="15"/>
  <c r="D623" i="15"/>
  <c r="D668" i="15"/>
  <c r="D643" i="15"/>
  <c r="D635" i="15"/>
  <c r="D645" i="15"/>
  <c r="D626" i="15"/>
  <c r="D686" i="15"/>
  <c r="D624" i="15"/>
  <c r="D716" i="15"/>
  <c r="D644" i="15"/>
  <c r="D669" i="15"/>
  <c r="D701" i="15"/>
  <c r="D695" i="15"/>
  <c r="D697" i="15"/>
  <c r="D699" i="15"/>
  <c r="D619" i="15"/>
  <c r="D628" i="15"/>
  <c r="D642" i="15"/>
  <c r="D634" i="15"/>
  <c r="D629" i="15"/>
  <c r="D678" i="15"/>
  <c r="D690" i="15"/>
  <c r="D637" i="15"/>
  <c r="D676" i="15"/>
  <c r="D715" i="14"/>
  <c r="E623" i="14"/>
  <c r="E612" i="14"/>
  <c r="G496" i="13"/>
  <c r="H496" i="13"/>
  <c r="D712" i="13"/>
  <c r="D709" i="13"/>
  <c r="D711" i="13"/>
  <c r="D708" i="13"/>
  <c r="D713" i="13"/>
  <c r="D710" i="13"/>
  <c r="D716" i="13"/>
  <c r="D705" i="13"/>
  <c r="D697" i="13"/>
  <c r="D699" i="13"/>
  <c r="D691" i="13"/>
  <c r="D683" i="13"/>
  <c r="D675" i="13"/>
  <c r="D644" i="13"/>
  <c r="D643" i="13"/>
  <c r="D642" i="13"/>
  <c r="D641" i="13"/>
  <c r="D640" i="13"/>
  <c r="D639" i="13"/>
  <c r="D638" i="13"/>
  <c r="D637" i="13"/>
  <c r="D701" i="13"/>
  <c r="D693" i="13"/>
  <c r="D685" i="13"/>
  <c r="D677" i="13"/>
  <c r="D669" i="13"/>
  <c r="D703" i="13"/>
  <c r="D695" i="13"/>
  <c r="D687" i="13"/>
  <c r="D679" i="13"/>
  <c r="D671" i="13"/>
  <c r="D702" i="13"/>
  <c r="D689" i="13"/>
  <c r="D682" i="13"/>
  <c r="D668" i="13"/>
  <c r="D706" i="13"/>
  <c r="D684" i="13"/>
  <c r="D624" i="13"/>
  <c r="D700" i="13"/>
  <c r="D692" i="13"/>
  <c r="D670" i="13"/>
  <c r="D634" i="13"/>
  <c r="D630" i="13"/>
  <c r="D620" i="13"/>
  <c r="D616" i="13"/>
  <c r="D707" i="13"/>
  <c r="D704" i="13"/>
  <c r="D686" i="13"/>
  <c r="D672" i="13"/>
  <c r="D635" i="13"/>
  <c r="D631" i="13"/>
  <c r="D623" i="13"/>
  <c r="D619" i="13"/>
  <c r="D698" i="13"/>
  <c r="D694" i="13"/>
  <c r="D680" i="13"/>
  <c r="D673" i="13"/>
  <c r="D625" i="13"/>
  <c r="D626" i="13"/>
  <c r="D618" i="13"/>
  <c r="D690" i="13"/>
  <c r="D636" i="13"/>
  <c r="D629" i="13"/>
  <c r="D696" i="13"/>
  <c r="D674" i="13"/>
  <c r="D632" i="13"/>
  <c r="D628" i="13"/>
  <c r="D647" i="13"/>
  <c r="D622" i="13"/>
  <c r="D676" i="13"/>
  <c r="D627" i="13"/>
  <c r="D621" i="13"/>
  <c r="D645" i="13"/>
  <c r="D688" i="13"/>
  <c r="D617" i="13"/>
  <c r="D681" i="13"/>
  <c r="D633" i="13"/>
  <c r="D678" i="13"/>
  <c r="D646" i="13"/>
  <c r="B441" i="16" l="1"/>
  <c r="D391" i="16"/>
  <c r="D393" i="16" s="1"/>
  <c r="D396" i="16" s="1"/>
  <c r="D399" i="15" s="1"/>
  <c r="D400" i="15" s="1"/>
  <c r="E612" i="16"/>
  <c r="D715" i="16"/>
  <c r="E623" i="16"/>
  <c r="E612" i="15"/>
  <c r="E623" i="15"/>
  <c r="D715" i="15"/>
  <c r="E628" i="14"/>
  <c r="E668" i="14"/>
  <c r="E676" i="14"/>
  <c r="E684" i="14"/>
  <c r="E692" i="14"/>
  <c r="E625" i="14"/>
  <c r="E671" i="14"/>
  <c r="E679" i="14"/>
  <c r="E687" i="14"/>
  <c r="E695" i="14"/>
  <c r="E674" i="14"/>
  <c r="E682" i="14"/>
  <c r="E690" i="14"/>
  <c r="E627" i="14"/>
  <c r="E669" i="14"/>
  <c r="E677" i="14"/>
  <c r="E685" i="14"/>
  <c r="E693" i="14"/>
  <c r="E672" i="14"/>
  <c r="E680" i="14"/>
  <c r="E688" i="14"/>
  <c r="E626" i="14"/>
  <c r="E629" i="14"/>
  <c r="E645" i="14"/>
  <c r="E646" i="14"/>
  <c r="E647" i="14"/>
  <c r="E670" i="14"/>
  <c r="E678" i="14"/>
  <c r="E686" i="14"/>
  <c r="E673" i="14"/>
  <c r="E681" i="14"/>
  <c r="E689" i="14"/>
  <c r="E631" i="14"/>
  <c r="E639" i="14"/>
  <c r="E696" i="14"/>
  <c r="E704" i="14"/>
  <c r="E712" i="14"/>
  <c r="E632" i="14"/>
  <c r="E640" i="14"/>
  <c r="E691" i="14"/>
  <c r="E699" i="14"/>
  <c r="E707" i="14"/>
  <c r="E716" i="14"/>
  <c r="E630" i="14"/>
  <c r="E633" i="14"/>
  <c r="E641" i="14"/>
  <c r="E702" i="14"/>
  <c r="E710" i="14"/>
  <c r="E624" i="14"/>
  <c r="E634" i="14"/>
  <c r="E642" i="14"/>
  <c r="E675" i="14"/>
  <c r="E697" i="14"/>
  <c r="E705" i="14"/>
  <c r="E713" i="14"/>
  <c r="E709" i="14"/>
  <c r="E635" i="14"/>
  <c r="E643" i="14"/>
  <c r="E700" i="14"/>
  <c r="E708" i="14"/>
  <c r="E638" i="14"/>
  <c r="E701" i="14"/>
  <c r="E636" i="14"/>
  <c r="E644" i="14"/>
  <c r="E703" i="14"/>
  <c r="E711" i="14"/>
  <c r="E637" i="14"/>
  <c r="E683" i="14"/>
  <c r="E694" i="14"/>
  <c r="E698" i="14"/>
  <c r="E706" i="14"/>
  <c r="E612" i="13"/>
  <c r="D715" i="13"/>
  <c r="E623" i="13"/>
  <c r="E706" i="16" l="1"/>
  <c r="E698" i="16"/>
  <c r="E690" i="16"/>
  <c r="E711" i="16"/>
  <c r="E703" i="16"/>
  <c r="E695" i="16"/>
  <c r="E687" i="16"/>
  <c r="E708" i="16"/>
  <c r="E700" i="16"/>
  <c r="E692" i="16"/>
  <c r="E684" i="16"/>
  <c r="E713" i="16"/>
  <c r="E705" i="16"/>
  <c r="E697" i="16"/>
  <c r="E689" i="16"/>
  <c r="E710" i="16"/>
  <c r="E702" i="16"/>
  <c r="E694" i="16"/>
  <c r="E686" i="16"/>
  <c r="E716" i="16"/>
  <c r="E707" i="16"/>
  <c r="E699" i="16"/>
  <c r="E691" i="16"/>
  <c r="E683" i="16"/>
  <c r="E712" i="16"/>
  <c r="E704" i="16"/>
  <c r="E696" i="16"/>
  <c r="E688" i="16"/>
  <c r="E701" i="16"/>
  <c r="E681" i="16"/>
  <c r="E673" i="16"/>
  <c r="E678" i="16"/>
  <c r="E675" i="16"/>
  <c r="E693" i="16"/>
  <c r="E680" i="16"/>
  <c r="E672" i="16"/>
  <c r="E677" i="16"/>
  <c r="E669" i="16"/>
  <c r="E627" i="16"/>
  <c r="E709" i="16"/>
  <c r="E674" i="16"/>
  <c r="E685" i="16"/>
  <c r="E679" i="16"/>
  <c r="E671" i="16"/>
  <c r="E625" i="16"/>
  <c r="E637" i="16"/>
  <c r="E645" i="16"/>
  <c r="E647" i="16"/>
  <c r="E642" i="16"/>
  <c r="E634" i="16"/>
  <c r="E628" i="16"/>
  <c r="E624" i="16"/>
  <c r="F624" i="16" s="1"/>
  <c r="F700" i="16" s="1"/>
  <c r="E640" i="16"/>
  <c r="E639" i="16"/>
  <c r="E631" i="16"/>
  <c r="E644" i="16"/>
  <c r="E636" i="16"/>
  <c r="E682" i="16"/>
  <c r="E676" i="16"/>
  <c r="E646" i="16"/>
  <c r="E641" i="16"/>
  <c r="E633" i="16"/>
  <c r="E629" i="16"/>
  <c r="E670" i="16"/>
  <c r="E668" i="16"/>
  <c r="E638" i="16"/>
  <c r="E630" i="16"/>
  <c r="E626" i="16"/>
  <c r="E643" i="16"/>
  <c r="E635" i="16"/>
  <c r="E632" i="16"/>
  <c r="F711" i="16"/>
  <c r="E716" i="15"/>
  <c r="E701" i="15"/>
  <c r="E675" i="15"/>
  <c r="E640" i="15"/>
  <c r="E680" i="15"/>
  <c r="E671" i="15"/>
  <c r="E625" i="15"/>
  <c r="E696" i="15"/>
  <c r="E677" i="15"/>
  <c r="E707" i="15"/>
  <c r="E670" i="15"/>
  <c r="E669" i="15"/>
  <c r="E628" i="15"/>
  <c r="E692" i="15"/>
  <c r="E713" i="15"/>
  <c r="E695" i="15"/>
  <c r="E687" i="15"/>
  <c r="E642" i="15"/>
  <c r="E636" i="15"/>
  <c r="E678" i="15"/>
  <c r="E688" i="15"/>
  <c r="E676" i="15"/>
  <c r="E682" i="15"/>
  <c r="E700" i="15"/>
  <c r="E697" i="15"/>
  <c r="E693" i="15"/>
  <c r="E685" i="15"/>
  <c r="E638" i="15"/>
  <c r="E672" i="15"/>
  <c r="E641" i="15"/>
  <c r="E647" i="15"/>
  <c r="E646" i="15"/>
  <c r="E668" i="15"/>
  <c r="E706" i="15"/>
  <c r="E639" i="15"/>
  <c r="E674" i="15"/>
  <c r="E683" i="15"/>
  <c r="E624" i="15"/>
  <c r="F624" i="15" s="1"/>
  <c r="F698" i="15" s="1"/>
  <c r="E631" i="15"/>
  <c r="E704" i="15"/>
  <c r="E699" i="15"/>
  <c r="E689" i="15"/>
  <c r="E708" i="15"/>
  <c r="E698" i="15"/>
  <c r="E632" i="15"/>
  <c r="E643" i="15"/>
  <c r="E637" i="15"/>
  <c r="E633" i="15"/>
  <c r="E645" i="15"/>
  <c r="E710" i="15"/>
  <c r="E635" i="15"/>
  <c r="E709" i="15"/>
  <c r="E626" i="15"/>
  <c r="E686" i="15"/>
  <c r="E627" i="15"/>
  <c r="E691" i="15"/>
  <c r="E634" i="15"/>
  <c r="E630" i="15"/>
  <c r="E690" i="15"/>
  <c r="E673" i="15"/>
  <c r="E629" i="15"/>
  <c r="E681" i="15"/>
  <c r="E679" i="15"/>
  <c r="E702" i="15"/>
  <c r="E694" i="15"/>
  <c r="E684" i="15"/>
  <c r="E711" i="15"/>
  <c r="E703" i="15"/>
  <c r="E644" i="15"/>
  <c r="E712" i="15"/>
  <c r="E705" i="15"/>
  <c r="E715" i="14"/>
  <c r="F624" i="14"/>
  <c r="E709" i="13"/>
  <c r="E711" i="13"/>
  <c r="E708" i="13"/>
  <c r="E713" i="13"/>
  <c r="E710" i="13"/>
  <c r="E716" i="13"/>
  <c r="E702" i="13"/>
  <c r="E707" i="13"/>
  <c r="E704" i="13"/>
  <c r="E696" i="13"/>
  <c r="E688" i="13"/>
  <c r="E680" i="13"/>
  <c r="E672" i="13"/>
  <c r="E712" i="13"/>
  <c r="E706" i="13"/>
  <c r="E698" i="13"/>
  <c r="E690" i="13"/>
  <c r="E682" i="13"/>
  <c r="E674" i="13"/>
  <c r="E700" i="13"/>
  <c r="E692" i="13"/>
  <c r="E684" i="13"/>
  <c r="E676" i="13"/>
  <c r="E668" i="13"/>
  <c r="E699" i="13"/>
  <c r="E675" i="13"/>
  <c r="E645" i="13"/>
  <c r="E642" i="13"/>
  <c r="E633" i="13"/>
  <c r="E629" i="13"/>
  <c r="E626" i="13"/>
  <c r="E703" i="13"/>
  <c r="E691" i="13"/>
  <c r="E677" i="13"/>
  <c r="E670" i="13"/>
  <c r="E640" i="13"/>
  <c r="E634" i="13"/>
  <c r="E630" i="13"/>
  <c r="E697" i="13"/>
  <c r="E685" i="13"/>
  <c r="E678" i="13"/>
  <c r="E671" i="13"/>
  <c r="E646" i="13"/>
  <c r="E643" i="13"/>
  <c r="E627" i="13"/>
  <c r="E701" i="13"/>
  <c r="E694" i="13"/>
  <c r="E687" i="13"/>
  <c r="E673" i="13"/>
  <c r="E641" i="13"/>
  <c r="E625" i="13"/>
  <c r="E695" i="13"/>
  <c r="E681" i="13"/>
  <c r="E647" i="13"/>
  <c r="E644" i="13"/>
  <c r="E636" i="13"/>
  <c r="E632" i="13"/>
  <c r="E628" i="13"/>
  <c r="E669" i="13"/>
  <c r="E637" i="13"/>
  <c r="E693" i="13"/>
  <c r="E624" i="13"/>
  <c r="E689" i="13"/>
  <c r="E686" i="13"/>
  <c r="E683" i="13"/>
  <c r="E639" i="13"/>
  <c r="E635" i="13"/>
  <c r="E631" i="13"/>
  <c r="E679" i="13"/>
  <c r="E638" i="13"/>
  <c r="E705" i="13"/>
  <c r="F637" i="16" l="1"/>
  <c r="F628" i="16"/>
  <c r="F680" i="16"/>
  <c r="F698" i="16"/>
  <c r="F646" i="16"/>
  <c r="F670" i="16"/>
  <c r="F641" i="16"/>
  <c r="F704" i="16"/>
  <c r="F636" i="16"/>
  <c r="F691" i="16"/>
  <c r="F634" i="16"/>
  <c r="F699" i="16"/>
  <c r="F677" i="16"/>
  <c r="F716" i="16"/>
  <c r="F630" i="16"/>
  <c r="F672" i="16"/>
  <c r="F689" i="16"/>
  <c r="F643" i="15"/>
  <c r="F647" i="15"/>
  <c r="F702" i="15"/>
  <c r="F673" i="15"/>
  <c r="F675" i="15"/>
  <c r="F626" i="15"/>
  <c r="F672" i="15"/>
  <c r="F703" i="15"/>
  <c r="F627" i="15"/>
  <c r="F630" i="15"/>
  <c r="F670" i="15"/>
  <c r="F709" i="15"/>
  <c r="F677" i="15"/>
  <c r="F682" i="15"/>
  <c r="F633" i="15"/>
  <c r="F668" i="15"/>
  <c r="F695" i="15"/>
  <c r="F631" i="15"/>
  <c r="F691" i="15"/>
  <c r="F634" i="15"/>
  <c r="F701" i="15"/>
  <c r="F683" i="15"/>
  <c r="F690" i="15"/>
  <c r="F641" i="15"/>
  <c r="F689" i="15"/>
  <c r="F679" i="15"/>
  <c r="F635" i="15"/>
  <c r="F638" i="15"/>
  <c r="F684" i="15"/>
  <c r="F669" i="15"/>
  <c r="F644" i="15"/>
  <c r="F646" i="15"/>
  <c r="F710" i="15"/>
  <c r="F707" i="15"/>
  <c r="F687" i="15"/>
  <c r="F640" i="15"/>
  <c r="F704" i="15"/>
  <c r="F642" i="15"/>
  <c r="F678" i="15"/>
  <c r="F705" i="15"/>
  <c r="F681" i="15"/>
  <c r="F639" i="15"/>
  <c r="F632" i="15"/>
  <c r="F693" i="15"/>
  <c r="F700" i="15"/>
  <c r="F676" i="15"/>
  <c r="F625" i="15"/>
  <c r="G625" i="15" s="1"/>
  <c r="F674" i="15"/>
  <c r="F713" i="15"/>
  <c r="F688" i="15"/>
  <c r="F645" i="15"/>
  <c r="F680" i="15"/>
  <c r="F706" i="15"/>
  <c r="F712" i="15"/>
  <c r="F685" i="15"/>
  <c r="F697" i="15"/>
  <c r="F711" i="15"/>
  <c r="F686" i="15"/>
  <c r="F628" i="15"/>
  <c r="F696" i="15"/>
  <c r="F694" i="15"/>
  <c r="F692" i="15"/>
  <c r="F699" i="15"/>
  <c r="F708" i="15"/>
  <c r="F637" i="15"/>
  <c r="F636" i="15"/>
  <c r="F716" i="15"/>
  <c r="F629" i="15"/>
  <c r="F671" i="15"/>
  <c r="F713" i="16"/>
  <c r="F668" i="16"/>
  <c r="F685" i="16"/>
  <c r="F684" i="16"/>
  <c r="F640" i="16"/>
  <c r="F682" i="16"/>
  <c r="F693" i="16"/>
  <c r="F692" i="16"/>
  <c r="F638" i="16"/>
  <c r="F673" i="16"/>
  <c r="F627" i="16"/>
  <c r="F647" i="16"/>
  <c r="F683" i="16"/>
  <c r="F697" i="16"/>
  <c r="F635" i="16"/>
  <c r="F644" i="16"/>
  <c r="F625" i="16"/>
  <c r="G625" i="16" s="1"/>
  <c r="F706" i="16"/>
  <c r="F701" i="16"/>
  <c r="F686" i="16"/>
  <c r="F708" i="16"/>
  <c r="F643" i="16"/>
  <c r="F631" i="16"/>
  <c r="F671" i="16"/>
  <c r="F688" i="16"/>
  <c r="F694" i="16"/>
  <c r="F687" i="16"/>
  <c r="F626" i="16"/>
  <c r="F681" i="16"/>
  <c r="F639" i="16"/>
  <c r="F674" i="16"/>
  <c r="F629" i="16"/>
  <c r="F696" i="16"/>
  <c r="F710" i="16"/>
  <c r="F695" i="16"/>
  <c r="F690" i="16"/>
  <c r="F676" i="16"/>
  <c r="F669" i="16"/>
  <c r="F645" i="16"/>
  <c r="F709" i="16"/>
  <c r="F707" i="16"/>
  <c r="F705" i="16"/>
  <c r="F703" i="16"/>
  <c r="F632" i="16"/>
  <c r="F633" i="16"/>
  <c r="F642" i="16"/>
  <c r="F679" i="16"/>
  <c r="F675" i="16"/>
  <c r="F678" i="16"/>
  <c r="F712" i="16"/>
  <c r="F702" i="16"/>
  <c r="E715" i="16"/>
  <c r="E715" i="15"/>
  <c r="F673" i="14"/>
  <c r="F681" i="14"/>
  <c r="F689" i="14"/>
  <c r="F628" i="14"/>
  <c r="F668" i="14"/>
  <c r="F676" i="14"/>
  <c r="F684" i="14"/>
  <c r="F692" i="14"/>
  <c r="F625" i="14"/>
  <c r="F671" i="14"/>
  <c r="F679" i="14"/>
  <c r="F687" i="14"/>
  <c r="F674" i="14"/>
  <c r="F682" i="14"/>
  <c r="F690" i="14"/>
  <c r="F627" i="14"/>
  <c r="F669" i="14"/>
  <c r="F677" i="14"/>
  <c r="F685" i="14"/>
  <c r="F693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75" i="14"/>
  <c r="F683" i="14"/>
  <c r="F691" i="14"/>
  <c r="F626" i="14"/>
  <c r="F629" i="14"/>
  <c r="F645" i="14"/>
  <c r="F646" i="14"/>
  <c r="F647" i="14"/>
  <c r="F670" i="14"/>
  <c r="F678" i="14"/>
  <c r="F686" i="14"/>
  <c r="F694" i="14"/>
  <c r="F701" i="14"/>
  <c r="F709" i="14"/>
  <c r="F698" i="14"/>
  <c r="F706" i="14"/>
  <c r="F695" i="14"/>
  <c r="F696" i="14"/>
  <c r="F704" i="14"/>
  <c r="F712" i="14"/>
  <c r="F680" i="14"/>
  <c r="F699" i="14"/>
  <c r="F707" i="14"/>
  <c r="F716" i="14"/>
  <c r="F672" i="14"/>
  <c r="F702" i="14"/>
  <c r="F710" i="14"/>
  <c r="F697" i="14"/>
  <c r="F705" i="14"/>
  <c r="F713" i="14"/>
  <c r="F688" i="14"/>
  <c r="F700" i="14"/>
  <c r="F708" i="14"/>
  <c r="F703" i="14"/>
  <c r="F711" i="14"/>
  <c r="E715" i="13"/>
  <c r="F624" i="13"/>
  <c r="G644" i="16" l="1"/>
  <c r="G696" i="16"/>
  <c r="G647" i="16"/>
  <c r="G675" i="16"/>
  <c r="G669" i="16"/>
  <c r="G708" i="16"/>
  <c r="G680" i="16"/>
  <c r="G711" i="16"/>
  <c r="G691" i="16"/>
  <c r="G683" i="16"/>
  <c r="G684" i="16"/>
  <c r="F715" i="15"/>
  <c r="G707" i="16"/>
  <c r="G690" i="16"/>
  <c r="G686" i="16"/>
  <c r="G693" i="16"/>
  <c r="G679" i="16"/>
  <c r="G681" i="16"/>
  <c r="G670" i="16"/>
  <c r="G689" i="16"/>
  <c r="G699" i="16"/>
  <c r="G668" i="16"/>
  <c r="G631" i="16"/>
  <c r="G641" i="16"/>
  <c r="G628" i="16"/>
  <c r="G671" i="16"/>
  <c r="G639" i="16"/>
  <c r="G698" i="16"/>
  <c r="G712" i="16"/>
  <c r="G710" i="16"/>
  <c r="G630" i="16"/>
  <c r="G688" i="16"/>
  <c r="G704" i="16"/>
  <c r="G702" i="16"/>
  <c r="G635" i="16"/>
  <c r="G627" i="16"/>
  <c r="G638" i="16"/>
  <c r="G673" i="16"/>
  <c r="G694" i="16"/>
  <c r="G700" i="16"/>
  <c r="G643" i="16"/>
  <c r="G695" i="16"/>
  <c r="G632" i="16"/>
  <c r="G645" i="16"/>
  <c r="G646" i="16"/>
  <c r="G709" i="16"/>
  <c r="G682" i="16"/>
  <c r="G626" i="16"/>
  <c r="G692" i="16"/>
  <c r="G677" i="16"/>
  <c r="G676" i="16"/>
  <c r="G634" i="16"/>
  <c r="G672" i="16"/>
  <c r="G703" i="16"/>
  <c r="G637" i="16"/>
  <c r="G685" i="16"/>
  <c r="G705" i="16"/>
  <c r="G716" i="16"/>
  <c r="G687" i="16"/>
  <c r="G674" i="16"/>
  <c r="G642" i="16"/>
  <c r="G636" i="16"/>
  <c r="F715" i="16"/>
  <c r="G701" i="16"/>
  <c r="G697" i="16"/>
  <c r="G678" i="16"/>
  <c r="G629" i="16"/>
  <c r="G713" i="16"/>
  <c r="G633" i="16"/>
  <c r="G640" i="16"/>
  <c r="G706" i="16"/>
  <c r="G638" i="15"/>
  <c r="G675" i="15"/>
  <c r="G700" i="15"/>
  <c r="G647" i="15"/>
  <c r="G643" i="15"/>
  <c r="G645" i="15"/>
  <c r="G682" i="15"/>
  <c r="G639" i="15"/>
  <c r="G630" i="15"/>
  <c r="G637" i="15"/>
  <c r="G702" i="15"/>
  <c r="G716" i="15"/>
  <c r="G635" i="15"/>
  <c r="G640" i="15"/>
  <c r="G633" i="15"/>
  <c r="G631" i="15"/>
  <c r="G689" i="15"/>
  <c r="G669" i="15"/>
  <c r="G692" i="15"/>
  <c r="G628" i="15"/>
  <c r="G686" i="15"/>
  <c r="G687" i="15"/>
  <c r="G676" i="15"/>
  <c r="G680" i="15"/>
  <c r="G712" i="15"/>
  <c r="G641" i="15"/>
  <c r="G674" i="15"/>
  <c r="G632" i="15"/>
  <c r="G695" i="15"/>
  <c r="G627" i="15"/>
  <c r="G708" i="15"/>
  <c r="G706" i="15"/>
  <c r="G703" i="15"/>
  <c r="G697" i="15"/>
  <c r="G693" i="15"/>
  <c r="G683" i="15"/>
  <c r="G634" i="15"/>
  <c r="G644" i="15"/>
  <c r="G704" i="15"/>
  <c r="G707" i="15"/>
  <c r="G690" i="15"/>
  <c r="G701" i="15"/>
  <c r="G688" i="15"/>
  <c r="G696" i="15"/>
  <c r="G670" i="15"/>
  <c r="G671" i="15"/>
  <c r="G711" i="15"/>
  <c r="G705" i="15"/>
  <c r="G629" i="15"/>
  <c r="G636" i="15"/>
  <c r="G684" i="15"/>
  <c r="G691" i="15"/>
  <c r="G646" i="15"/>
  <c r="G709" i="15"/>
  <c r="G642" i="15"/>
  <c r="G681" i="15"/>
  <c r="G678" i="15"/>
  <c r="G679" i="15"/>
  <c r="G668" i="15"/>
  <c r="G626" i="15"/>
  <c r="G710" i="15"/>
  <c r="G672" i="15"/>
  <c r="G677" i="15"/>
  <c r="G685" i="15"/>
  <c r="G694" i="15"/>
  <c r="G713" i="15"/>
  <c r="G673" i="15"/>
  <c r="G698" i="15"/>
  <c r="G699" i="15"/>
  <c r="F715" i="14"/>
  <c r="G625" i="14"/>
  <c r="F711" i="13"/>
  <c r="F713" i="13"/>
  <c r="F710" i="13"/>
  <c r="F716" i="13"/>
  <c r="F712" i="13"/>
  <c r="F709" i="13"/>
  <c r="F699" i="13"/>
  <c r="F701" i="13"/>
  <c r="F693" i="13"/>
  <c r="F685" i="13"/>
  <c r="F677" i="13"/>
  <c r="F669" i="13"/>
  <c r="F703" i="13"/>
  <c r="F695" i="13"/>
  <c r="F687" i="13"/>
  <c r="F679" i="13"/>
  <c r="F671" i="13"/>
  <c r="F705" i="13"/>
  <c r="F697" i="13"/>
  <c r="F689" i="13"/>
  <c r="F681" i="13"/>
  <c r="F673" i="13"/>
  <c r="F696" i="13"/>
  <c r="F690" i="13"/>
  <c r="F683" i="13"/>
  <c r="F676" i="13"/>
  <c r="F637" i="13"/>
  <c r="F700" i="13"/>
  <c r="F692" i="13"/>
  <c r="F678" i="13"/>
  <c r="F646" i="13"/>
  <c r="F643" i="13"/>
  <c r="F627" i="13"/>
  <c r="F686" i="13"/>
  <c r="F638" i="13"/>
  <c r="F635" i="13"/>
  <c r="F631" i="13"/>
  <c r="F707" i="13"/>
  <c r="F704" i="13"/>
  <c r="F698" i="13"/>
  <c r="F680" i="13"/>
  <c r="F647" i="13"/>
  <c r="F644" i="13"/>
  <c r="F636" i="13"/>
  <c r="F632" i="13"/>
  <c r="F628" i="13"/>
  <c r="F688" i="13"/>
  <c r="F674" i="13"/>
  <c r="F639" i="13"/>
  <c r="F706" i="13"/>
  <c r="F675" i="13"/>
  <c r="F672" i="13"/>
  <c r="F645" i="13"/>
  <c r="F641" i="13"/>
  <c r="F633" i="13"/>
  <c r="F668" i="13"/>
  <c r="F640" i="13"/>
  <c r="F670" i="13"/>
  <c r="F708" i="13"/>
  <c r="F702" i="13"/>
  <c r="F682" i="13"/>
  <c r="F642" i="13"/>
  <c r="F634" i="13"/>
  <c r="F625" i="13"/>
  <c r="F626" i="13"/>
  <c r="F684" i="13"/>
  <c r="F694" i="13"/>
  <c r="F691" i="13"/>
  <c r="F630" i="13"/>
  <c r="F629" i="13"/>
  <c r="G715" i="16" l="1"/>
  <c r="H628" i="16"/>
  <c r="H692" i="16" s="1"/>
  <c r="G715" i="15"/>
  <c r="H628" i="15"/>
  <c r="H689" i="16"/>
  <c r="H691" i="16"/>
  <c r="H693" i="16"/>
  <c r="H687" i="16"/>
  <c r="H635" i="16"/>
  <c r="H710" i="16"/>
  <c r="H683" i="16"/>
  <c r="H685" i="16"/>
  <c r="H680" i="16"/>
  <c r="H647" i="16"/>
  <c r="H634" i="16"/>
  <c r="H702" i="16"/>
  <c r="H712" i="16"/>
  <c r="H706" i="16"/>
  <c r="H672" i="16"/>
  <c r="H646" i="16"/>
  <c r="H641" i="16"/>
  <c r="H675" i="16"/>
  <c r="H686" i="16"/>
  <c r="H696" i="16"/>
  <c r="H677" i="16"/>
  <c r="H629" i="16"/>
  <c r="H694" i="16"/>
  <c r="H704" i="16"/>
  <c r="H698" i="16"/>
  <c r="H700" i="16"/>
  <c r="H682" i="16"/>
  <c r="H645" i="16"/>
  <c r="H633" i="16"/>
  <c r="H640" i="16"/>
  <c r="H690" i="16"/>
  <c r="H681" i="16"/>
  <c r="H684" i="16"/>
  <c r="H713" i="16"/>
  <c r="H716" i="16"/>
  <c r="H688" i="16"/>
  <c r="H711" i="16"/>
  <c r="H674" i="16"/>
  <c r="H673" i="16"/>
  <c r="H669" i="16"/>
  <c r="H638" i="16"/>
  <c r="H637" i="16"/>
  <c r="H705" i="16"/>
  <c r="H707" i="16"/>
  <c r="H709" i="16"/>
  <c r="H703" i="16"/>
  <c r="H679" i="16"/>
  <c r="H708" i="16"/>
  <c r="H639" i="16"/>
  <c r="H630" i="16"/>
  <c r="H642" i="16"/>
  <c r="H697" i="16"/>
  <c r="H699" i="16"/>
  <c r="H701" i="16"/>
  <c r="H695" i="16"/>
  <c r="H671" i="16"/>
  <c r="H678" i="16"/>
  <c r="H631" i="16"/>
  <c r="H643" i="16"/>
  <c r="G626" i="14"/>
  <c r="G629" i="14"/>
  <c r="G645" i="14"/>
  <c r="G646" i="14"/>
  <c r="G647" i="14"/>
  <c r="G670" i="14"/>
  <c r="G678" i="14"/>
  <c r="G686" i="14"/>
  <c r="G694" i="14"/>
  <c r="G673" i="14"/>
  <c r="G681" i="14"/>
  <c r="G689" i="14"/>
  <c r="G628" i="14"/>
  <c r="G668" i="14"/>
  <c r="G676" i="14"/>
  <c r="G684" i="14"/>
  <c r="G692" i="14"/>
  <c r="G671" i="14"/>
  <c r="G679" i="14"/>
  <c r="G687" i="14"/>
  <c r="G695" i="14"/>
  <c r="G674" i="14"/>
  <c r="G682" i="14"/>
  <c r="G690" i="14"/>
  <c r="G672" i="14"/>
  <c r="G680" i="14"/>
  <c r="G688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75" i="14"/>
  <c r="G683" i="14"/>
  <c r="G691" i="14"/>
  <c r="G698" i="14"/>
  <c r="G706" i="14"/>
  <c r="G711" i="14"/>
  <c r="G685" i="14"/>
  <c r="G701" i="14"/>
  <c r="G709" i="14"/>
  <c r="G696" i="14"/>
  <c r="G704" i="14"/>
  <c r="G712" i="14"/>
  <c r="G669" i="14"/>
  <c r="G699" i="14"/>
  <c r="G707" i="14"/>
  <c r="G716" i="14"/>
  <c r="G693" i="14"/>
  <c r="G702" i="14"/>
  <c r="G710" i="14"/>
  <c r="G703" i="14"/>
  <c r="G627" i="14"/>
  <c r="G697" i="14"/>
  <c r="G705" i="14"/>
  <c r="G713" i="14"/>
  <c r="G677" i="14"/>
  <c r="G700" i="14"/>
  <c r="G708" i="14"/>
  <c r="F715" i="13"/>
  <c r="G625" i="13"/>
  <c r="H644" i="16" l="1"/>
  <c r="H636" i="16"/>
  <c r="H670" i="16"/>
  <c r="H632" i="16"/>
  <c r="H668" i="16"/>
  <c r="H676" i="16"/>
  <c r="H689" i="15"/>
  <c r="H688" i="15"/>
  <c r="H677" i="15"/>
  <c r="H673" i="15"/>
  <c r="H640" i="15"/>
  <c r="H685" i="15"/>
  <c r="H698" i="15"/>
  <c r="H687" i="15"/>
  <c r="H691" i="15"/>
  <c r="H710" i="15"/>
  <c r="H695" i="15"/>
  <c r="H711" i="15"/>
  <c r="H670" i="15"/>
  <c r="H630" i="15"/>
  <c r="H629" i="15"/>
  <c r="H697" i="15"/>
  <c r="H676" i="15"/>
  <c r="H690" i="15"/>
  <c r="H703" i="15"/>
  <c r="H694" i="15"/>
  <c r="H692" i="15"/>
  <c r="H684" i="15"/>
  <c r="H704" i="15"/>
  <c r="H643" i="15"/>
  <c r="H708" i="15"/>
  <c r="H705" i="15"/>
  <c r="H681" i="15"/>
  <c r="H713" i="15"/>
  <c r="H635" i="15"/>
  <c r="H641" i="15"/>
  <c r="H632" i="15"/>
  <c r="H636" i="15"/>
  <c r="H699" i="15"/>
  <c r="H637" i="15"/>
  <c r="H644" i="15"/>
  <c r="H634" i="15"/>
  <c r="H707" i="15"/>
  <c r="H668" i="15"/>
  <c r="H716" i="15"/>
  <c r="H645" i="15"/>
  <c r="H646" i="15"/>
  <c r="H674" i="15"/>
  <c r="H693" i="15"/>
  <c r="H709" i="15"/>
  <c r="H682" i="15"/>
  <c r="H647" i="15"/>
  <c r="H642" i="15"/>
  <c r="H706" i="15"/>
  <c r="H686" i="15"/>
  <c r="H702" i="15"/>
  <c r="H701" i="15"/>
  <c r="H669" i="15"/>
  <c r="H631" i="15"/>
  <c r="H638" i="15"/>
  <c r="H679" i="15"/>
  <c r="H700" i="15"/>
  <c r="H672" i="15"/>
  <c r="H671" i="15"/>
  <c r="H678" i="15"/>
  <c r="H675" i="15"/>
  <c r="H680" i="15"/>
  <c r="H639" i="15"/>
  <c r="H633" i="15"/>
  <c r="H683" i="15"/>
  <c r="H712" i="15"/>
  <c r="H696" i="15"/>
  <c r="I629" i="16"/>
  <c r="H628" i="14"/>
  <c r="G715" i="14"/>
  <c r="G711" i="13"/>
  <c r="G708" i="13"/>
  <c r="G713" i="13"/>
  <c r="G710" i="13"/>
  <c r="G716" i="13"/>
  <c r="G707" i="13"/>
  <c r="G712" i="13"/>
  <c r="G709" i="13"/>
  <c r="G704" i="13"/>
  <c r="G696" i="13"/>
  <c r="G706" i="13"/>
  <c r="G698" i="13"/>
  <c r="G690" i="13"/>
  <c r="G682" i="13"/>
  <c r="G674" i="13"/>
  <c r="G700" i="13"/>
  <c r="G692" i="13"/>
  <c r="G684" i="13"/>
  <c r="G676" i="13"/>
  <c r="G668" i="13"/>
  <c r="G702" i="13"/>
  <c r="G694" i="13"/>
  <c r="G686" i="13"/>
  <c r="G678" i="13"/>
  <c r="G670" i="13"/>
  <c r="G647" i="13"/>
  <c r="G646" i="13"/>
  <c r="G645" i="13"/>
  <c r="G629" i="13"/>
  <c r="G691" i="13"/>
  <c r="G669" i="13"/>
  <c r="G640" i="13"/>
  <c r="G634" i="13"/>
  <c r="G630" i="13"/>
  <c r="G697" i="13"/>
  <c r="G685" i="13"/>
  <c r="G671" i="13"/>
  <c r="G638" i="13"/>
  <c r="G635" i="13"/>
  <c r="G631" i="13"/>
  <c r="G693" i="13"/>
  <c r="G679" i="13"/>
  <c r="G672" i="13"/>
  <c r="G641" i="13"/>
  <c r="G695" i="13"/>
  <c r="G688" i="13"/>
  <c r="G681" i="13"/>
  <c r="G639" i="13"/>
  <c r="G705" i="13"/>
  <c r="G689" i="13"/>
  <c r="G675" i="13"/>
  <c r="G642" i="13"/>
  <c r="G633" i="13"/>
  <c r="G626" i="13"/>
  <c r="G701" i="13"/>
  <c r="G644" i="13"/>
  <c r="G632" i="13"/>
  <c r="G683" i="13"/>
  <c r="G680" i="13"/>
  <c r="G677" i="13"/>
  <c r="G628" i="13"/>
  <c r="H628" i="13" s="1"/>
  <c r="G703" i="13"/>
  <c r="G699" i="13"/>
  <c r="G643" i="13"/>
  <c r="G673" i="13"/>
  <c r="G627" i="13"/>
  <c r="G687" i="13"/>
  <c r="G637" i="13"/>
  <c r="G636" i="13"/>
  <c r="H715" i="16" l="1"/>
  <c r="H715" i="15"/>
  <c r="I629" i="15"/>
  <c r="I691" i="16"/>
  <c r="I693" i="16"/>
  <c r="I687" i="16"/>
  <c r="I674" i="16"/>
  <c r="I673" i="16"/>
  <c r="I644" i="16"/>
  <c r="I636" i="16"/>
  <c r="I713" i="16"/>
  <c r="I710" i="16"/>
  <c r="I683" i="16"/>
  <c r="I685" i="16"/>
  <c r="I708" i="16"/>
  <c r="I705" i="16"/>
  <c r="I697" i="16"/>
  <c r="I643" i="16"/>
  <c r="I635" i="16"/>
  <c r="I680" i="16"/>
  <c r="I702" i="16"/>
  <c r="I712" i="16"/>
  <c r="I706" i="16"/>
  <c r="I700" i="16"/>
  <c r="I679" i="16"/>
  <c r="I678" i="16"/>
  <c r="I642" i="16"/>
  <c r="I634" i="16"/>
  <c r="I696" i="16"/>
  <c r="I676" i="16"/>
  <c r="I640" i="16"/>
  <c r="I694" i="16"/>
  <c r="I704" i="16"/>
  <c r="I698" i="16"/>
  <c r="I692" i="16"/>
  <c r="I671" i="16"/>
  <c r="I670" i="16"/>
  <c r="I641" i="16"/>
  <c r="I633" i="16"/>
  <c r="I686" i="16"/>
  <c r="I690" i="16"/>
  <c r="I684" i="16"/>
  <c r="I647" i="16"/>
  <c r="I632" i="16"/>
  <c r="I716" i="16"/>
  <c r="I688" i="16"/>
  <c r="I711" i="16"/>
  <c r="I689" i="16"/>
  <c r="I668" i="16"/>
  <c r="I646" i="16"/>
  <c r="I639" i="16"/>
  <c r="I631" i="16"/>
  <c r="I707" i="16"/>
  <c r="I709" i="16"/>
  <c r="I703" i="16"/>
  <c r="I677" i="16"/>
  <c r="I682" i="16"/>
  <c r="I645" i="16"/>
  <c r="I638" i="16"/>
  <c r="I630" i="16"/>
  <c r="I699" i="16"/>
  <c r="I701" i="16"/>
  <c r="I695" i="16"/>
  <c r="I669" i="16"/>
  <c r="I681" i="16"/>
  <c r="I637" i="16"/>
  <c r="I672" i="16"/>
  <c r="I675" i="16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75" i="14"/>
  <c r="H683" i="14"/>
  <c r="H691" i="14"/>
  <c r="H629" i="14"/>
  <c r="H645" i="14"/>
  <c r="H646" i="14"/>
  <c r="H647" i="14"/>
  <c r="H670" i="14"/>
  <c r="H678" i="14"/>
  <c r="H686" i="14"/>
  <c r="H694" i="14"/>
  <c r="H673" i="14"/>
  <c r="H681" i="14"/>
  <c r="H689" i="14"/>
  <c r="H668" i="14"/>
  <c r="H676" i="14"/>
  <c r="H684" i="14"/>
  <c r="H692" i="14"/>
  <c r="H671" i="14"/>
  <c r="H679" i="14"/>
  <c r="H687" i="14"/>
  <c r="H669" i="14"/>
  <c r="H677" i="14"/>
  <c r="H685" i="14"/>
  <c r="H693" i="14"/>
  <c r="H672" i="14"/>
  <c r="H680" i="14"/>
  <c r="H688" i="14"/>
  <c r="H690" i="14"/>
  <c r="H703" i="14"/>
  <c r="H711" i="14"/>
  <c r="H698" i="14"/>
  <c r="H706" i="14"/>
  <c r="H674" i="14"/>
  <c r="H695" i="14"/>
  <c r="H701" i="14"/>
  <c r="H709" i="14"/>
  <c r="H696" i="14"/>
  <c r="H704" i="14"/>
  <c r="H712" i="14"/>
  <c r="H699" i="14"/>
  <c r="H707" i="14"/>
  <c r="H716" i="14"/>
  <c r="H682" i="14"/>
  <c r="H702" i="14"/>
  <c r="H710" i="14"/>
  <c r="H697" i="14"/>
  <c r="H705" i="14"/>
  <c r="H713" i="14"/>
  <c r="H700" i="14"/>
  <c r="H708" i="14"/>
  <c r="G715" i="13"/>
  <c r="H708" i="13"/>
  <c r="H713" i="13"/>
  <c r="H710" i="13"/>
  <c r="H716" i="13"/>
  <c r="H712" i="13"/>
  <c r="H709" i="13"/>
  <c r="H707" i="13"/>
  <c r="H701" i="13"/>
  <c r="H703" i="13"/>
  <c r="H695" i="13"/>
  <c r="H687" i="13"/>
  <c r="H679" i="13"/>
  <c r="H671" i="13"/>
  <c r="H705" i="13"/>
  <c r="H697" i="13"/>
  <c r="H689" i="13"/>
  <c r="H681" i="13"/>
  <c r="H673" i="13"/>
  <c r="H699" i="13"/>
  <c r="H691" i="13"/>
  <c r="H683" i="13"/>
  <c r="H675" i="13"/>
  <c r="H644" i="13"/>
  <c r="H643" i="13"/>
  <c r="H642" i="13"/>
  <c r="H641" i="13"/>
  <c r="H640" i="13"/>
  <c r="H639" i="13"/>
  <c r="H638" i="13"/>
  <c r="H637" i="13"/>
  <c r="H636" i="13"/>
  <c r="H635" i="13"/>
  <c r="H634" i="13"/>
  <c r="H633" i="13"/>
  <c r="H632" i="13"/>
  <c r="H631" i="13"/>
  <c r="H630" i="13"/>
  <c r="H706" i="13"/>
  <c r="H684" i="13"/>
  <c r="H677" i="13"/>
  <c r="H670" i="13"/>
  <c r="H693" i="13"/>
  <c r="H686" i="13"/>
  <c r="H672" i="13"/>
  <c r="H704" i="13"/>
  <c r="H694" i="13"/>
  <c r="H680" i="13"/>
  <c r="H674" i="13"/>
  <c r="H711" i="13"/>
  <c r="H702" i="13"/>
  <c r="H682" i="13"/>
  <c r="H668" i="13"/>
  <c r="H645" i="13"/>
  <c r="H629" i="13"/>
  <c r="H678" i="13"/>
  <c r="H700" i="13"/>
  <c r="H696" i="13"/>
  <c r="H692" i="13"/>
  <c r="H647" i="13"/>
  <c r="H676" i="13"/>
  <c r="H698" i="13"/>
  <c r="H688" i="13"/>
  <c r="H685" i="13"/>
  <c r="H646" i="13"/>
  <c r="H669" i="13"/>
  <c r="H690" i="13"/>
  <c r="I694" i="15" l="1"/>
  <c r="I670" i="15"/>
  <c r="I689" i="15"/>
  <c r="I691" i="15"/>
  <c r="I692" i="15"/>
  <c r="I640" i="15"/>
  <c r="I638" i="15"/>
  <c r="I647" i="15"/>
  <c r="I644" i="15"/>
  <c r="I686" i="15"/>
  <c r="I687" i="15"/>
  <c r="I710" i="15"/>
  <c r="I683" i="15"/>
  <c r="I684" i="15"/>
  <c r="I681" i="15"/>
  <c r="I637" i="15"/>
  <c r="I678" i="15"/>
  <c r="I704" i="15"/>
  <c r="I695" i="15"/>
  <c r="I708" i="15"/>
  <c r="I630" i="15"/>
  <c r="I713" i="15"/>
  <c r="I675" i="15"/>
  <c r="I702" i="15"/>
  <c r="I712" i="15"/>
  <c r="I711" i="15"/>
  <c r="I703" i="15"/>
  <c r="I636" i="15"/>
  <c r="I668" i="15"/>
  <c r="I646" i="15"/>
  <c r="I698" i="15"/>
  <c r="I709" i="15"/>
  <c r="I635" i="15"/>
  <c r="I671" i="15"/>
  <c r="I716" i="15"/>
  <c r="I688" i="15"/>
  <c r="I633" i="15"/>
  <c r="I693" i="15"/>
  <c r="I674" i="15"/>
  <c r="I641" i="15"/>
  <c r="I672" i="15"/>
  <c r="I682" i="15"/>
  <c r="I700" i="15"/>
  <c r="I631" i="15"/>
  <c r="I634" i="15"/>
  <c r="I643" i="15"/>
  <c r="I697" i="15"/>
  <c r="I680" i="15"/>
  <c r="I679" i="15"/>
  <c r="I673" i="15"/>
  <c r="I696" i="15"/>
  <c r="I642" i="15"/>
  <c r="I632" i="15"/>
  <c r="I705" i="15"/>
  <c r="I685" i="15"/>
  <c r="I690" i="15"/>
  <c r="I706" i="15"/>
  <c r="I677" i="15"/>
  <c r="I707" i="15"/>
  <c r="I639" i="15"/>
  <c r="I669" i="15"/>
  <c r="I645" i="15"/>
  <c r="I699" i="15"/>
  <c r="I676" i="15"/>
  <c r="I701" i="15"/>
  <c r="I715" i="16"/>
  <c r="J630" i="16"/>
  <c r="H715" i="14"/>
  <c r="I629" i="14"/>
  <c r="H715" i="13"/>
  <c r="I629" i="13"/>
  <c r="I715" i="15" l="1"/>
  <c r="J630" i="15"/>
  <c r="J707" i="16"/>
  <c r="J709" i="16"/>
  <c r="J711" i="16"/>
  <c r="J713" i="16"/>
  <c r="J671" i="16"/>
  <c r="J646" i="16"/>
  <c r="J639" i="16"/>
  <c r="J631" i="16"/>
  <c r="J699" i="16"/>
  <c r="J701" i="16"/>
  <c r="J703" i="16"/>
  <c r="J705" i="16"/>
  <c r="J676" i="16"/>
  <c r="J645" i="16"/>
  <c r="J638" i="16"/>
  <c r="J702" i="16"/>
  <c r="J691" i="16"/>
  <c r="J693" i="16"/>
  <c r="J695" i="16"/>
  <c r="J697" i="16"/>
  <c r="J710" i="16"/>
  <c r="J675" i="16"/>
  <c r="J637" i="16"/>
  <c r="J680" i="16"/>
  <c r="J706" i="16"/>
  <c r="J681" i="16"/>
  <c r="J643" i="16"/>
  <c r="J677" i="16"/>
  <c r="J683" i="16"/>
  <c r="J685" i="16"/>
  <c r="J687" i="16"/>
  <c r="J689" i="16"/>
  <c r="J673" i="16"/>
  <c r="J644" i="16"/>
  <c r="J636" i="16"/>
  <c r="J672" i="16"/>
  <c r="J712" i="16"/>
  <c r="J708" i="16"/>
  <c r="J686" i="16"/>
  <c r="J635" i="16"/>
  <c r="J704" i="16"/>
  <c r="J698" i="16"/>
  <c r="J700" i="16"/>
  <c r="J674" i="16"/>
  <c r="J678" i="16"/>
  <c r="J642" i="16"/>
  <c r="J634" i="16"/>
  <c r="J668" i="16"/>
  <c r="J696" i="16"/>
  <c r="J690" i="16"/>
  <c r="J692" i="16"/>
  <c r="J694" i="16"/>
  <c r="J670" i="16"/>
  <c r="J641" i="16"/>
  <c r="J633" i="16"/>
  <c r="J669" i="16"/>
  <c r="J716" i="16"/>
  <c r="J688" i="16"/>
  <c r="J682" i="16"/>
  <c r="J684" i="16"/>
  <c r="J679" i="16"/>
  <c r="J647" i="16"/>
  <c r="L647" i="16" s="1"/>
  <c r="J640" i="16"/>
  <c r="J632" i="16"/>
  <c r="I672" i="14"/>
  <c r="I680" i="14"/>
  <c r="I688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75" i="14"/>
  <c r="I683" i="14"/>
  <c r="I691" i="14"/>
  <c r="I645" i="14"/>
  <c r="I646" i="14"/>
  <c r="I647" i="14"/>
  <c r="I670" i="14"/>
  <c r="I678" i="14"/>
  <c r="I686" i="14"/>
  <c r="I694" i="14"/>
  <c r="I673" i="14"/>
  <c r="I681" i="14"/>
  <c r="I689" i="14"/>
  <c r="I668" i="14"/>
  <c r="I676" i="14"/>
  <c r="I684" i="14"/>
  <c r="I692" i="14"/>
  <c r="I674" i="14"/>
  <c r="I682" i="14"/>
  <c r="I690" i="14"/>
  <c r="I669" i="14"/>
  <c r="I677" i="14"/>
  <c r="I685" i="14"/>
  <c r="I693" i="14"/>
  <c r="I700" i="14"/>
  <c r="I708" i="14"/>
  <c r="I713" i="14"/>
  <c r="I679" i="14"/>
  <c r="I703" i="14"/>
  <c r="I711" i="14"/>
  <c r="I698" i="14"/>
  <c r="I706" i="14"/>
  <c r="I695" i="14"/>
  <c r="I701" i="14"/>
  <c r="I709" i="14"/>
  <c r="I687" i="14"/>
  <c r="I696" i="14"/>
  <c r="I704" i="14"/>
  <c r="I712" i="14"/>
  <c r="I697" i="14"/>
  <c r="I705" i="14"/>
  <c r="I699" i="14"/>
  <c r="I707" i="14"/>
  <c r="I716" i="14"/>
  <c r="I671" i="14"/>
  <c r="I702" i="14"/>
  <c r="I710" i="14"/>
  <c r="I713" i="13"/>
  <c r="I710" i="13"/>
  <c r="I716" i="13"/>
  <c r="I712" i="13"/>
  <c r="I709" i="13"/>
  <c r="I711" i="13"/>
  <c r="I706" i="13"/>
  <c r="I698" i="13"/>
  <c r="I708" i="13"/>
  <c r="I700" i="13"/>
  <c r="I692" i="13"/>
  <c r="I684" i="13"/>
  <c r="I676" i="13"/>
  <c r="I668" i="13"/>
  <c r="I702" i="13"/>
  <c r="I694" i="13"/>
  <c r="I686" i="13"/>
  <c r="I678" i="13"/>
  <c r="I670" i="13"/>
  <c r="I647" i="13"/>
  <c r="I646" i="13"/>
  <c r="I645" i="13"/>
  <c r="I704" i="13"/>
  <c r="I696" i="13"/>
  <c r="I688" i="13"/>
  <c r="I680" i="13"/>
  <c r="I672" i="13"/>
  <c r="I703" i="13"/>
  <c r="I685" i="13"/>
  <c r="I643" i="13"/>
  <c r="I679" i="13"/>
  <c r="I641" i="13"/>
  <c r="I707" i="13"/>
  <c r="I701" i="13"/>
  <c r="I687" i="13"/>
  <c r="I673" i="13"/>
  <c r="I644" i="13"/>
  <c r="I636" i="13"/>
  <c r="I632" i="13"/>
  <c r="I705" i="13"/>
  <c r="I689" i="13"/>
  <c r="I682" i="13"/>
  <c r="I675" i="13"/>
  <c r="I642" i="13"/>
  <c r="I633" i="13"/>
  <c r="I699" i="13"/>
  <c r="I690" i="13"/>
  <c r="I683" i="13"/>
  <c r="I669" i="13"/>
  <c r="I637" i="13"/>
  <c r="I697" i="13"/>
  <c r="I681" i="13"/>
  <c r="I677" i="13"/>
  <c r="I674" i="13"/>
  <c r="I671" i="13"/>
  <c r="I639" i="13"/>
  <c r="I635" i="13"/>
  <c r="I695" i="13"/>
  <c r="I631" i="13"/>
  <c r="I638" i="13"/>
  <c r="I634" i="13"/>
  <c r="I691" i="13"/>
  <c r="I630" i="13"/>
  <c r="I640" i="13"/>
  <c r="I693" i="13"/>
  <c r="J691" i="15" l="1"/>
  <c r="J693" i="15"/>
  <c r="J695" i="15"/>
  <c r="J670" i="15"/>
  <c r="J708" i="15"/>
  <c r="J669" i="15"/>
  <c r="J644" i="15"/>
  <c r="K644" i="15" s="1"/>
  <c r="J639" i="15"/>
  <c r="J710" i="15"/>
  <c r="J683" i="15"/>
  <c r="J685" i="15"/>
  <c r="J645" i="15"/>
  <c r="J700" i="15"/>
  <c r="J681" i="15"/>
  <c r="J640" i="15"/>
  <c r="J635" i="15"/>
  <c r="J704" i="15"/>
  <c r="J679" i="15"/>
  <c r="J632" i="15"/>
  <c r="J675" i="15"/>
  <c r="J696" i="15"/>
  <c r="J713" i="15"/>
  <c r="J676" i="15"/>
  <c r="J646" i="15"/>
  <c r="J702" i="15"/>
  <c r="J712" i="15"/>
  <c r="J706" i="15"/>
  <c r="J641" i="15"/>
  <c r="J692" i="15"/>
  <c r="J636" i="15"/>
  <c r="J689" i="15"/>
  <c r="J631" i="15"/>
  <c r="J694" i="15"/>
  <c r="J698" i="15"/>
  <c r="J684" i="15"/>
  <c r="J674" i="15"/>
  <c r="J686" i="15"/>
  <c r="J690" i="15"/>
  <c r="J680" i="15"/>
  <c r="J642" i="15"/>
  <c r="J716" i="15"/>
  <c r="J688" i="15"/>
  <c r="J682" i="15"/>
  <c r="J705" i="15"/>
  <c r="J678" i="15"/>
  <c r="J637" i="15"/>
  <c r="J638" i="15"/>
  <c r="J671" i="15"/>
  <c r="J677" i="15"/>
  <c r="J643" i="15"/>
  <c r="J707" i="15"/>
  <c r="J697" i="15"/>
  <c r="J673" i="15"/>
  <c r="J699" i="15"/>
  <c r="J687" i="15"/>
  <c r="J709" i="15"/>
  <c r="J647" i="15"/>
  <c r="J701" i="15"/>
  <c r="J711" i="15"/>
  <c r="J633" i="15"/>
  <c r="J703" i="15"/>
  <c r="J668" i="15"/>
  <c r="J672" i="15"/>
  <c r="J634" i="15"/>
  <c r="J715" i="16"/>
  <c r="L693" i="16"/>
  <c r="L687" i="16"/>
  <c r="L689" i="16"/>
  <c r="L691" i="16"/>
  <c r="L681" i="16"/>
  <c r="M681" i="16" s="1"/>
  <c r="Y747" i="16" s="1"/>
  <c r="L669" i="16"/>
  <c r="L706" i="16"/>
  <c r="L700" i="16"/>
  <c r="L702" i="16"/>
  <c r="L712" i="16"/>
  <c r="L670" i="16"/>
  <c r="L674" i="16"/>
  <c r="L686" i="16"/>
  <c r="L675" i="16"/>
  <c r="L698" i="16"/>
  <c r="L692" i="16"/>
  <c r="L694" i="16"/>
  <c r="L676" i="16"/>
  <c r="L704" i="16"/>
  <c r="L671" i="16"/>
  <c r="L690" i="16"/>
  <c r="L684" i="16"/>
  <c r="L668" i="16"/>
  <c r="L679" i="16"/>
  <c r="L711" i="16"/>
  <c r="L713" i="16"/>
  <c r="L716" i="16"/>
  <c r="L688" i="16"/>
  <c r="L680" i="16"/>
  <c r="L709" i="16"/>
  <c r="L703" i="16"/>
  <c r="L705" i="16"/>
  <c r="L707" i="16"/>
  <c r="L673" i="16"/>
  <c r="L672" i="16"/>
  <c r="L710" i="16"/>
  <c r="L699" i="16"/>
  <c r="L683" i="16"/>
  <c r="L701" i="16"/>
  <c r="L682" i="16"/>
  <c r="L685" i="16"/>
  <c r="L678" i="16"/>
  <c r="L695" i="16"/>
  <c r="L677" i="16"/>
  <c r="L708" i="16"/>
  <c r="L696" i="16"/>
  <c r="L697" i="16"/>
  <c r="K644" i="16"/>
  <c r="I715" i="14"/>
  <c r="J630" i="14"/>
  <c r="I715" i="13"/>
  <c r="J630" i="13"/>
  <c r="L647" i="15" l="1"/>
  <c r="J715" i="15"/>
  <c r="K681" i="15"/>
  <c r="K693" i="15"/>
  <c r="K676" i="15"/>
  <c r="K713" i="15"/>
  <c r="K671" i="15"/>
  <c r="K708" i="15"/>
  <c r="K687" i="15"/>
  <c r="K704" i="15"/>
  <c r="K679" i="15"/>
  <c r="K705" i="15"/>
  <c r="K677" i="15"/>
  <c r="K703" i="15"/>
  <c r="K673" i="15"/>
  <c r="K692" i="15"/>
  <c r="K701" i="15"/>
  <c r="K698" i="15"/>
  <c r="K683" i="15"/>
  <c r="K678" i="15"/>
  <c r="K668" i="15"/>
  <c r="K699" i="15"/>
  <c r="K712" i="15"/>
  <c r="K710" i="15"/>
  <c r="K707" i="15"/>
  <c r="K700" i="15"/>
  <c r="K682" i="15"/>
  <c r="K690" i="15"/>
  <c r="K716" i="15"/>
  <c r="K691" i="15"/>
  <c r="K697" i="15"/>
  <c r="K702" i="15"/>
  <c r="K680" i="15"/>
  <c r="K670" i="15"/>
  <c r="K688" i="15"/>
  <c r="K686" i="15"/>
  <c r="K709" i="15"/>
  <c r="K694" i="15"/>
  <c r="K711" i="15"/>
  <c r="K672" i="15"/>
  <c r="K689" i="15"/>
  <c r="K696" i="15"/>
  <c r="K685" i="15"/>
  <c r="K684" i="15"/>
  <c r="K695" i="15"/>
  <c r="K706" i="15"/>
  <c r="K675" i="15"/>
  <c r="K674" i="15"/>
  <c r="K669" i="15"/>
  <c r="L709" i="15"/>
  <c r="L669" i="15"/>
  <c r="M669" i="15" s="1"/>
  <c r="L686" i="15"/>
  <c r="M686" i="15" s="1"/>
  <c r="L696" i="15"/>
  <c r="M696" i="15" s="1"/>
  <c r="L679" i="15"/>
  <c r="M679" i="15" s="1"/>
  <c r="L703" i="15"/>
  <c r="M703" i="15" s="1"/>
  <c r="L705" i="15"/>
  <c r="M705" i="15" s="1"/>
  <c r="L708" i="15"/>
  <c r="L713" i="15"/>
  <c r="L689" i="15"/>
  <c r="M689" i="15" s="1"/>
  <c r="L690" i="15"/>
  <c r="M690" i="15" s="1"/>
  <c r="L706" i="15"/>
  <c r="L685" i="15"/>
  <c r="M685" i="15" s="1"/>
  <c r="L697" i="15"/>
  <c r="L699" i="15"/>
  <c r="M699" i="15" s="1"/>
  <c r="L676" i="15"/>
  <c r="L672" i="15"/>
  <c r="L671" i="15"/>
  <c r="L670" i="15"/>
  <c r="M670" i="15" s="1"/>
  <c r="L701" i="15"/>
  <c r="M701" i="15" s="1"/>
  <c r="L712" i="15"/>
  <c r="L688" i="15"/>
  <c r="M688" i="15" s="1"/>
  <c r="L695" i="15"/>
  <c r="M695" i="15" s="1"/>
  <c r="L683" i="15"/>
  <c r="M683" i="15" s="1"/>
  <c r="L675" i="15"/>
  <c r="L680" i="15"/>
  <c r="M680" i="15" s="1"/>
  <c r="L673" i="15"/>
  <c r="L704" i="15"/>
  <c r="M704" i="15" s="1"/>
  <c r="L698" i="15"/>
  <c r="M698" i="15" s="1"/>
  <c r="L702" i="15"/>
  <c r="L716" i="15"/>
  <c r="L711" i="15"/>
  <c r="L691" i="15"/>
  <c r="L707" i="15"/>
  <c r="M707" i="15" s="1"/>
  <c r="L692" i="15"/>
  <c r="L678" i="15"/>
  <c r="M678" i="15" s="1"/>
  <c r="L668" i="15"/>
  <c r="L700" i="15"/>
  <c r="M700" i="15" s="1"/>
  <c r="L693" i="15"/>
  <c r="M693" i="15" s="1"/>
  <c r="L694" i="15"/>
  <c r="L687" i="15"/>
  <c r="M687" i="15" s="1"/>
  <c r="L710" i="15"/>
  <c r="L677" i="15"/>
  <c r="M677" i="15" s="1"/>
  <c r="L681" i="15"/>
  <c r="M681" i="15" s="1"/>
  <c r="L682" i="15"/>
  <c r="M682" i="15" s="1"/>
  <c r="L674" i="15"/>
  <c r="L684" i="15"/>
  <c r="M684" i="15" s="1"/>
  <c r="K693" i="16"/>
  <c r="M693" i="16" s="1"/>
  <c r="Y759" i="16" s="1"/>
  <c r="K687" i="16"/>
  <c r="M687" i="16" s="1"/>
  <c r="Y753" i="16" s="1"/>
  <c r="K689" i="16"/>
  <c r="M689" i="16" s="1"/>
  <c r="Y755" i="16" s="1"/>
  <c r="K676" i="16"/>
  <c r="M676" i="16" s="1"/>
  <c r="Y742" i="16" s="1"/>
  <c r="K675" i="16"/>
  <c r="K674" i="16"/>
  <c r="M674" i="16" s="1"/>
  <c r="Y740" i="16" s="1"/>
  <c r="K685" i="16"/>
  <c r="M685" i="16" s="1"/>
  <c r="Y751" i="16" s="1"/>
  <c r="K712" i="16"/>
  <c r="M712" i="16" s="1"/>
  <c r="Y778" i="16" s="1"/>
  <c r="K706" i="16"/>
  <c r="M706" i="16" s="1"/>
  <c r="Y772" i="16" s="1"/>
  <c r="K700" i="16"/>
  <c r="M700" i="16" s="1"/>
  <c r="Y766" i="16" s="1"/>
  <c r="K702" i="16"/>
  <c r="M702" i="16" s="1"/>
  <c r="Y768" i="16" s="1"/>
  <c r="K673" i="16"/>
  <c r="K680" i="16"/>
  <c r="K696" i="16"/>
  <c r="M696" i="16" s="1"/>
  <c r="Y762" i="16" s="1"/>
  <c r="K684" i="16"/>
  <c r="M684" i="16" s="1"/>
  <c r="Y750" i="16" s="1"/>
  <c r="K681" i="16"/>
  <c r="K704" i="16"/>
  <c r="M704" i="16" s="1"/>
  <c r="Y770" i="16" s="1"/>
  <c r="K698" i="16"/>
  <c r="K692" i="16"/>
  <c r="M692" i="16" s="1"/>
  <c r="Y758" i="16" s="1"/>
  <c r="K694" i="16"/>
  <c r="K682" i="16"/>
  <c r="K672" i="16"/>
  <c r="M672" i="16" s="1"/>
  <c r="Y738" i="16" s="1"/>
  <c r="K690" i="16"/>
  <c r="M690" i="16" s="1"/>
  <c r="Y756" i="16" s="1"/>
  <c r="K686" i="16"/>
  <c r="M686" i="16" s="1"/>
  <c r="Y752" i="16" s="1"/>
  <c r="K677" i="16"/>
  <c r="M677" i="16" s="1"/>
  <c r="Y743" i="16" s="1"/>
  <c r="K688" i="16"/>
  <c r="M688" i="16" s="1"/>
  <c r="Y754" i="16" s="1"/>
  <c r="K711" i="16"/>
  <c r="M711" i="16" s="1"/>
  <c r="Y777" i="16" s="1"/>
  <c r="K713" i="16"/>
  <c r="M713" i="16" s="1"/>
  <c r="Y779" i="16" s="1"/>
  <c r="K683" i="16"/>
  <c r="M683" i="16" s="1"/>
  <c r="Y749" i="16" s="1"/>
  <c r="K678" i="16"/>
  <c r="K669" i="16"/>
  <c r="M669" i="16" s="1"/>
  <c r="Y735" i="16" s="1"/>
  <c r="K709" i="16"/>
  <c r="M709" i="16" s="1"/>
  <c r="Y775" i="16" s="1"/>
  <c r="K703" i="16"/>
  <c r="M703" i="16" s="1"/>
  <c r="Y769" i="16" s="1"/>
  <c r="K705" i="16"/>
  <c r="M705" i="16" s="1"/>
  <c r="Y771" i="16" s="1"/>
  <c r="K679" i="16"/>
  <c r="M679" i="16" s="1"/>
  <c r="Y745" i="16" s="1"/>
  <c r="K670" i="16"/>
  <c r="K707" i="16"/>
  <c r="M707" i="16" s="1"/>
  <c r="Y773" i="16" s="1"/>
  <c r="K701" i="16"/>
  <c r="M701" i="16" s="1"/>
  <c r="Y767" i="16" s="1"/>
  <c r="K695" i="16"/>
  <c r="M695" i="16" s="1"/>
  <c r="Y761" i="16" s="1"/>
  <c r="K691" i="16"/>
  <c r="M691" i="16" s="1"/>
  <c r="Y757" i="16" s="1"/>
  <c r="K668" i="16"/>
  <c r="K708" i="16"/>
  <c r="M708" i="16" s="1"/>
  <c r="Y774" i="16" s="1"/>
  <c r="K697" i="16"/>
  <c r="M697" i="16" s="1"/>
  <c r="Y763" i="16" s="1"/>
  <c r="K710" i="16"/>
  <c r="M710" i="16" s="1"/>
  <c r="Y776" i="16" s="1"/>
  <c r="K671" i="16"/>
  <c r="M671" i="16" s="1"/>
  <c r="Y737" i="16" s="1"/>
  <c r="K699" i="16"/>
  <c r="M699" i="16" s="1"/>
  <c r="Y765" i="16" s="1"/>
  <c r="K716" i="16"/>
  <c r="L715" i="16"/>
  <c r="M698" i="16"/>
  <c r="Y764" i="16" s="1"/>
  <c r="M675" i="16"/>
  <c r="Y741" i="16" s="1"/>
  <c r="M680" i="16"/>
  <c r="Y746" i="16" s="1"/>
  <c r="M682" i="16"/>
  <c r="Y748" i="16" s="1"/>
  <c r="M670" i="16"/>
  <c r="Y736" i="16" s="1"/>
  <c r="M678" i="16"/>
  <c r="Y744" i="16" s="1"/>
  <c r="M673" i="16"/>
  <c r="Y739" i="16" s="1"/>
  <c r="M694" i="16"/>
  <c r="Y760" i="16" s="1"/>
  <c r="J669" i="14"/>
  <c r="J677" i="14"/>
  <c r="J685" i="14"/>
  <c r="J693" i="14"/>
  <c r="J672" i="14"/>
  <c r="J680" i="14"/>
  <c r="J688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75" i="14"/>
  <c r="J683" i="14"/>
  <c r="J691" i="14"/>
  <c r="J645" i="14"/>
  <c r="J646" i="14"/>
  <c r="J647" i="14"/>
  <c r="L647" i="14" s="1"/>
  <c r="J670" i="14"/>
  <c r="J678" i="14"/>
  <c r="J686" i="14"/>
  <c r="J694" i="14"/>
  <c r="J673" i="14"/>
  <c r="J681" i="14"/>
  <c r="J689" i="14"/>
  <c r="J671" i="14"/>
  <c r="J679" i="14"/>
  <c r="J687" i="14"/>
  <c r="J674" i="14"/>
  <c r="J682" i="14"/>
  <c r="J690" i="14"/>
  <c r="J684" i="14"/>
  <c r="J697" i="14"/>
  <c r="J705" i="14"/>
  <c r="J713" i="14"/>
  <c r="J700" i="14"/>
  <c r="J708" i="14"/>
  <c r="J668" i="14"/>
  <c r="J703" i="14"/>
  <c r="J711" i="14"/>
  <c r="J692" i="14"/>
  <c r="J698" i="14"/>
  <c r="J706" i="14"/>
  <c r="J695" i="14"/>
  <c r="J701" i="14"/>
  <c r="J709" i="14"/>
  <c r="J676" i="14"/>
  <c r="J696" i="14"/>
  <c r="J704" i="14"/>
  <c r="J712" i="14"/>
  <c r="J702" i="14"/>
  <c r="J710" i="14"/>
  <c r="J699" i="14"/>
  <c r="J707" i="14"/>
  <c r="J716" i="14"/>
  <c r="J710" i="13"/>
  <c r="J716" i="13"/>
  <c r="J707" i="13"/>
  <c r="J712" i="13"/>
  <c r="J709" i="13"/>
  <c r="J711" i="13"/>
  <c r="J708" i="13"/>
  <c r="J703" i="13"/>
  <c r="J695" i="13"/>
  <c r="J713" i="13"/>
  <c r="J705" i="13"/>
  <c r="J697" i="13"/>
  <c r="J689" i="13"/>
  <c r="J681" i="13"/>
  <c r="J673" i="13"/>
  <c r="J699" i="13"/>
  <c r="J691" i="13"/>
  <c r="J683" i="13"/>
  <c r="J675" i="13"/>
  <c r="J644" i="13"/>
  <c r="J643" i="13"/>
  <c r="J642" i="13"/>
  <c r="J641" i="13"/>
  <c r="J640" i="13"/>
  <c r="J639" i="13"/>
  <c r="J638" i="13"/>
  <c r="J637" i="13"/>
  <c r="J636" i="13"/>
  <c r="J635" i="13"/>
  <c r="J634" i="13"/>
  <c r="J633" i="13"/>
  <c r="J632" i="13"/>
  <c r="J631" i="13"/>
  <c r="J701" i="13"/>
  <c r="J693" i="13"/>
  <c r="J685" i="13"/>
  <c r="J677" i="13"/>
  <c r="J669" i="13"/>
  <c r="J700" i="13"/>
  <c r="J692" i="13"/>
  <c r="J678" i="13"/>
  <c r="J671" i="13"/>
  <c r="J646" i="13"/>
  <c r="J704" i="13"/>
  <c r="J694" i="13"/>
  <c r="J687" i="13"/>
  <c r="J680" i="13"/>
  <c r="J698" i="13"/>
  <c r="J688" i="13"/>
  <c r="J674" i="13"/>
  <c r="J647" i="13"/>
  <c r="L647" i="13" s="1"/>
  <c r="J702" i="13"/>
  <c r="J690" i="13"/>
  <c r="J668" i="13"/>
  <c r="J645" i="13"/>
  <c r="J696" i="13"/>
  <c r="J676" i="13"/>
  <c r="J684" i="13"/>
  <c r="J686" i="13"/>
  <c r="J670" i="13"/>
  <c r="J682" i="13"/>
  <c r="J679" i="13"/>
  <c r="J672" i="13"/>
  <c r="J706" i="13"/>
  <c r="M709" i="15" l="1"/>
  <c r="M676" i="15"/>
  <c r="M706" i="15"/>
  <c r="M674" i="15"/>
  <c r="M697" i="15"/>
  <c r="M692" i="15"/>
  <c r="F119" i="9" s="1"/>
  <c r="M673" i="15"/>
  <c r="H23" i="9" s="1"/>
  <c r="M710" i="15"/>
  <c r="M671" i="15"/>
  <c r="F23" i="9" s="1"/>
  <c r="M691" i="15"/>
  <c r="Y757" i="15" s="1"/>
  <c r="M675" i="15"/>
  <c r="M672" i="15"/>
  <c r="Y738" i="15" s="1"/>
  <c r="M713" i="15"/>
  <c r="M702" i="15"/>
  <c r="I151" i="9" s="1"/>
  <c r="M712" i="15"/>
  <c r="E215" i="9" s="1"/>
  <c r="M694" i="15"/>
  <c r="K715" i="15"/>
  <c r="M711" i="15"/>
  <c r="Y777" i="15" s="1"/>
  <c r="M708" i="15"/>
  <c r="Y748" i="15"/>
  <c r="C87" i="9"/>
  <c r="Y745" i="15"/>
  <c r="G55" i="9"/>
  <c r="Y744" i="15"/>
  <c r="F55" i="9"/>
  <c r="Y772" i="15"/>
  <c r="F183" i="9"/>
  <c r="Y743" i="15"/>
  <c r="E55" i="9"/>
  <c r="Y752" i="15"/>
  <c r="G87" i="9"/>
  <c r="Y776" i="15"/>
  <c r="C215" i="9"/>
  <c r="Y746" i="15"/>
  <c r="H55" i="9"/>
  <c r="Y755" i="15"/>
  <c r="C119" i="9"/>
  <c r="Y741" i="15"/>
  <c r="C55" i="9"/>
  <c r="Y779" i="15"/>
  <c r="F215" i="9"/>
  <c r="Y742" i="15"/>
  <c r="D55" i="9"/>
  <c r="Y750" i="15"/>
  <c r="E87" i="9"/>
  <c r="Y759" i="15"/>
  <c r="G119" i="9"/>
  <c r="Y761" i="15"/>
  <c r="I119" i="9"/>
  <c r="Y765" i="15"/>
  <c r="F151" i="9"/>
  <c r="Y771" i="15"/>
  <c r="E183" i="9"/>
  <c r="Y747" i="15"/>
  <c r="I55" i="9"/>
  <c r="Y767" i="15"/>
  <c r="H151" i="9"/>
  <c r="Y762" i="15"/>
  <c r="C151" i="9"/>
  <c r="Y758" i="15"/>
  <c r="Y736" i="15"/>
  <c r="E23" i="9"/>
  <c r="Y756" i="15"/>
  <c r="D119" i="9"/>
  <c r="Y773" i="15"/>
  <c r="G183" i="9"/>
  <c r="Y737" i="15"/>
  <c r="Y735" i="15"/>
  <c r="D23" i="9"/>
  <c r="Y753" i="15"/>
  <c r="H87" i="9"/>
  <c r="G23" i="9"/>
  <c r="Y775" i="15"/>
  <c r="I183" i="9"/>
  <c r="Y760" i="15"/>
  <c r="H119" i="9"/>
  <c r="Y749" i="15"/>
  <c r="D87" i="9"/>
  <c r="Y774" i="15"/>
  <c r="H183" i="9"/>
  <c r="Y740" i="15"/>
  <c r="I23" i="9"/>
  <c r="Y766" i="15"/>
  <c r="G151" i="9"/>
  <c r="Y768" i="15"/>
  <c r="Y754" i="15"/>
  <c r="I87" i="9"/>
  <c r="Y763" i="15"/>
  <c r="D151" i="9"/>
  <c r="Y769" i="15"/>
  <c r="C183" i="9"/>
  <c r="Y778" i="15"/>
  <c r="Y770" i="15"/>
  <c r="D183" i="9"/>
  <c r="Y751" i="15"/>
  <c r="F87" i="9"/>
  <c r="Y764" i="15"/>
  <c r="E151" i="9"/>
  <c r="L715" i="15"/>
  <c r="M668" i="15"/>
  <c r="C23" i="9" s="1"/>
  <c r="K715" i="16"/>
  <c r="M668" i="16"/>
  <c r="J715" i="14"/>
  <c r="K644" i="14"/>
  <c r="L671" i="14"/>
  <c r="L679" i="14"/>
  <c r="L687" i="14"/>
  <c r="L695" i="14"/>
  <c r="L674" i="14"/>
  <c r="L682" i="14"/>
  <c r="L690" i="14"/>
  <c r="L669" i="14"/>
  <c r="L677" i="14"/>
  <c r="L685" i="14"/>
  <c r="L693" i="14"/>
  <c r="L672" i="14"/>
  <c r="L680" i="14"/>
  <c r="L688" i="14"/>
  <c r="L675" i="14"/>
  <c r="L683" i="14"/>
  <c r="L691" i="14"/>
  <c r="L673" i="14"/>
  <c r="L681" i="14"/>
  <c r="L689" i="14"/>
  <c r="L668" i="14"/>
  <c r="L676" i="14"/>
  <c r="L684" i="14"/>
  <c r="L692" i="14"/>
  <c r="L678" i="14"/>
  <c r="L699" i="14"/>
  <c r="L707" i="14"/>
  <c r="L716" i="14"/>
  <c r="L694" i="14"/>
  <c r="L696" i="14"/>
  <c r="L702" i="14"/>
  <c r="L710" i="14"/>
  <c r="L704" i="14"/>
  <c r="L697" i="14"/>
  <c r="L705" i="14"/>
  <c r="L713" i="14"/>
  <c r="L712" i="14"/>
  <c r="L686" i="14"/>
  <c r="L700" i="14"/>
  <c r="L708" i="14"/>
  <c r="L703" i="14"/>
  <c r="L711" i="14"/>
  <c r="L670" i="14"/>
  <c r="L698" i="14"/>
  <c r="L706" i="14"/>
  <c r="L701" i="14"/>
  <c r="L709" i="14"/>
  <c r="L712" i="13"/>
  <c r="L709" i="13"/>
  <c r="L711" i="13"/>
  <c r="L708" i="13"/>
  <c r="L713" i="13"/>
  <c r="L710" i="13"/>
  <c r="L705" i="13"/>
  <c r="L697" i="13"/>
  <c r="L699" i="13"/>
  <c r="L691" i="13"/>
  <c r="L683" i="13"/>
  <c r="L675" i="13"/>
  <c r="L701" i="13"/>
  <c r="L693" i="13"/>
  <c r="L685" i="13"/>
  <c r="L677" i="13"/>
  <c r="L669" i="13"/>
  <c r="L703" i="13"/>
  <c r="L695" i="13"/>
  <c r="L687" i="13"/>
  <c r="L679" i="13"/>
  <c r="L671" i="13"/>
  <c r="L686" i="13"/>
  <c r="L672" i="13"/>
  <c r="L707" i="13"/>
  <c r="L698" i="13"/>
  <c r="L688" i="13"/>
  <c r="L681" i="13"/>
  <c r="L674" i="13"/>
  <c r="L716" i="13"/>
  <c r="L689" i="13"/>
  <c r="L682" i="13"/>
  <c r="L668" i="13"/>
  <c r="L696" i="13"/>
  <c r="L684" i="13"/>
  <c r="L706" i="13"/>
  <c r="L692" i="13"/>
  <c r="L670" i="13"/>
  <c r="L690" i="13"/>
  <c r="L704" i="13"/>
  <c r="L680" i="13"/>
  <c r="L676" i="13"/>
  <c r="L673" i="13"/>
  <c r="L702" i="13"/>
  <c r="L694" i="13"/>
  <c r="L700" i="13"/>
  <c r="L678" i="13"/>
  <c r="J715" i="13"/>
  <c r="K644" i="13"/>
  <c r="Y739" i="15" l="1"/>
  <c r="E119" i="9"/>
  <c r="D215" i="9"/>
  <c r="M715" i="15"/>
  <c r="Y734" i="15"/>
  <c r="Y815" i="15" s="1"/>
  <c r="Y734" i="16"/>
  <c r="Y815" i="16" s="1"/>
  <c r="M715" i="16"/>
  <c r="M686" i="14"/>
  <c r="Y752" i="14" s="1"/>
  <c r="M682" i="14"/>
  <c r="Y748" i="14" s="1"/>
  <c r="M712" i="14"/>
  <c r="Y778" i="14" s="1"/>
  <c r="L715" i="14"/>
  <c r="M668" i="14"/>
  <c r="M696" i="14"/>
  <c r="Y762" i="14" s="1"/>
  <c r="M670" i="14"/>
  <c r="Y736" i="14" s="1"/>
  <c r="M681" i="14"/>
  <c r="Y747" i="14" s="1"/>
  <c r="M699" i="14"/>
  <c r="Y765" i="14" s="1"/>
  <c r="M673" i="14"/>
  <c r="Y739" i="14" s="1"/>
  <c r="M691" i="14"/>
  <c r="Y757" i="14" s="1"/>
  <c r="M677" i="14"/>
  <c r="Y743" i="14" s="1"/>
  <c r="M672" i="14"/>
  <c r="Y738" i="14" s="1"/>
  <c r="M692" i="14"/>
  <c r="Y758" i="14" s="1"/>
  <c r="K674" i="14"/>
  <c r="M674" i="14" s="1"/>
  <c r="Y740" i="14" s="1"/>
  <c r="K682" i="14"/>
  <c r="K690" i="14"/>
  <c r="K669" i="14"/>
  <c r="M669" i="14" s="1"/>
  <c r="Y735" i="14" s="1"/>
  <c r="K677" i="14"/>
  <c r="K685" i="14"/>
  <c r="M685" i="14" s="1"/>
  <c r="Y751" i="14" s="1"/>
  <c r="K693" i="14"/>
  <c r="M693" i="14" s="1"/>
  <c r="Y759" i="14" s="1"/>
  <c r="K672" i="14"/>
  <c r="K680" i="14"/>
  <c r="M680" i="14" s="1"/>
  <c r="Y746" i="14" s="1"/>
  <c r="K688" i="14"/>
  <c r="M688" i="14" s="1"/>
  <c r="Y754" i="14" s="1"/>
  <c r="K675" i="14"/>
  <c r="K683" i="14"/>
  <c r="M683" i="14" s="1"/>
  <c r="Y749" i="14" s="1"/>
  <c r="K691" i="14"/>
  <c r="K670" i="14"/>
  <c r="K678" i="14"/>
  <c r="M678" i="14" s="1"/>
  <c r="Y744" i="14" s="1"/>
  <c r="K686" i="14"/>
  <c r="K694" i="14"/>
  <c r="M694" i="14" s="1"/>
  <c r="Y760" i="14" s="1"/>
  <c r="K668" i="14"/>
  <c r="K676" i="14"/>
  <c r="M676" i="14" s="1"/>
  <c r="Y742" i="14" s="1"/>
  <c r="K684" i="14"/>
  <c r="M684" i="14" s="1"/>
  <c r="Y750" i="14" s="1"/>
  <c r="K692" i="14"/>
  <c r="K671" i="14"/>
  <c r="M671" i="14" s="1"/>
  <c r="Y737" i="14" s="1"/>
  <c r="K679" i="14"/>
  <c r="M679" i="14" s="1"/>
  <c r="Y745" i="14" s="1"/>
  <c r="K687" i="14"/>
  <c r="M687" i="14" s="1"/>
  <c r="Y753" i="14" s="1"/>
  <c r="K695" i="14"/>
  <c r="M695" i="14" s="1"/>
  <c r="Y761" i="14" s="1"/>
  <c r="K702" i="14"/>
  <c r="K710" i="14"/>
  <c r="M710" i="14" s="1"/>
  <c r="Y776" i="14" s="1"/>
  <c r="K707" i="14"/>
  <c r="M707" i="14" s="1"/>
  <c r="Y773" i="14" s="1"/>
  <c r="K673" i="14"/>
  <c r="K697" i="14"/>
  <c r="M697" i="14" s="1"/>
  <c r="Y763" i="14" s="1"/>
  <c r="K705" i="14"/>
  <c r="M705" i="14" s="1"/>
  <c r="Y771" i="14" s="1"/>
  <c r="K713" i="14"/>
  <c r="K700" i="14"/>
  <c r="M700" i="14" s="1"/>
  <c r="Y766" i="14" s="1"/>
  <c r="K708" i="14"/>
  <c r="K703" i="14"/>
  <c r="M703" i="14" s="1"/>
  <c r="Y769" i="14" s="1"/>
  <c r="K711" i="14"/>
  <c r="M711" i="14" s="1"/>
  <c r="Y777" i="14" s="1"/>
  <c r="K699" i="14"/>
  <c r="K716" i="14"/>
  <c r="K681" i="14"/>
  <c r="K698" i="14"/>
  <c r="M698" i="14" s="1"/>
  <c r="Y764" i="14" s="1"/>
  <c r="K706" i="14"/>
  <c r="M706" i="14" s="1"/>
  <c r="Y772" i="14" s="1"/>
  <c r="K689" i="14"/>
  <c r="M689" i="14" s="1"/>
  <c r="Y755" i="14" s="1"/>
  <c r="K701" i="14"/>
  <c r="K709" i="14"/>
  <c r="M709" i="14" s="1"/>
  <c r="Y775" i="14" s="1"/>
  <c r="K696" i="14"/>
  <c r="K704" i="14"/>
  <c r="M704" i="14" s="1"/>
  <c r="Y770" i="14" s="1"/>
  <c r="K712" i="14"/>
  <c r="M701" i="14"/>
  <c r="Y767" i="14" s="1"/>
  <c r="M713" i="14"/>
  <c r="Y779" i="14" s="1"/>
  <c r="M708" i="14"/>
  <c r="Y774" i="14" s="1"/>
  <c r="M702" i="14"/>
  <c r="Y768" i="14" s="1"/>
  <c r="M675" i="14"/>
  <c r="Y741" i="14" s="1"/>
  <c r="M690" i="14"/>
  <c r="Y756" i="14" s="1"/>
  <c r="M695" i="13"/>
  <c r="Y761" i="13" s="1"/>
  <c r="M696" i="13"/>
  <c r="Y762" i="13" s="1"/>
  <c r="M703" i="13"/>
  <c r="Y769" i="13" s="1"/>
  <c r="M691" i="13"/>
  <c r="Y757" i="13" s="1"/>
  <c r="M709" i="13"/>
  <c r="Y775" i="13" s="1"/>
  <c r="K716" i="13"/>
  <c r="K712" i="13"/>
  <c r="K709" i="13"/>
  <c r="K711" i="13"/>
  <c r="M711" i="13" s="1"/>
  <c r="Y777" i="13" s="1"/>
  <c r="K708" i="13"/>
  <c r="K713" i="13"/>
  <c r="M713" i="13" s="1"/>
  <c r="Y779" i="13" s="1"/>
  <c r="K700" i="13"/>
  <c r="M700" i="13" s="1"/>
  <c r="Y766" i="13" s="1"/>
  <c r="K702" i="13"/>
  <c r="M702" i="13" s="1"/>
  <c r="Y768" i="13" s="1"/>
  <c r="K694" i="13"/>
  <c r="K686" i="13"/>
  <c r="K678" i="13"/>
  <c r="M678" i="13" s="1"/>
  <c r="Y744" i="13" s="1"/>
  <c r="K670" i="13"/>
  <c r="K704" i="13"/>
  <c r="K696" i="13"/>
  <c r="K688" i="13"/>
  <c r="M688" i="13" s="1"/>
  <c r="Y754" i="13" s="1"/>
  <c r="K680" i="13"/>
  <c r="K672" i="13"/>
  <c r="K710" i="13"/>
  <c r="K707" i="13"/>
  <c r="K706" i="13"/>
  <c r="K698" i="13"/>
  <c r="M698" i="13" s="1"/>
  <c r="Y764" i="13" s="1"/>
  <c r="K690" i="13"/>
  <c r="K682" i="13"/>
  <c r="K674" i="13"/>
  <c r="M674" i="13" s="1"/>
  <c r="Y740" i="13" s="1"/>
  <c r="K697" i="13"/>
  <c r="K693" i="13"/>
  <c r="K679" i="13"/>
  <c r="K701" i="13"/>
  <c r="K673" i="13"/>
  <c r="K695" i="13"/>
  <c r="K681" i="13"/>
  <c r="K705" i="13"/>
  <c r="M705" i="13" s="1"/>
  <c r="Y771" i="13" s="1"/>
  <c r="K699" i="13"/>
  <c r="K683" i="13"/>
  <c r="M683" i="13" s="1"/>
  <c r="Y749" i="13" s="1"/>
  <c r="K676" i="13"/>
  <c r="M676" i="13" s="1"/>
  <c r="Y742" i="13" s="1"/>
  <c r="K669" i="13"/>
  <c r="K691" i="13"/>
  <c r="K684" i="13"/>
  <c r="M684" i="13" s="1"/>
  <c r="Y750" i="13" s="1"/>
  <c r="K677" i="13"/>
  <c r="M677" i="13" s="1"/>
  <c r="Y743" i="13" s="1"/>
  <c r="K687" i="13"/>
  <c r="M687" i="13" s="1"/>
  <c r="Y753" i="13" s="1"/>
  <c r="K703" i="13"/>
  <c r="K692" i="13"/>
  <c r="M692" i="13" s="1"/>
  <c r="Y758" i="13" s="1"/>
  <c r="K689" i="13"/>
  <c r="K685" i="13"/>
  <c r="M685" i="13" s="1"/>
  <c r="Y751" i="13" s="1"/>
  <c r="K671" i="13"/>
  <c r="K668" i="13"/>
  <c r="K675" i="13"/>
  <c r="M675" i="13" s="1"/>
  <c r="Y741" i="13" s="1"/>
  <c r="M680" i="13"/>
  <c r="Y746" i="13" s="1"/>
  <c r="L715" i="13"/>
  <c r="M707" i="13"/>
  <c r="Y773" i="13" s="1"/>
  <c r="M669" i="13"/>
  <c r="Y735" i="13" s="1"/>
  <c r="M699" i="13"/>
  <c r="Y765" i="13" s="1"/>
  <c r="M712" i="13"/>
  <c r="Y778" i="13" s="1"/>
  <c r="M704" i="13"/>
  <c r="Y770" i="13" s="1"/>
  <c r="M682" i="13"/>
  <c r="Y748" i="13" s="1"/>
  <c r="M672" i="13"/>
  <c r="Y738" i="13" s="1"/>
  <c r="M697" i="13"/>
  <c r="Y763" i="13" s="1"/>
  <c r="M673" i="13"/>
  <c r="Y739" i="13" s="1"/>
  <c r="M690" i="13"/>
  <c r="Y756" i="13" s="1"/>
  <c r="M689" i="13"/>
  <c r="Y755" i="13" s="1"/>
  <c r="M686" i="13"/>
  <c r="Y752" i="13" s="1"/>
  <c r="M670" i="13"/>
  <c r="Y736" i="13" s="1"/>
  <c r="M671" i="13"/>
  <c r="Y737" i="13" s="1"/>
  <c r="M693" i="13"/>
  <c r="Y759" i="13" s="1"/>
  <c r="M710" i="13"/>
  <c r="Y776" i="13" s="1"/>
  <c r="M694" i="13"/>
  <c r="Y760" i="13" s="1"/>
  <c r="M679" i="13"/>
  <c r="Y745" i="13" s="1"/>
  <c r="M701" i="13"/>
  <c r="Y767" i="13" s="1"/>
  <c r="M706" i="13"/>
  <c r="Y772" i="13" s="1"/>
  <c r="M681" i="13"/>
  <c r="Y747" i="13" s="1"/>
  <c r="M708" i="13"/>
  <c r="Y774" i="13" s="1"/>
  <c r="Y734" i="14" l="1"/>
  <c r="Y815" i="14" s="1"/>
  <c r="M715" i="14"/>
  <c r="K715" i="14"/>
  <c r="K715" i="13"/>
  <c r="M668" i="13"/>
  <c r="M715" i="13" l="1"/>
  <c r="Y734" i="13"/>
  <c r="Y815" i="13" s="1"/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CC75" i="1" l="1"/>
  <c r="CE76" i="1" l="1"/>
  <c r="F493" i="1" l="1"/>
  <c r="A493" i="1" l="1"/>
  <c r="A730" i="1"/>
  <c r="A726" i="1"/>
  <c r="A722" i="1"/>
  <c r="CB730" i="1"/>
  <c r="C444" i="1"/>
  <c r="D367" i="1"/>
  <c r="C448" i="1" s="1"/>
  <c r="D221" i="1"/>
  <c r="B444" i="1" s="1"/>
  <c r="S764" i="1"/>
  <c r="V813" i="1"/>
  <c r="CE47" i="1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CE60" i="1"/>
  <c r="H612" i="1" s="1"/>
  <c r="CE61" i="1"/>
  <c r="CE65" i="1"/>
  <c r="CE63" i="1"/>
  <c r="CE66" i="1"/>
  <c r="CE68" i="1"/>
  <c r="D75" i="1"/>
  <c r="AR75" i="1"/>
  <c r="AS75" i="1"/>
  <c r="N776" i="1" s="1"/>
  <c r="AT75" i="1"/>
  <c r="AU75" i="1"/>
  <c r="AQ75" i="1"/>
  <c r="AO75" i="1"/>
  <c r="AN75" i="1"/>
  <c r="AM75" i="1"/>
  <c r="N770" i="1" s="1"/>
  <c r="AI75" i="1"/>
  <c r="AH75" i="1"/>
  <c r="AF75" i="1"/>
  <c r="AD75" i="1"/>
  <c r="AA75" i="1"/>
  <c r="Z75" i="1"/>
  <c r="X75" i="1"/>
  <c r="W75" i="1"/>
  <c r="V75" i="1"/>
  <c r="T75" i="1"/>
  <c r="N751" i="1" s="1"/>
  <c r="R75" i="1"/>
  <c r="Q75" i="1"/>
  <c r="P75" i="1"/>
  <c r="O75" i="1"/>
  <c r="N75" i="1"/>
  <c r="M75" i="1"/>
  <c r="L75" i="1"/>
  <c r="I75" i="1"/>
  <c r="H75" i="1"/>
  <c r="G75" i="1"/>
  <c r="F75" i="1"/>
  <c r="AV75" i="1"/>
  <c r="AP75" i="1"/>
  <c r="AJ75" i="1"/>
  <c r="AL75" i="1"/>
  <c r="AK75" i="1"/>
  <c r="AG75" i="1"/>
  <c r="AE75" i="1"/>
  <c r="AC75" i="1"/>
  <c r="AB75" i="1"/>
  <c r="N759" i="1" s="1"/>
  <c r="Y75" i="1"/>
  <c r="U75" i="1"/>
  <c r="N752" i="1" s="1"/>
  <c r="S75" i="1"/>
  <c r="K75" i="1"/>
  <c r="J75" i="1"/>
  <c r="E75" i="1"/>
  <c r="CE73" i="1"/>
  <c r="O816" i="1" s="1"/>
  <c r="CE74" i="1"/>
  <c r="C464" i="1" s="1"/>
  <c r="C75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D260" i="1"/>
  <c r="D265" i="1"/>
  <c r="D275" i="1"/>
  <c r="D277" i="1" s="1"/>
  <c r="D290" i="1"/>
  <c r="D314" i="1"/>
  <c r="D319" i="1"/>
  <c r="D328" i="1"/>
  <c r="D329" i="1"/>
  <c r="D229" i="1"/>
  <c r="D236" i="1"/>
  <c r="D240" i="1"/>
  <c r="B447" i="1" s="1"/>
  <c r="E209" i="1"/>
  <c r="E210" i="1"/>
  <c r="E211" i="1"/>
  <c r="E212" i="1"/>
  <c r="E213" i="1"/>
  <c r="E214" i="1"/>
  <c r="E215" i="1"/>
  <c r="E216" i="1"/>
  <c r="D217" i="1"/>
  <c r="C217" i="1"/>
  <c r="E196" i="1"/>
  <c r="C469" i="1" s="1"/>
  <c r="E197" i="1"/>
  <c r="C470" i="1" s="1"/>
  <c r="E198" i="1"/>
  <c r="E199" i="1"/>
  <c r="C472" i="1" s="1"/>
  <c r="E200" i="1"/>
  <c r="E201" i="1"/>
  <c r="E202" i="1"/>
  <c r="C474" i="1" s="1"/>
  <c r="E203" i="1"/>
  <c r="D204" i="1"/>
  <c r="B204" i="1"/>
  <c r="D190" i="1"/>
  <c r="D437" i="1" s="1"/>
  <c r="D186" i="1"/>
  <c r="D181" i="1"/>
  <c r="D435" i="1" s="1"/>
  <c r="D177" i="1"/>
  <c r="E154" i="1"/>
  <c r="E153" i="1"/>
  <c r="E152" i="1"/>
  <c r="E151" i="1"/>
  <c r="E150" i="1"/>
  <c r="E148" i="1"/>
  <c r="E147" i="1"/>
  <c r="E146" i="1"/>
  <c r="E145" i="1"/>
  <c r="E144" i="1"/>
  <c r="E141" i="1"/>
  <c r="E140" i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5" i="1"/>
  <c r="N764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2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B28" i="2"/>
  <c r="E21" i="2"/>
  <c r="E18" i="2"/>
  <c r="E17" i="2"/>
  <c r="X48" i="1"/>
  <c r="X62" i="1" s="1"/>
  <c r="L48" i="1"/>
  <c r="L62" i="1" s="1"/>
  <c r="BI730" i="1"/>
  <c r="C816" i="1"/>
  <c r="N743" i="1"/>
  <c r="N769" i="1"/>
  <c r="N740" i="1"/>
  <c r="G812" i="1"/>
  <c r="CE64" i="1"/>
  <c r="I812" i="1"/>
  <c r="CE70" i="1"/>
  <c r="C458" i="1" s="1"/>
  <c r="P812" i="1"/>
  <c r="G612" i="1"/>
  <c r="CE79" i="1"/>
  <c r="J612" i="1" s="1"/>
  <c r="S748" i="1"/>
  <c r="E142" i="1"/>
  <c r="AC726" i="1"/>
  <c r="E138" i="1"/>
  <c r="C414" i="1" s="1"/>
  <c r="C204" i="1"/>
  <c r="E195" i="1"/>
  <c r="S722" i="1"/>
  <c r="BH722" i="1"/>
  <c r="B217" i="1"/>
  <c r="L817" i="1"/>
  <c r="CC730" i="1"/>
  <c r="D390" i="1"/>
  <c r="B441" i="1" s="1"/>
  <c r="AA730" i="1"/>
  <c r="D283" i="1"/>
  <c r="B753" i="1"/>
  <c r="E515" i="1"/>
  <c r="B757" i="1"/>
  <c r="E519" i="1"/>
  <c r="B766" i="1"/>
  <c r="E528" i="1"/>
  <c r="E722" i="1"/>
  <c r="D173" i="1"/>
  <c r="D428" i="1" s="1"/>
  <c r="CD722" i="1"/>
  <c r="CD71" i="1"/>
  <c r="BM48" i="1"/>
  <c r="BM62" i="1" s="1"/>
  <c r="N757" i="1"/>
  <c r="K816" i="1"/>
  <c r="C615" i="1"/>
  <c r="V815" i="1"/>
  <c r="I816" i="1"/>
  <c r="BP48" i="1"/>
  <c r="BP62" i="1" s="1"/>
  <c r="E799" i="1" s="1"/>
  <c r="F386" i="1" l="1"/>
  <c r="AE48" i="1"/>
  <c r="AE62" i="1" s="1"/>
  <c r="F378" i="1"/>
  <c r="F612" i="1"/>
  <c r="F381" i="1"/>
  <c r="C431" i="1"/>
  <c r="F382" i="1"/>
  <c r="F385" i="1"/>
  <c r="F383" i="1"/>
  <c r="F380" i="1"/>
  <c r="N737" i="1"/>
  <c r="F816" i="1"/>
  <c r="N736" i="1"/>
  <c r="N747" i="1"/>
  <c r="C429" i="1"/>
  <c r="N774" i="1"/>
  <c r="L816" i="1"/>
  <c r="C440" i="1"/>
  <c r="N748" i="1"/>
  <c r="V48" i="1"/>
  <c r="V62" i="1" s="1"/>
  <c r="E753" i="1" s="1"/>
  <c r="AU48" i="1"/>
  <c r="AU62" i="1" s="1"/>
  <c r="E778" i="1" s="1"/>
  <c r="BF48" i="1"/>
  <c r="BF62" i="1" s="1"/>
  <c r="E789" i="1" s="1"/>
  <c r="AI48" i="1"/>
  <c r="AI62" i="1" s="1"/>
  <c r="E766" i="1" s="1"/>
  <c r="N739" i="1"/>
  <c r="N761" i="1"/>
  <c r="E48" i="1"/>
  <c r="E62" i="1" s="1"/>
  <c r="E736" i="1" s="1"/>
  <c r="B440" i="1"/>
  <c r="N817" i="1"/>
  <c r="C473" i="1"/>
  <c r="CF76" i="1"/>
  <c r="H52" i="1" s="1"/>
  <c r="H67" i="1" s="1"/>
  <c r="D612" i="1"/>
  <c r="P816" i="1"/>
  <c r="N758" i="1"/>
  <c r="N763" i="1"/>
  <c r="N745" i="1"/>
  <c r="N766" i="1"/>
  <c r="N768" i="1"/>
  <c r="C575" i="1"/>
  <c r="G816" i="1"/>
  <c r="C430" i="1"/>
  <c r="BV48" i="1"/>
  <c r="BV62" i="1" s="1"/>
  <c r="AK48" i="1"/>
  <c r="AK62" i="1" s="1"/>
  <c r="E768" i="1" s="1"/>
  <c r="N777" i="1"/>
  <c r="M816" i="1"/>
  <c r="J48" i="1"/>
  <c r="J62" i="1" s="1"/>
  <c r="N765" i="1"/>
  <c r="N760" i="1"/>
  <c r="C417" i="1"/>
  <c r="N734" i="1"/>
  <c r="AJ48" i="1"/>
  <c r="AJ62" i="1" s="1"/>
  <c r="BG48" i="1"/>
  <c r="BG62" i="1" s="1"/>
  <c r="AP48" i="1"/>
  <c r="AP62" i="1" s="1"/>
  <c r="BW48" i="1"/>
  <c r="BW62" i="1" s="1"/>
  <c r="D816" i="1"/>
  <c r="AS48" i="1"/>
  <c r="AS62" i="1" s="1"/>
  <c r="E776" i="1" s="1"/>
  <c r="AZ48" i="1"/>
  <c r="AZ62" i="1" s="1"/>
  <c r="I48" i="1"/>
  <c r="I62" i="1" s="1"/>
  <c r="N753" i="1"/>
  <c r="D368" i="1"/>
  <c r="C415" i="1"/>
  <c r="D463" i="1"/>
  <c r="D436" i="1"/>
  <c r="C475" i="1"/>
  <c r="D433" i="1"/>
  <c r="N771" i="1"/>
  <c r="E796" i="1"/>
  <c r="E762" i="1"/>
  <c r="AT52" i="1"/>
  <c r="AT67" i="1" s="1"/>
  <c r="D330" i="1"/>
  <c r="N762" i="1"/>
  <c r="N754" i="1"/>
  <c r="BK48" i="1"/>
  <c r="BK62" i="1" s="1"/>
  <c r="T48" i="1"/>
  <c r="T62" i="1" s="1"/>
  <c r="H48" i="1"/>
  <c r="H62" i="1" s="1"/>
  <c r="G48" i="1"/>
  <c r="G62" i="1" s="1"/>
  <c r="O48" i="1"/>
  <c r="O62" i="1" s="1"/>
  <c r="BI48" i="1"/>
  <c r="BI62" i="1" s="1"/>
  <c r="BQ48" i="1"/>
  <c r="BQ62" i="1" s="1"/>
  <c r="AW48" i="1"/>
  <c r="AW62" i="1" s="1"/>
  <c r="AG48" i="1"/>
  <c r="AG62" i="1" s="1"/>
  <c r="Q48" i="1"/>
  <c r="Q62" i="1" s="1"/>
  <c r="AY48" i="1"/>
  <c r="AY62" i="1" s="1"/>
  <c r="E782" i="1" s="1"/>
  <c r="K48" i="1"/>
  <c r="K62" i="1" s="1"/>
  <c r="BY48" i="1"/>
  <c r="BY62" i="1" s="1"/>
  <c r="E808" i="1" s="1"/>
  <c r="BT48" i="1"/>
  <c r="BT62" i="1" s="1"/>
  <c r="BJ48" i="1"/>
  <c r="BJ62" i="1" s="1"/>
  <c r="E793" i="1" s="1"/>
  <c r="BD48" i="1"/>
  <c r="BD62" i="1" s="1"/>
  <c r="AT48" i="1"/>
  <c r="AT62" i="1" s="1"/>
  <c r="AN48" i="1"/>
  <c r="AN62" i="1" s="1"/>
  <c r="AD48" i="1"/>
  <c r="AD62" i="1" s="1"/>
  <c r="R48" i="1"/>
  <c r="R62" i="1" s="1"/>
  <c r="W48" i="1"/>
  <c r="W62" i="1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C48" i="1"/>
  <c r="BX48" i="1"/>
  <c r="BX62" i="1" s="1"/>
  <c r="BN48" i="1"/>
  <c r="BN62" i="1" s="1"/>
  <c r="BH48" i="1"/>
  <c r="BH62" i="1" s="1"/>
  <c r="AX48" i="1"/>
  <c r="AX62" i="1" s="1"/>
  <c r="E781" i="1" s="1"/>
  <c r="AR48" i="1"/>
  <c r="AR62" i="1" s="1"/>
  <c r="AH48" i="1"/>
  <c r="AH62" i="1" s="1"/>
  <c r="E765" i="1" s="1"/>
  <c r="Z48" i="1"/>
  <c r="Z62" i="1" s="1"/>
  <c r="F48" i="1"/>
  <c r="F62" i="1" s="1"/>
  <c r="P48" i="1"/>
  <c r="P62" i="1" s="1"/>
  <c r="BZ48" i="1"/>
  <c r="BZ62" i="1" s="1"/>
  <c r="AC48" i="1"/>
  <c r="AC62" i="1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A48" i="1"/>
  <c r="CA62" i="1" s="1"/>
  <c r="BR48" i="1"/>
  <c r="BR62" i="1" s="1"/>
  <c r="E801" i="1" s="1"/>
  <c r="BL48" i="1"/>
  <c r="BL62" i="1" s="1"/>
  <c r="BB48" i="1"/>
  <c r="BB62" i="1" s="1"/>
  <c r="AV48" i="1"/>
  <c r="AV62" i="1" s="1"/>
  <c r="AL48" i="1"/>
  <c r="AL62" i="1" s="1"/>
  <c r="E769" i="1" s="1"/>
  <c r="AF48" i="1"/>
  <c r="AF62" i="1" s="1"/>
  <c r="N48" i="1"/>
  <c r="N62" i="1" s="1"/>
  <c r="S52" i="1"/>
  <c r="S67" i="1" s="1"/>
  <c r="AB52" i="1"/>
  <c r="AB67" i="1" s="1"/>
  <c r="J759" i="1" s="1"/>
  <c r="C815" i="1"/>
  <c r="D815" i="1"/>
  <c r="F815" i="1"/>
  <c r="H815" i="1"/>
  <c r="I612" i="1"/>
  <c r="N746" i="1"/>
  <c r="N775" i="1"/>
  <c r="U52" i="1"/>
  <c r="U67" i="1" s="1"/>
  <c r="CF77" i="1"/>
  <c r="Q816" i="1"/>
  <c r="E743" i="1"/>
  <c r="N773" i="1"/>
  <c r="N778" i="1"/>
  <c r="I815" i="1"/>
  <c r="G815" i="1"/>
  <c r="P815" i="1"/>
  <c r="Q815" i="1"/>
  <c r="R815" i="1"/>
  <c r="S815" i="1"/>
  <c r="B446" i="1"/>
  <c r="D242" i="1"/>
  <c r="C418" i="1"/>
  <c r="D438" i="1"/>
  <c r="E755" i="1"/>
  <c r="O815" i="1"/>
  <c r="T815" i="1"/>
  <c r="C471" i="1"/>
  <c r="N735" i="1"/>
  <c r="CE75" i="1"/>
  <c r="E204" i="1"/>
  <c r="C468" i="1"/>
  <c r="S816" i="1"/>
  <c r="C420" i="1"/>
  <c r="N772" i="1"/>
  <c r="F52" i="1"/>
  <c r="F67" i="1" s="1"/>
  <c r="AY52" i="1"/>
  <c r="AY67" i="1" s="1"/>
  <c r="CB52" i="1"/>
  <c r="CB67" i="1" s="1"/>
  <c r="M52" i="1"/>
  <c r="M67" i="1" s="1"/>
  <c r="BV52" i="1"/>
  <c r="BV67" i="1" s="1"/>
  <c r="AA52" i="1"/>
  <c r="AA67" i="1" s="1"/>
  <c r="BR52" i="1"/>
  <c r="BR67" i="1" s="1"/>
  <c r="C463" i="1"/>
  <c r="N742" i="1"/>
  <c r="N738" i="1"/>
  <c r="E217" i="1"/>
  <c r="T816" i="1"/>
  <c r="L612" i="1"/>
  <c r="N779" i="1"/>
  <c r="N749" i="1"/>
  <c r="D464" i="1"/>
  <c r="K815" i="1"/>
  <c r="N767" i="1"/>
  <c r="H816" i="1"/>
  <c r="M815" i="1"/>
  <c r="D434" i="1"/>
  <c r="L815" i="1"/>
  <c r="D292" i="1"/>
  <c r="N741" i="1"/>
  <c r="N744" i="1"/>
  <c r="N756" i="1"/>
  <c r="N750" i="1"/>
  <c r="E754" i="1" l="1"/>
  <c r="E740" i="1"/>
  <c r="E738" i="1"/>
  <c r="AE52" i="1"/>
  <c r="AE67" i="1" s="1"/>
  <c r="AZ52" i="1"/>
  <c r="AZ67" i="1" s="1"/>
  <c r="E52" i="1"/>
  <c r="E67" i="1" s="1"/>
  <c r="J736" i="1" s="1"/>
  <c r="G52" i="1"/>
  <c r="G67" i="1" s="1"/>
  <c r="G71" i="1" s="1"/>
  <c r="C500" i="1" s="1"/>
  <c r="G500" i="1" s="1"/>
  <c r="BN52" i="1"/>
  <c r="BN67" i="1" s="1"/>
  <c r="BF52" i="1"/>
  <c r="BF67" i="1" s="1"/>
  <c r="BF71" i="1" s="1"/>
  <c r="AG52" i="1"/>
  <c r="AG67" i="1" s="1"/>
  <c r="J764" i="1" s="1"/>
  <c r="AX52" i="1"/>
  <c r="AX67" i="1" s="1"/>
  <c r="J781" i="1" s="1"/>
  <c r="T52" i="1"/>
  <c r="T67" i="1" s="1"/>
  <c r="AM52" i="1"/>
  <c r="AM67" i="1" s="1"/>
  <c r="I52" i="1"/>
  <c r="I67" i="1" s="1"/>
  <c r="J740" i="1" s="1"/>
  <c r="BE52" i="1"/>
  <c r="BE67" i="1" s="1"/>
  <c r="J788" i="1" s="1"/>
  <c r="AW52" i="1"/>
  <c r="AW67" i="1" s="1"/>
  <c r="BD52" i="1"/>
  <c r="BD67" i="1" s="1"/>
  <c r="BA52" i="1"/>
  <c r="BA67" i="1" s="1"/>
  <c r="J784" i="1" s="1"/>
  <c r="N52" i="1"/>
  <c r="N67" i="1" s="1"/>
  <c r="J745" i="1" s="1"/>
  <c r="D52" i="1"/>
  <c r="D67" i="1" s="1"/>
  <c r="BM52" i="1"/>
  <c r="BM67" i="1" s="1"/>
  <c r="BM71" i="1" s="1"/>
  <c r="C638" i="1" s="1"/>
  <c r="BG52" i="1"/>
  <c r="BG67" i="1" s="1"/>
  <c r="BG71" i="1" s="1"/>
  <c r="AK52" i="1"/>
  <c r="AK67" i="1" s="1"/>
  <c r="BY52" i="1"/>
  <c r="BY67" i="1" s="1"/>
  <c r="J808" i="1" s="1"/>
  <c r="AP52" i="1"/>
  <c r="AP67" i="1" s="1"/>
  <c r="J773" i="1" s="1"/>
  <c r="BT52" i="1"/>
  <c r="BT67" i="1" s="1"/>
  <c r="J803" i="1" s="1"/>
  <c r="AD52" i="1"/>
  <c r="AD67" i="1" s="1"/>
  <c r="J761" i="1" s="1"/>
  <c r="BJ52" i="1"/>
  <c r="BJ67" i="1" s="1"/>
  <c r="J793" i="1" s="1"/>
  <c r="J52" i="1"/>
  <c r="J67" i="1" s="1"/>
  <c r="J741" i="1" s="1"/>
  <c r="L52" i="1"/>
  <c r="L67" i="1" s="1"/>
  <c r="L71" i="1" s="1"/>
  <c r="C505" i="1" s="1"/>
  <c r="G505" i="1" s="1"/>
  <c r="BQ52" i="1"/>
  <c r="BQ67" i="1" s="1"/>
  <c r="J800" i="1" s="1"/>
  <c r="O52" i="1"/>
  <c r="O67" i="1" s="1"/>
  <c r="J746" i="1" s="1"/>
  <c r="E761" i="1"/>
  <c r="E760" i="1"/>
  <c r="E811" i="1"/>
  <c r="N71" i="1"/>
  <c r="E745" i="1"/>
  <c r="CB71" i="1"/>
  <c r="E790" i="1"/>
  <c r="Y52" i="1"/>
  <c r="Y67" i="1" s="1"/>
  <c r="AF52" i="1"/>
  <c r="AF67" i="1" s="1"/>
  <c r="AR52" i="1"/>
  <c r="AR67" i="1" s="1"/>
  <c r="Q52" i="1"/>
  <c r="Q67" i="1" s="1"/>
  <c r="J748" i="1" s="1"/>
  <c r="BW52" i="1"/>
  <c r="BW67" i="1" s="1"/>
  <c r="J806" i="1" s="1"/>
  <c r="E746" i="1"/>
  <c r="E806" i="1"/>
  <c r="E785" i="1"/>
  <c r="W52" i="1"/>
  <c r="W67" i="1" s="1"/>
  <c r="W71" i="1" s="1"/>
  <c r="AS52" i="1"/>
  <c r="AS67" i="1" s="1"/>
  <c r="BU52" i="1"/>
  <c r="BU67" i="1" s="1"/>
  <c r="H71" i="1"/>
  <c r="C673" i="1" s="1"/>
  <c r="J739" i="1"/>
  <c r="AH52" i="1"/>
  <c r="AH67" i="1" s="1"/>
  <c r="AV52" i="1"/>
  <c r="AV67" i="1" s="1"/>
  <c r="J779" i="1" s="1"/>
  <c r="BI52" i="1"/>
  <c r="BI67" i="1" s="1"/>
  <c r="R52" i="1"/>
  <c r="R67" i="1" s="1"/>
  <c r="J749" i="1" s="1"/>
  <c r="AQ52" i="1"/>
  <c r="AQ67" i="1" s="1"/>
  <c r="AQ71" i="1" s="1"/>
  <c r="BL52" i="1"/>
  <c r="BL67" i="1" s="1"/>
  <c r="J795" i="1" s="1"/>
  <c r="Z52" i="1"/>
  <c r="Z67" i="1" s="1"/>
  <c r="X52" i="1"/>
  <c r="X67" i="1" s="1"/>
  <c r="X71" i="1" s="1"/>
  <c r="BS52" i="1"/>
  <c r="BS67" i="1" s="1"/>
  <c r="BO52" i="1"/>
  <c r="BO67" i="1" s="1"/>
  <c r="BX52" i="1"/>
  <c r="BX67" i="1" s="1"/>
  <c r="J807" i="1" s="1"/>
  <c r="CC52" i="1"/>
  <c r="CC67" i="1" s="1"/>
  <c r="BH52" i="1"/>
  <c r="BH67" i="1" s="1"/>
  <c r="BH71" i="1" s="1"/>
  <c r="E71" i="1"/>
  <c r="C498" i="1" s="1"/>
  <c r="G498" i="1" s="1"/>
  <c r="CA52" i="1"/>
  <c r="CA67" i="1" s="1"/>
  <c r="BC52" i="1"/>
  <c r="BC67" i="1" s="1"/>
  <c r="AO52" i="1"/>
  <c r="AO67" i="1" s="1"/>
  <c r="C52" i="1"/>
  <c r="C67" i="1" s="1"/>
  <c r="P52" i="1"/>
  <c r="P67" i="1" s="1"/>
  <c r="J747" i="1" s="1"/>
  <c r="AJ52" i="1"/>
  <c r="AJ67" i="1" s="1"/>
  <c r="AJ71" i="1" s="1"/>
  <c r="AI52" i="1"/>
  <c r="AI67" i="1" s="1"/>
  <c r="AI71" i="1" s="1"/>
  <c r="C700" i="1" s="1"/>
  <c r="K52" i="1"/>
  <c r="K67" i="1" s="1"/>
  <c r="J742" i="1" s="1"/>
  <c r="BB52" i="1"/>
  <c r="BB67" i="1" s="1"/>
  <c r="BB71" i="1" s="1"/>
  <c r="BK52" i="1"/>
  <c r="BK67" i="1" s="1"/>
  <c r="AC52" i="1"/>
  <c r="AC67" i="1" s="1"/>
  <c r="J762" i="1"/>
  <c r="AE71" i="1"/>
  <c r="AX71" i="1"/>
  <c r="BZ52" i="1"/>
  <c r="BZ67" i="1" s="1"/>
  <c r="BZ71" i="1" s="1"/>
  <c r="AN52" i="1"/>
  <c r="AN67" i="1" s="1"/>
  <c r="AN71" i="1" s="1"/>
  <c r="V52" i="1"/>
  <c r="V67" i="1" s="1"/>
  <c r="AK71" i="1"/>
  <c r="AZ71" i="1"/>
  <c r="AP71" i="1"/>
  <c r="C535" i="1" s="1"/>
  <c r="G535" i="1" s="1"/>
  <c r="AL52" i="1"/>
  <c r="AL67" i="1" s="1"/>
  <c r="J71" i="1"/>
  <c r="C503" i="1" s="1"/>
  <c r="G503" i="1" s="1"/>
  <c r="Y71" i="1"/>
  <c r="C518" i="1" s="1"/>
  <c r="G518" i="1" s="1"/>
  <c r="AT71" i="1"/>
  <c r="AU52" i="1"/>
  <c r="AU67" i="1" s="1"/>
  <c r="AU71" i="1" s="1"/>
  <c r="BP52" i="1"/>
  <c r="BP67" i="1" s="1"/>
  <c r="BR71" i="1"/>
  <c r="D339" i="1"/>
  <c r="C482" i="1" s="1"/>
  <c r="D373" i="1"/>
  <c r="D391" i="1" s="1"/>
  <c r="M71" i="1"/>
  <c r="C506" i="1" s="1"/>
  <c r="G506" i="1" s="1"/>
  <c r="D71" i="1"/>
  <c r="C497" i="1" s="1"/>
  <c r="G497" i="1" s="1"/>
  <c r="E773" i="1"/>
  <c r="E777" i="1"/>
  <c r="D465" i="1"/>
  <c r="E756" i="1"/>
  <c r="AA71" i="1"/>
  <c r="C692" i="1" s="1"/>
  <c r="BV71" i="1"/>
  <c r="C642" i="1" s="1"/>
  <c r="J754" i="1"/>
  <c r="E805" i="1"/>
  <c r="E741" i="1"/>
  <c r="E783" i="1"/>
  <c r="E767" i="1"/>
  <c r="E758" i="1"/>
  <c r="E809" i="1"/>
  <c r="J752" i="1"/>
  <c r="E779" i="1"/>
  <c r="E810" i="1"/>
  <c r="CA71" i="1"/>
  <c r="F71" i="1"/>
  <c r="E737" i="1"/>
  <c r="C62" i="1"/>
  <c r="CE48" i="1"/>
  <c r="E772" i="1"/>
  <c r="E784" i="1"/>
  <c r="BA71" i="1"/>
  <c r="E764" i="1"/>
  <c r="J777" i="1"/>
  <c r="AM71" i="1"/>
  <c r="E770" i="1"/>
  <c r="E797" i="1"/>
  <c r="BJ71" i="1"/>
  <c r="C617" i="1" s="1"/>
  <c r="AD71" i="1"/>
  <c r="E757" i="1"/>
  <c r="E791" i="1"/>
  <c r="E788" i="1"/>
  <c r="BE71" i="1"/>
  <c r="E802" i="1"/>
  <c r="BS71" i="1"/>
  <c r="E749" i="1"/>
  <c r="E787" i="1"/>
  <c r="BD71" i="1"/>
  <c r="E742" i="1"/>
  <c r="E780" i="1"/>
  <c r="E794" i="1"/>
  <c r="J783" i="1"/>
  <c r="J750" i="1"/>
  <c r="AF71" i="1"/>
  <c r="E763" i="1"/>
  <c r="BL71" i="1"/>
  <c r="E795" i="1"/>
  <c r="E750" i="1"/>
  <c r="S71" i="1"/>
  <c r="E798" i="1"/>
  <c r="E804" i="1"/>
  <c r="E800" i="1"/>
  <c r="BQ71" i="1"/>
  <c r="E739" i="1"/>
  <c r="N815" i="1"/>
  <c r="AY71" i="1"/>
  <c r="E786" i="1"/>
  <c r="E747" i="1"/>
  <c r="P71" i="1"/>
  <c r="E775" i="1"/>
  <c r="E807" i="1"/>
  <c r="E752" i="1"/>
  <c r="U71" i="1"/>
  <c r="E759" i="1"/>
  <c r="AB71" i="1"/>
  <c r="E771" i="1"/>
  <c r="E803" i="1"/>
  <c r="E748" i="1"/>
  <c r="E792" i="1"/>
  <c r="E751" i="1"/>
  <c r="T71" i="1"/>
  <c r="J763" i="1"/>
  <c r="H501" i="1"/>
  <c r="F501" i="1"/>
  <c r="F517" i="1"/>
  <c r="F499" i="1"/>
  <c r="H505" i="1"/>
  <c r="F505" i="1"/>
  <c r="F497" i="1"/>
  <c r="F515" i="1"/>
  <c r="J796" i="1"/>
  <c r="B448" i="1"/>
  <c r="F544" i="1"/>
  <c r="H536" i="1"/>
  <c r="F536" i="1"/>
  <c r="F528" i="1"/>
  <c r="F520" i="1"/>
  <c r="H520" i="1"/>
  <c r="D341" i="1"/>
  <c r="C481" i="1" s="1"/>
  <c r="J805" i="1"/>
  <c r="J751" i="1"/>
  <c r="J782" i="1"/>
  <c r="J789" i="1"/>
  <c r="K612" i="1"/>
  <c r="C465" i="1"/>
  <c r="N816" i="1"/>
  <c r="C478" i="1"/>
  <c r="J797" i="1"/>
  <c r="F498" i="1"/>
  <c r="J768" i="1"/>
  <c r="J780" i="1"/>
  <c r="J770" i="1"/>
  <c r="C476" i="1"/>
  <c r="C629" i="1"/>
  <c r="C551" i="1"/>
  <c r="F516" i="1"/>
  <c r="J735" i="1"/>
  <c r="F540" i="1"/>
  <c r="H540" i="1"/>
  <c r="F532" i="1"/>
  <c r="H532" i="1"/>
  <c r="F524" i="1"/>
  <c r="F550" i="1"/>
  <c r="J801" i="1"/>
  <c r="J758" i="1"/>
  <c r="J744" i="1"/>
  <c r="J811" i="1"/>
  <c r="J737" i="1"/>
  <c r="J787" i="1"/>
  <c r="C672" i="1" l="1"/>
  <c r="C677" i="1"/>
  <c r="J743" i="1"/>
  <c r="C501" i="1"/>
  <c r="G501" i="1" s="1"/>
  <c r="J738" i="1"/>
  <c r="C558" i="1"/>
  <c r="BN71" i="1"/>
  <c r="C619" i="1" s="1"/>
  <c r="I71" i="1"/>
  <c r="C674" i="1" s="1"/>
  <c r="C507" i="1"/>
  <c r="G507" i="1" s="1"/>
  <c r="J790" i="1"/>
  <c r="Q71" i="1"/>
  <c r="C682" i="1" s="1"/>
  <c r="AW71" i="1"/>
  <c r="AG71" i="1"/>
  <c r="BY71" i="1"/>
  <c r="C570" i="1" s="1"/>
  <c r="BT71" i="1"/>
  <c r="C640" i="1" s="1"/>
  <c r="O71" i="1"/>
  <c r="C508" i="1" s="1"/>
  <c r="G508" i="1" s="1"/>
  <c r="J804" i="1"/>
  <c r="C622" i="1"/>
  <c r="C573" i="1"/>
  <c r="BK71" i="1"/>
  <c r="C679" i="1"/>
  <c r="J775" i="1"/>
  <c r="AR71" i="1"/>
  <c r="C709" i="1" s="1"/>
  <c r="AH71" i="1"/>
  <c r="C699" i="1" s="1"/>
  <c r="BW71" i="1"/>
  <c r="J734" i="1"/>
  <c r="J756" i="1"/>
  <c r="J774" i="1"/>
  <c r="J810" i="1"/>
  <c r="J776" i="1"/>
  <c r="C528" i="1"/>
  <c r="G528" i="1" s="1"/>
  <c r="J766" i="1"/>
  <c r="C536" i="1"/>
  <c r="G536" i="1" s="1"/>
  <c r="C708" i="1"/>
  <c r="C626" i="1"/>
  <c r="C678" i="1"/>
  <c r="C563" i="1"/>
  <c r="C618" i="1"/>
  <c r="C628" i="1"/>
  <c r="C517" i="1"/>
  <c r="C689" i="1"/>
  <c r="C670" i="1"/>
  <c r="C516" i="1"/>
  <c r="G516" i="1" s="1"/>
  <c r="C688" i="1"/>
  <c r="C711" i="1"/>
  <c r="J794" i="1"/>
  <c r="Z71" i="1"/>
  <c r="C567" i="1"/>
  <c r="J767" i="1"/>
  <c r="AV71" i="1"/>
  <c r="C541" i="1" s="1"/>
  <c r="J778" i="1"/>
  <c r="C552" i="1"/>
  <c r="C545" i="1"/>
  <c r="G545" i="1" s="1"/>
  <c r="J772" i="1"/>
  <c r="J757" i="1"/>
  <c r="BU71" i="1"/>
  <c r="C641" i="1" s="1"/>
  <c r="AS71" i="1"/>
  <c r="K71" i="1"/>
  <c r="J798" i="1"/>
  <c r="C632" i="1"/>
  <c r="C669" i="1"/>
  <c r="J755" i="1"/>
  <c r="AO71" i="1"/>
  <c r="C706" i="1" s="1"/>
  <c r="C707" i="1"/>
  <c r="BI71" i="1"/>
  <c r="BO71" i="1"/>
  <c r="J802" i="1"/>
  <c r="BX71" i="1"/>
  <c r="C569" i="1" s="1"/>
  <c r="R71" i="1"/>
  <c r="J785" i="1"/>
  <c r="J765" i="1"/>
  <c r="J760" i="1"/>
  <c r="AC71" i="1"/>
  <c r="J791" i="1"/>
  <c r="J786" i="1"/>
  <c r="J792" i="1"/>
  <c r="J812" i="1"/>
  <c r="CC71" i="1"/>
  <c r="C695" i="1"/>
  <c r="BC71" i="1"/>
  <c r="C559" i="1"/>
  <c r="C539" i="1"/>
  <c r="G539" i="1" s="1"/>
  <c r="C544" i="1"/>
  <c r="G544" i="1" s="1"/>
  <c r="H544" i="1" s="1"/>
  <c r="C675" i="1"/>
  <c r="C523" i="1"/>
  <c r="G523" i="1" s="1"/>
  <c r="CE67" i="1"/>
  <c r="C616" i="1"/>
  <c r="C543" i="1"/>
  <c r="C520" i="1"/>
  <c r="G520" i="1" s="1"/>
  <c r="C524" i="1"/>
  <c r="C696" i="1"/>
  <c r="C690" i="1"/>
  <c r="CE52" i="1"/>
  <c r="BP71" i="1"/>
  <c r="J799" i="1"/>
  <c r="C530" i="1"/>
  <c r="G530" i="1" s="1"/>
  <c r="C702" i="1"/>
  <c r="C540" i="1"/>
  <c r="G540" i="1" s="1"/>
  <c r="C712" i="1"/>
  <c r="J753" i="1"/>
  <c r="V71" i="1"/>
  <c r="J771" i="1"/>
  <c r="J809" i="1"/>
  <c r="J769" i="1"/>
  <c r="AL71" i="1"/>
  <c r="C625" i="1"/>
  <c r="C547" i="1"/>
  <c r="C555" i="1"/>
  <c r="C529" i="1"/>
  <c r="G529" i="1" s="1"/>
  <c r="C701" i="1"/>
  <c r="H498" i="1"/>
  <c r="C521" i="1"/>
  <c r="G521" i="1" s="1"/>
  <c r="C693" i="1"/>
  <c r="C681" i="1"/>
  <c r="C509" i="1"/>
  <c r="G509" i="1" s="1"/>
  <c r="C624" i="1"/>
  <c r="C549" i="1"/>
  <c r="C614" i="1"/>
  <c r="C550" i="1"/>
  <c r="C553" i="1"/>
  <c r="C636" i="1"/>
  <c r="C698" i="1"/>
  <c r="C526" i="1"/>
  <c r="G526" i="1" s="1"/>
  <c r="C499" i="1"/>
  <c r="C671" i="1"/>
  <c r="C685" i="1"/>
  <c r="C513" i="1"/>
  <c r="G513" i="1" s="1"/>
  <c r="C705" i="1"/>
  <c r="C533" i="1"/>
  <c r="G533" i="1" s="1"/>
  <c r="C572" i="1"/>
  <c r="C647" i="1"/>
  <c r="C571" i="1"/>
  <c r="C646" i="1"/>
  <c r="C623" i="1"/>
  <c r="C562" i="1"/>
  <c r="C512" i="1"/>
  <c r="G512" i="1" s="1"/>
  <c r="C684" i="1"/>
  <c r="C557" i="1"/>
  <c r="C637" i="1"/>
  <c r="C697" i="1"/>
  <c r="C525" i="1"/>
  <c r="G525" i="1" s="1"/>
  <c r="C631" i="1"/>
  <c r="C542" i="1"/>
  <c r="C639" i="1"/>
  <c r="C564" i="1"/>
  <c r="E734" i="1"/>
  <c r="E815" i="1" s="1"/>
  <c r="C71" i="1"/>
  <c r="CE62" i="1"/>
  <c r="F379" i="1" s="1"/>
  <c r="H497" i="1"/>
  <c r="C686" i="1"/>
  <c r="C514" i="1"/>
  <c r="G514" i="1" s="1"/>
  <c r="C556" i="1"/>
  <c r="C635" i="1"/>
  <c r="C532" i="1"/>
  <c r="G532" i="1" s="1"/>
  <c r="C704" i="1"/>
  <c r="C630" i="1"/>
  <c r="C546" i="1"/>
  <c r="G546" i="1" s="1"/>
  <c r="F511" i="1"/>
  <c r="H496" i="1"/>
  <c r="F522" i="1"/>
  <c r="F510" i="1"/>
  <c r="H510" i="1"/>
  <c r="F513" i="1"/>
  <c r="H513" i="1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H508" i="1" s="1"/>
  <c r="F514" i="1"/>
  <c r="H507" i="1"/>
  <c r="F507" i="1"/>
  <c r="H518" i="1"/>
  <c r="F518" i="1"/>
  <c r="F546" i="1"/>
  <c r="F506" i="1"/>
  <c r="H506" i="1"/>
  <c r="H500" i="1"/>
  <c r="F500" i="1"/>
  <c r="F509" i="1"/>
  <c r="C510" i="1" l="1"/>
  <c r="G510" i="1" s="1"/>
  <c r="C680" i="1"/>
  <c r="C537" i="1"/>
  <c r="G537" i="1" s="1"/>
  <c r="C565" i="1"/>
  <c r="C502" i="1"/>
  <c r="G502" i="1" s="1"/>
  <c r="C645" i="1"/>
  <c r="J816" i="1"/>
  <c r="F384" i="1"/>
  <c r="C527" i="1"/>
  <c r="G527" i="1" s="1"/>
  <c r="C568" i="1"/>
  <c r="C643" i="1"/>
  <c r="H528" i="1"/>
  <c r="H516" i="1"/>
  <c r="C644" i="1"/>
  <c r="C710" i="1"/>
  <c r="C676" i="1"/>
  <c r="C504" i="1"/>
  <c r="G504" i="1" s="1"/>
  <c r="C683" i="1"/>
  <c r="C634" i="1"/>
  <c r="C511" i="1"/>
  <c r="G511" i="1" s="1"/>
  <c r="C566" i="1"/>
  <c r="C554" i="1"/>
  <c r="G517" i="1"/>
  <c r="H517" i="1"/>
  <c r="C548" i="1"/>
  <c r="C519" i="1"/>
  <c r="G519" i="1" s="1"/>
  <c r="C691" i="1"/>
  <c r="H526" i="1"/>
  <c r="C538" i="1"/>
  <c r="G538" i="1" s="1"/>
  <c r="C713" i="1"/>
  <c r="C534" i="1"/>
  <c r="G534" i="1" s="1"/>
  <c r="C620" i="1"/>
  <c r="C574" i="1"/>
  <c r="C627" i="1"/>
  <c r="C560" i="1"/>
  <c r="J815" i="1"/>
  <c r="C633" i="1"/>
  <c r="C694" i="1"/>
  <c r="C522" i="1"/>
  <c r="C433" i="1"/>
  <c r="H546" i="1"/>
  <c r="G524" i="1"/>
  <c r="H524" i="1"/>
  <c r="C515" i="1"/>
  <c r="C687" i="1"/>
  <c r="C703" i="1"/>
  <c r="C531" i="1"/>
  <c r="G531" i="1" s="1"/>
  <c r="C561" i="1"/>
  <c r="C621" i="1"/>
  <c r="H512" i="1"/>
  <c r="H514" i="1"/>
  <c r="H509" i="1"/>
  <c r="C496" i="1"/>
  <c r="G496" i="1" s="1"/>
  <c r="C668" i="1"/>
  <c r="G499" i="1"/>
  <c r="H499" i="1"/>
  <c r="G550" i="1"/>
  <c r="H550" i="1" s="1"/>
  <c r="C428" i="1"/>
  <c r="E816" i="1"/>
  <c r="CE71" i="1"/>
  <c r="D615" i="1"/>
  <c r="F496" i="1"/>
  <c r="H545" i="1"/>
  <c r="F545" i="1"/>
  <c r="H525" i="1"/>
  <c r="F525" i="1"/>
  <c r="H529" i="1"/>
  <c r="F529" i="1"/>
  <c r="D396" i="1"/>
  <c r="F521" i="1"/>
  <c r="H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G515" i="1" l="1"/>
  <c r="H515" i="1"/>
  <c r="C441" i="1"/>
  <c r="H519" i="1"/>
  <c r="H511" i="1"/>
  <c r="C648" i="1"/>
  <c r="M716" i="1" s="1"/>
  <c r="Y816" i="1" s="1"/>
  <c r="G522" i="1"/>
  <c r="H522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C716" i="1"/>
  <c r="E623" i="1" l="1"/>
  <c r="E612" i="1"/>
  <c r="D715" i="1"/>
  <c r="E716" i="1" l="1"/>
  <c r="E711" i="1"/>
  <c r="E635" i="1"/>
  <c r="E647" i="1"/>
  <c r="E669" i="1"/>
  <c r="E632" i="1"/>
  <c r="E695" i="1"/>
  <c r="E644" i="1"/>
  <c r="E699" i="1"/>
  <c r="E697" i="1"/>
  <c r="E643" i="1"/>
  <c r="E684" i="1"/>
  <c r="E681" i="1"/>
  <c r="E691" i="1"/>
  <c r="E677" i="1"/>
  <c r="E703" i="1"/>
  <c r="E625" i="1"/>
  <c r="E676" i="1"/>
  <c r="E631" i="1"/>
  <c r="E624" i="1"/>
  <c r="E710" i="1"/>
  <c r="E671" i="1"/>
  <c r="E687" i="1"/>
  <c r="E628" i="1"/>
  <c r="E668" i="1"/>
  <c r="E682" i="1"/>
  <c r="E638" i="1"/>
  <c r="E642" i="1"/>
  <c r="E705" i="1"/>
  <c r="E679" i="1"/>
  <c r="E690" i="1"/>
  <c r="E645" i="1"/>
  <c r="E627" i="1"/>
  <c r="E641" i="1"/>
  <c r="E683" i="1"/>
  <c r="E702" i="1"/>
  <c r="E633" i="1"/>
  <c r="E692" i="1"/>
  <c r="E672" i="1"/>
  <c r="E637" i="1"/>
  <c r="E704" i="1"/>
  <c r="E678" i="1"/>
  <c r="E712" i="1"/>
  <c r="E626" i="1"/>
  <c r="E688" i="1"/>
  <c r="E693" i="1"/>
  <c r="E629" i="1"/>
  <c r="E670" i="1"/>
  <c r="E634" i="1"/>
  <c r="E706" i="1"/>
  <c r="E701" i="1"/>
  <c r="E713" i="1"/>
  <c r="E673" i="1"/>
  <c r="E708" i="1"/>
  <c r="E636" i="1"/>
  <c r="E630" i="1"/>
  <c r="E640" i="1"/>
  <c r="E696" i="1"/>
  <c r="E686" i="1"/>
  <c r="E680" i="1"/>
  <c r="E709" i="1"/>
  <c r="E639" i="1"/>
  <c r="E689" i="1"/>
  <c r="E700" i="1"/>
  <c r="E707" i="1"/>
  <c r="E675" i="1"/>
  <c r="E694" i="1"/>
  <c r="E685" i="1"/>
  <c r="E646" i="1"/>
  <c r="E698" i="1"/>
  <c r="E674" i="1"/>
  <c r="E715" i="1" l="1"/>
  <c r="F624" i="1"/>
  <c r="F679" i="1" l="1"/>
  <c r="F713" i="1"/>
  <c r="F670" i="1"/>
  <c r="F683" i="1"/>
  <c r="F627" i="1"/>
  <c r="F675" i="1"/>
  <c r="F643" i="1"/>
  <c r="F711" i="1"/>
  <c r="F676" i="1"/>
  <c r="F712" i="1"/>
  <c r="F633" i="1"/>
  <c r="F637" i="1"/>
  <c r="F701" i="1"/>
  <c r="F707" i="1"/>
  <c r="F647" i="1"/>
  <c r="F673" i="1"/>
  <c r="F696" i="1"/>
  <c r="F646" i="1"/>
  <c r="F639" i="1"/>
  <c r="F691" i="1"/>
  <c r="F689" i="1"/>
  <c r="F632" i="1"/>
  <c r="F671" i="1"/>
  <c r="F705" i="1"/>
  <c r="F699" i="1"/>
  <c r="F708" i="1"/>
  <c r="F682" i="1"/>
  <c r="F644" i="1"/>
  <c r="F709" i="1"/>
  <c r="F694" i="1"/>
  <c r="F631" i="1"/>
  <c r="F688" i="1"/>
  <c r="F668" i="1"/>
  <c r="F681" i="1"/>
  <c r="F672" i="1"/>
  <c r="F703" i="1"/>
  <c r="F710" i="1"/>
  <c r="F629" i="1"/>
  <c r="F626" i="1"/>
  <c r="F674" i="1"/>
  <c r="F638" i="1"/>
  <c r="F645" i="1"/>
  <c r="F641" i="1"/>
  <c r="F678" i="1"/>
  <c r="F669" i="1"/>
  <c r="F716" i="1"/>
  <c r="F640" i="1"/>
  <c r="F692" i="1"/>
  <c r="F690" i="1"/>
  <c r="F680" i="1"/>
  <c r="F706" i="1"/>
  <c r="F687" i="1"/>
  <c r="F634" i="1"/>
  <c r="F704" i="1"/>
  <c r="F625" i="1"/>
  <c r="F686" i="1"/>
  <c r="F630" i="1"/>
  <c r="F693" i="1"/>
  <c r="F698" i="1"/>
  <c r="F685" i="1"/>
  <c r="F697" i="1"/>
  <c r="F700" i="1"/>
  <c r="F677" i="1"/>
  <c r="F635" i="1"/>
  <c r="F702" i="1"/>
  <c r="F642" i="1"/>
  <c r="F636" i="1"/>
  <c r="F695" i="1"/>
  <c r="F684" i="1"/>
  <c r="F628" i="1"/>
  <c r="F715" i="1" l="1"/>
  <c r="G625" i="1"/>
  <c r="G707" i="1" l="1"/>
  <c r="G711" i="1"/>
  <c r="G699" i="1"/>
  <c r="G637" i="1"/>
  <c r="G690" i="1"/>
  <c r="G633" i="1"/>
  <c r="G710" i="1"/>
  <c r="G706" i="1"/>
  <c r="G636" i="1"/>
  <c r="G678" i="1"/>
  <c r="G683" i="1"/>
  <c r="G712" i="1"/>
  <c r="G686" i="1"/>
  <c r="G713" i="1"/>
  <c r="G698" i="1"/>
  <c r="G687" i="1"/>
  <c r="G688" i="1"/>
  <c r="G677" i="1"/>
  <c r="G705" i="1"/>
  <c r="G635" i="1"/>
  <c r="G670" i="1"/>
  <c r="G626" i="1"/>
  <c r="G639" i="1"/>
  <c r="G643" i="1"/>
  <c r="G646" i="1"/>
  <c r="G692" i="1"/>
  <c r="G632" i="1"/>
  <c r="G689" i="1"/>
  <c r="G704" i="1"/>
  <c r="G640" i="1"/>
  <c r="G680" i="1"/>
  <c r="G645" i="1"/>
  <c r="G709" i="1"/>
  <c r="G671" i="1"/>
  <c r="G700" i="1"/>
  <c r="G716" i="1"/>
  <c r="G673" i="1"/>
  <c r="G696" i="1"/>
  <c r="G669" i="1"/>
  <c r="G675" i="1"/>
  <c r="G638" i="1"/>
  <c r="G679" i="1"/>
  <c r="G702" i="1"/>
  <c r="G676" i="1"/>
  <c r="G642" i="1"/>
  <c r="G685" i="1"/>
  <c r="G691" i="1"/>
  <c r="G674" i="1"/>
  <c r="G644" i="1"/>
  <c r="G668" i="1"/>
  <c r="G627" i="1"/>
  <c r="G672" i="1"/>
  <c r="G697" i="1"/>
  <c r="G631" i="1"/>
  <c r="G684" i="1"/>
  <c r="G647" i="1"/>
  <c r="G630" i="1"/>
  <c r="G681" i="1"/>
  <c r="G628" i="1"/>
  <c r="G708" i="1"/>
  <c r="G701" i="1"/>
  <c r="G694" i="1"/>
  <c r="G634" i="1"/>
  <c r="G695" i="1"/>
  <c r="G693" i="1"/>
  <c r="G629" i="1"/>
  <c r="G641" i="1"/>
  <c r="G703" i="1"/>
  <c r="G682" i="1"/>
  <c r="G715" i="1" l="1"/>
  <c r="H628" i="1"/>
  <c r="H683" i="1" l="1"/>
  <c r="H633" i="1"/>
  <c r="H680" i="1"/>
  <c r="H675" i="1"/>
  <c r="H647" i="1"/>
  <c r="H682" i="1"/>
  <c r="H638" i="1"/>
  <c r="H703" i="1"/>
  <c r="H713" i="1"/>
  <c r="H641" i="1"/>
  <c r="H671" i="1"/>
  <c r="H637" i="1"/>
  <c r="H693" i="1"/>
  <c r="H716" i="1"/>
  <c r="H639" i="1"/>
  <c r="H688" i="1"/>
  <c r="H702" i="1"/>
  <c r="H711" i="1"/>
  <c r="H631" i="1"/>
  <c r="H687" i="1"/>
  <c r="H674" i="1"/>
  <c r="H691" i="1"/>
  <c r="H696" i="1"/>
  <c r="H705" i="1"/>
  <c r="H645" i="1"/>
  <c r="H681" i="1"/>
  <c r="H700" i="1"/>
  <c r="H699" i="1"/>
  <c r="H701" i="1"/>
  <c r="H670" i="1"/>
  <c r="H629" i="1"/>
  <c r="H704" i="1"/>
  <c r="H635" i="1"/>
  <c r="H673" i="1"/>
  <c r="H643" i="1"/>
  <c r="H694" i="1"/>
  <c r="H695" i="1"/>
  <c r="H678" i="1"/>
  <c r="H692" i="1"/>
  <c r="H677" i="1"/>
  <c r="H679" i="1"/>
  <c r="H686" i="1"/>
  <c r="H632" i="1"/>
  <c r="H676" i="1"/>
  <c r="H668" i="1"/>
  <c r="H669" i="1"/>
  <c r="H646" i="1"/>
  <c r="H630" i="1"/>
  <c r="H672" i="1"/>
  <c r="H710" i="1"/>
  <c r="H712" i="1"/>
  <c r="H636" i="1"/>
  <c r="H707" i="1"/>
  <c r="H698" i="1"/>
  <c r="H685" i="1"/>
  <c r="H634" i="1"/>
  <c r="H689" i="1"/>
  <c r="H706" i="1"/>
  <c r="H697" i="1"/>
  <c r="H642" i="1"/>
  <c r="H684" i="1"/>
  <c r="H644" i="1"/>
  <c r="H708" i="1"/>
  <c r="H690" i="1"/>
  <c r="H709" i="1"/>
  <c r="H640" i="1"/>
  <c r="H715" i="1" l="1"/>
  <c r="I629" i="1"/>
  <c r="I668" i="1" l="1"/>
  <c r="I703" i="1"/>
  <c r="I682" i="1"/>
  <c r="I687" i="1"/>
  <c r="I710" i="1"/>
  <c r="I671" i="1"/>
  <c r="I706" i="1"/>
  <c r="I707" i="1"/>
  <c r="I684" i="1"/>
  <c r="I716" i="1"/>
  <c r="I712" i="1"/>
  <c r="I637" i="1"/>
  <c r="I692" i="1"/>
  <c r="I647" i="1"/>
  <c r="I676" i="1"/>
  <c r="I672" i="1"/>
  <c r="I640" i="1"/>
  <c r="I709" i="1"/>
  <c r="I630" i="1"/>
  <c r="I636" i="1"/>
  <c r="I697" i="1"/>
  <c r="I669" i="1"/>
  <c r="I705" i="1"/>
  <c r="I674" i="1"/>
  <c r="I689" i="1"/>
  <c r="I641" i="1"/>
  <c r="I694" i="1"/>
  <c r="I702" i="1"/>
  <c r="I673" i="1"/>
  <c r="I642" i="1"/>
  <c r="I634" i="1"/>
  <c r="I708" i="1"/>
  <c r="I700" i="1"/>
  <c r="I699" i="1"/>
  <c r="I691" i="1"/>
  <c r="I688" i="1"/>
  <c r="I698" i="1"/>
  <c r="I701" i="1"/>
  <c r="I679" i="1"/>
  <c r="I632" i="1"/>
  <c r="I645" i="1"/>
  <c r="I681" i="1"/>
  <c r="I693" i="1"/>
  <c r="I635" i="1"/>
  <c r="I696" i="1"/>
  <c r="I644" i="1"/>
  <c r="I680" i="1"/>
  <c r="I695" i="1"/>
  <c r="I713" i="1"/>
  <c r="I643" i="1"/>
  <c r="I678" i="1"/>
  <c r="I633" i="1"/>
  <c r="I670" i="1"/>
  <c r="I711" i="1"/>
  <c r="I683" i="1"/>
  <c r="I677" i="1"/>
  <c r="I704" i="1"/>
  <c r="I638" i="1"/>
  <c r="I646" i="1"/>
  <c r="I685" i="1"/>
  <c r="I675" i="1"/>
  <c r="I690" i="1"/>
  <c r="I686" i="1"/>
  <c r="I639" i="1"/>
  <c r="I631" i="1"/>
  <c r="I715" i="1" l="1"/>
  <c r="J630" i="1"/>
  <c r="J685" i="1" l="1"/>
  <c r="J699" i="1"/>
  <c r="J668" i="1"/>
  <c r="J646" i="1"/>
  <c r="J697" i="1"/>
  <c r="J645" i="1"/>
  <c r="J680" i="1"/>
  <c r="J631" i="1"/>
  <c r="J712" i="1"/>
  <c r="J675" i="1"/>
  <c r="J670" i="1"/>
  <c r="J643" i="1"/>
  <c r="J706" i="1"/>
  <c r="J686" i="1"/>
  <c r="J683" i="1"/>
  <c r="J690" i="1"/>
  <c r="J671" i="1"/>
  <c r="J644" i="1"/>
  <c r="J637" i="1"/>
  <c r="J636" i="1"/>
  <c r="J638" i="1"/>
  <c r="J709" i="1"/>
  <c r="J700" i="1"/>
  <c r="J710" i="1"/>
  <c r="J689" i="1"/>
  <c r="J705" i="1"/>
  <c r="J679" i="1"/>
  <c r="J701" i="1"/>
  <c r="J687" i="1"/>
  <c r="J696" i="1"/>
  <c r="J639" i="1"/>
  <c r="J641" i="1"/>
  <c r="J647" i="1"/>
  <c r="J672" i="1"/>
  <c r="J635" i="1"/>
  <c r="J673" i="1"/>
  <c r="J693" i="1"/>
  <c r="J669" i="1"/>
  <c r="J674" i="1"/>
  <c r="J682" i="1"/>
  <c r="J704" i="1"/>
  <c r="J642" i="1"/>
  <c r="J688" i="1"/>
  <c r="J640" i="1"/>
  <c r="J691" i="1"/>
  <c r="J677" i="1"/>
  <c r="J707" i="1"/>
  <c r="J678" i="1"/>
  <c r="J698" i="1"/>
  <c r="J716" i="1"/>
  <c r="J681" i="1"/>
  <c r="J713" i="1"/>
  <c r="J684" i="1"/>
  <c r="J702" i="1"/>
  <c r="J695" i="1"/>
  <c r="J634" i="1"/>
  <c r="J632" i="1"/>
  <c r="J708" i="1"/>
  <c r="J676" i="1"/>
  <c r="J633" i="1"/>
  <c r="J692" i="1"/>
  <c r="J711" i="1"/>
  <c r="J703" i="1"/>
  <c r="J694" i="1"/>
  <c r="K644" i="1" l="1"/>
  <c r="K716" i="1" s="1"/>
  <c r="L647" i="1"/>
  <c r="L672" i="1" s="1"/>
  <c r="J715" i="1"/>
  <c r="L693" i="1" l="1"/>
  <c r="L687" i="1"/>
  <c r="L688" i="1"/>
  <c r="L716" i="1"/>
  <c r="L679" i="1"/>
  <c r="K712" i="1"/>
  <c r="K684" i="1"/>
  <c r="K681" i="1"/>
  <c r="K683" i="1"/>
  <c r="K694" i="1"/>
  <c r="K699" i="1"/>
  <c r="K703" i="1"/>
  <c r="K709" i="1"/>
  <c r="K671" i="1"/>
  <c r="K675" i="1"/>
  <c r="M675" i="1" s="1"/>
  <c r="Y741" i="1" s="1"/>
  <c r="K697" i="1"/>
  <c r="K698" i="1"/>
  <c r="K695" i="1"/>
  <c r="K704" i="1"/>
  <c r="K690" i="1"/>
  <c r="K701" i="1"/>
  <c r="K688" i="1"/>
  <c r="L680" i="1"/>
  <c r="L675" i="1"/>
  <c r="L681" i="1"/>
  <c r="M681" i="1" s="1"/>
  <c r="Y747" i="1" s="1"/>
  <c r="L696" i="1"/>
  <c r="L699" i="1"/>
  <c r="L710" i="1"/>
  <c r="L682" i="1"/>
  <c r="L697" i="1"/>
  <c r="M697" i="1" s="1"/>
  <c r="L676" i="1"/>
  <c r="M676" i="1" s="1"/>
  <c r="K702" i="1"/>
  <c r="K678" i="1"/>
  <c r="K685" i="1"/>
  <c r="L694" i="1"/>
  <c r="M694" i="1" s="1"/>
  <c r="L690" i="1"/>
  <c r="M690" i="1" s="1"/>
  <c r="Y756" i="1" s="1"/>
  <c r="L706" i="1"/>
  <c r="L670" i="1"/>
  <c r="L703" i="1"/>
  <c r="M703" i="1" s="1"/>
  <c r="L712" i="1"/>
  <c r="M712" i="1" s="1"/>
  <c r="Y778" i="1" s="1"/>
  <c r="K673" i="1"/>
  <c r="K674" i="1"/>
  <c r="K700" i="1"/>
  <c r="K686" i="1"/>
  <c r="K687" i="1"/>
  <c r="M687" i="1" s="1"/>
  <c r="K672" i="1"/>
  <c r="M672" i="1" s="1"/>
  <c r="L705" i="1"/>
  <c r="L686" i="1"/>
  <c r="L702" i="1"/>
  <c r="L704" i="1"/>
  <c r="L674" i="1"/>
  <c r="L691" i="1"/>
  <c r="K676" i="1"/>
  <c r="K713" i="1"/>
  <c r="K669" i="1"/>
  <c r="K706" i="1"/>
  <c r="K680" i="1"/>
  <c r="K689" i="1"/>
  <c r="K710" i="1"/>
  <c r="M710" i="1" s="1"/>
  <c r="L707" i="1"/>
  <c r="L695" i="1"/>
  <c r="M695" i="1" s="1"/>
  <c r="K691" i="1"/>
  <c r="L692" i="1"/>
  <c r="L685" i="1"/>
  <c r="L713" i="1"/>
  <c r="L698" i="1"/>
  <c r="M698" i="1" s="1"/>
  <c r="L708" i="1"/>
  <c r="L684" i="1"/>
  <c r="K670" i="1"/>
  <c r="K679" i="1"/>
  <c r="M679" i="1" s="1"/>
  <c r="Y745" i="1" s="1"/>
  <c r="L668" i="1"/>
  <c r="L700" i="1"/>
  <c r="L669" i="1"/>
  <c r="L711" i="1"/>
  <c r="L678" i="1"/>
  <c r="M678" i="1" s="1"/>
  <c r="K707" i="1"/>
  <c r="K677" i="1"/>
  <c r="K682" i="1"/>
  <c r="M682" i="1" s="1"/>
  <c r="K711" i="1"/>
  <c r="K692" i="1"/>
  <c r="L683" i="1"/>
  <c r="M683" i="1" s="1"/>
  <c r="Y749" i="1" s="1"/>
  <c r="L709" i="1"/>
  <c r="M709" i="1" s="1"/>
  <c r="L673" i="1"/>
  <c r="L671" i="1"/>
  <c r="M671" i="1" s="1"/>
  <c r="L677" i="1"/>
  <c r="M677" i="1" s="1"/>
  <c r="Y743" i="1" s="1"/>
  <c r="L689" i="1"/>
  <c r="K696" i="1"/>
  <c r="M696" i="1" s="1"/>
  <c r="K708" i="1"/>
  <c r="K705" i="1"/>
  <c r="K693" i="1"/>
  <c r="M693" i="1" s="1"/>
  <c r="K668" i="1"/>
  <c r="L701" i="1"/>
  <c r="M701" i="1" s="1"/>
  <c r="Y767" i="1" s="1"/>
  <c r="M699" i="1"/>
  <c r="Y765" i="1" s="1"/>
  <c r="M700" i="1" l="1"/>
  <c r="Y766" i="1" s="1"/>
  <c r="M688" i="1"/>
  <c r="Y754" i="1" s="1"/>
  <c r="M704" i="1"/>
  <c r="M684" i="1"/>
  <c r="Y750" i="1" s="1"/>
  <c r="M669" i="1"/>
  <c r="Y735" i="1" s="1"/>
  <c r="M713" i="1"/>
  <c r="M680" i="1"/>
  <c r="Y746" i="1" s="1"/>
  <c r="M673" i="1"/>
  <c r="Y769" i="1"/>
  <c r="Y761" i="1"/>
  <c r="Y737" i="1"/>
  <c r="Y744" i="1"/>
  <c r="Y775" i="1"/>
  <c r="Y763" i="1"/>
  <c r="M674" i="1"/>
  <c r="Y740" i="1" s="1"/>
  <c r="M668" i="1"/>
  <c r="M692" i="1"/>
  <c r="Y758" i="1" s="1"/>
  <c r="Y760" i="1"/>
  <c r="Y764" i="1"/>
  <c r="Y776" i="1"/>
  <c r="M685" i="1"/>
  <c r="M689" i="1"/>
  <c r="M670" i="1"/>
  <c r="K715" i="1"/>
  <c r="M708" i="1"/>
  <c r="M691" i="1"/>
  <c r="Y757" i="1" s="1"/>
  <c r="M686" i="1"/>
  <c r="M711" i="1"/>
  <c r="Y753" i="1"/>
  <c r="Y759" i="1"/>
  <c r="Y748" i="1"/>
  <c r="Y738" i="1"/>
  <c r="Y742" i="1"/>
  <c r="M702" i="1"/>
  <c r="L715" i="1"/>
  <c r="M705" i="1"/>
  <c r="M707" i="1"/>
  <c r="M706" i="1"/>
  <c r="Y762" i="1"/>
  <c r="Y739" i="1" l="1"/>
  <c r="Y770" i="1"/>
  <c r="Y779" i="1"/>
  <c r="M715" i="1"/>
  <c r="Y734" i="1"/>
  <c r="Y752" i="1"/>
  <c r="Y736" i="1"/>
  <c r="Y755" i="1"/>
  <c r="Y774" i="1"/>
  <c r="Y751" i="1"/>
  <c r="Y777" i="1"/>
  <c r="Y771" i="1"/>
  <c r="Y772" i="1"/>
  <c r="Y773" i="1"/>
  <c r="Y768" i="1"/>
  <c r="Y815" i="1" l="1"/>
  <c r="D217" i="15"/>
  <c r="E32" i="6" s="1"/>
  <c r="AX722" i="15"/>
  <c r="E209" i="15"/>
  <c r="E217" i="15" s="1"/>
  <c r="E24" i="6"/>
  <c r="F32" i="6" l="1"/>
  <c r="C478" i="15"/>
  <c r="F24" i="6"/>
  <c r="D390" i="15"/>
  <c r="D391" i="15" s="1"/>
  <c r="D817" i="15"/>
  <c r="B427" i="15"/>
  <c r="BQ730" i="15"/>
  <c r="F378" i="15"/>
  <c r="C129" i="8"/>
  <c r="C142" i="8" l="1"/>
  <c r="D393" i="15"/>
  <c r="C141" i="8"/>
  <c r="B441" i="15"/>
  <c r="C146" i="8" l="1"/>
  <c r="D396" i="15"/>
  <c r="C151" i="8" l="1"/>
  <c r="D401" i="15"/>
  <c r="F39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C228" authorId="0" shapeId="0" xr:uid="{FCBE75FB-0855-4E09-8A07-1FD2A5DE0027}">
      <text>
        <r>
          <rPr>
            <b/>
            <sz val="9"/>
            <color indexed="81"/>
            <rFont val="Tahoma"/>
            <family val="2"/>
          </rPr>
          <t>Dan Wickens:</t>
        </r>
        <r>
          <rPr>
            <sz val="9"/>
            <color indexed="81"/>
            <rFont val="Tahoma"/>
            <family val="2"/>
          </rPr>
          <t xml:space="preserve">
plugged to tie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tc={F7C6204D-AD31-46DA-BBC5-7F599133A882}</author>
  </authors>
  <commentList>
    <comment ref="C111" authorId="0" shapeId="0" xr:uid="{F7C6204D-AD31-46DA-BBC5-7F599133A882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open. Note that these will not tie to consol packet for the IBU, since the consol piece would be missing Q1. Do we have admissions #'s for Q1 that we could add to what we end up getting from Jo?</t>
      </text>
    </comment>
  </commentList>
</comments>
</file>

<file path=xl/sharedStrings.xml><?xml version="1.0" encoding="utf-8"?>
<sst xmlns="http://schemas.openxmlformats.org/spreadsheetml/2006/main" count="10830" uniqueCount="1299">
  <si>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</si>
  <si>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</si>
  <si>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</si>
  <si>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</si>
  <si>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</si>
  <si>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</si>
  <si>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</si>
  <si>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</si>
  <si>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</si>
  <si>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</si>
  <si>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</si>
  <si>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</si>
  <si>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</si>
  <si>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</si>
  <si>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</si>
  <si>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</si>
  <si>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</si>
  <si>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</si>
  <si>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</si>
  <si>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</si>
  <si>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</si>
  <si>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</si>
  <si>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</si>
  <si>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</si>
  <si>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</si>
  <si>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</si>
  <si>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</si>
  <si>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</si>
  <si>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</si>
  <si>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</si>
  <si>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</si>
  <si>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</si>
  <si>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</si>
  <si>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</si>
  <si>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</si>
  <si>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</si>
  <si>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</si>
  <si>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</si>
  <si>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</si>
  <si>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</si>
  <si>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</si>
  <si>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</si>
  <si>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</si>
  <si>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</si>
  <si>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</si>
  <si>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</si>
  <si>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</si>
  <si>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</si>
  <si>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</si>
  <si>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</si>
  <si>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</si>
  <si>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</si>
  <si>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</si>
  <si>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</si>
  <si>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</si>
  <si>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</si>
  <si>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</si>
  <si>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</si>
  <si>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</si>
  <si>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</si>
  <si>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</si>
  <si>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</si>
  <si>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</si>
  <si>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</si>
  <si>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</si>
  <si>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</si>
  <si>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</si>
  <si>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</si>
  <si>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</si>
  <si>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</si>
  <si>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</si>
  <si>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</si>
  <si>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</si>
  <si>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</si>
  <si>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</si>
  <si>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</si>
  <si>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</si>
  <si>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</si>
  <si>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</si>
  <si>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</si>
  <si>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</si>
  <si>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</si>
  <si>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</si>
  <si>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</si>
  <si>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</si>
  <si>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</si>
  <si>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</si>
  <si>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</si>
  <si>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</si>
  <si>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</si>
  <si>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</si>
  <si>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</si>
  <si>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</si>
  <si>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</si>
  <si>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</si>
  <si>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</si>
  <si>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</si>
  <si>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</si>
  <si>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</si>
  <si>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</si>
  <si>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</si>
  <si>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</si>
  <si>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</si>
  <si>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</si>
  <si>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</si>
  <si>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</si>
  <si>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</si>
  <si>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</si>
  <si>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</si>
  <si>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</si>
  <si>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</si>
  <si>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</si>
  <si>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</si>
  <si>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</si>
  <si>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</si>
  <si>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</si>
  <si>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</si>
  <si>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</si>
  <si>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</si>
  <si>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</si>
  <si>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</si>
  <si>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</si>
  <si>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</si>
  <si>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</si>
  <si>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</si>
  <si>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</si>
  <si>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</si>
  <si>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</si>
  <si>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</si>
  <si>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</si>
  <si>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</si>
  <si>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</si>
  <si>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</si>
  <si>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</si>
  <si>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</si>
  <si>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</si>
  <si>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</si>
  <si>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</si>
  <si>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</si>
  <si>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</si>
  <si>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</si>
  <si>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</si>
  <si>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</si>
  <si>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</si>
  <si>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</si>
  <si>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</si>
  <si>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</si>
  <si>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</si>
  <si>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</si>
  <si>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</si>
  <si>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</si>
  <si>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</si>
  <si>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</si>
  <si>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</si>
  <si>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</si>
  <si>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</si>
  <si>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</si>
  <si>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</si>
  <si>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</si>
  <si>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</si>
  <si>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</si>
  <si>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</si>
  <si>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</si>
  <si>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</si>
  <si>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</si>
  <si>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</si>
  <si>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</si>
  <si>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</si>
  <si>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</si>
  <si>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</si>
  <si>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</si>
  <si>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</si>
  <si>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</si>
  <si>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</si>
  <si>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</si>
  <si>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</si>
  <si>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</si>
  <si>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</si>
  <si>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</si>
  <si>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</si>
  <si>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</si>
  <si>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</si>
  <si>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</si>
  <si>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</si>
  <si>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</si>
  <si>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</si>
  <si>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</si>
  <si>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</si>
  <si>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</si>
  <si>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</si>
  <si>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</si>
  <si>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</si>
  <si>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</si>
  <si>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</si>
  <si>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</si>
  <si>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</si>
  <si>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</si>
  <si>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</si>
  <si>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</si>
  <si>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</si>
  <si>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</si>
  <si>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</si>
  <si>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</si>
  <si>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</si>
  <si>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</si>
  <si>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</si>
  <si>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</si>
  <si>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</si>
  <si>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</si>
  <si>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</si>
  <si>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</si>
  <si>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</si>
  <si>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</si>
  <si>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</si>
  <si>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</si>
  <si>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</si>
  <si>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</si>
  <si>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</si>
  <si>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</si>
  <si>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</si>
  <si>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</si>
  <si>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</si>
  <si>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</si>
  <si>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</si>
  <si>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</si>
  <si>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</si>
  <si>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</si>
  <si>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</si>
  <si>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</si>
  <si>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</si>
  <si>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</si>
  <si>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</si>
  <si>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</si>
  <si>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</si>
  <si>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</si>
  <si>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</si>
  <si>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</si>
  <si>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</si>
  <si>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</si>
  <si>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</si>
  <si>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</si>
  <si>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</si>
  <si>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</si>
  <si>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</si>
  <si>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</si>
  <si>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</si>
  <si>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</si>
  <si>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</si>
  <si>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</si>
  <si>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</si>
  <si>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</si>
  <si>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</si>
  <si>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</si>
  <si>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</si>
  <si>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</si>
  <si>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</si>
  <si>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</si>
  <si>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</si>
  <si>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</si>
  <si>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</si>
  <si>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</si>
  <si>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</si>
  <si>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</si>
  <si>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</si>
  <si>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</si>
  <si>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</si>
  <si>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</si>
  <si>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</si>
  <si>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</si>
  <si>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</si>
  <si>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</si>
  <si>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</si>
  <si>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</si>
  <si>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</si>
  <si>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</si>
  <si>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</si>
  <si>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</si>
  <si>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</si>
  <si>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</si>
  <si>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</si>
  <si>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</si>
  <si>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</si>
  <si>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</si>
  <si>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</si>
  <si>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</si>
  <si>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</si>
  <si>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</si>
  <si>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</si>
  <si>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</si>
  <si>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</si>
  <si>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</si>
  <si>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</si>
  <si>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</si>
  <si>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</si>
  <si>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</si>
  <si>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</si>
  <si>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</si>
  <si>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</si>
  <si>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</si>
  <si>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</si>
  <si>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</si>
  <si>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</si>
  <si>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</si>
  <si>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</si>
  <si>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</si>
  <si>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</si>
  <si>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</si>
  <si>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</si>
  <si>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</si>
  <si>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</si>
  <si>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</si>
  <si>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</si>
  <si>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</si>
  <si>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</si>
  <si>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</si>
  <si>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</si>
  <si>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</si>
  <si>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</si>
  <si>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</si>
  <si>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</si>
  <si>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</si>
  <si>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</si>
  <si>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</si>
  <si>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</si>
  <si>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</si>
  <si>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</si>
  <si>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</si>
  <si>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</si>
  <si>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</si>
  <si>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</si>
  <si>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</si>
  <si>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</si>
  <si>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</si>
  <si>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</si>
  <si>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</si>
  <si>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</si>
  <si>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</si>
  <si>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</si>
  <si>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</si>
  <si>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</si>
  <si>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</si>
  <si>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</si>
  <si>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</si>
  <si>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</si>
  <si>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</si>
  <si>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</si>
  <si>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</si>
  <si>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</si>
  <si>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</si>
  <si>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</si>
  <si>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</si>
  <si>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</si>
  <si>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</si>
  <si>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</si>
  <si>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</si>
  <si>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</si>
  <si>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</si>
  <si>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</si>
  <si>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</si>
  <si>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</si>
  <si>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</si>
  <si>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</si>
  <si>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</si>
  <si>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</si>
  <si>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</si>
  <si>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</si>
  <si>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</si>
  <si>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</si>
  <si>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</si>
  <si>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</si>
  <si>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</si>
  <si>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</si>
  <si>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</si>
  <si>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</si>
  <si>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</si>
  <si>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</si>
  <si>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</si>
  <si>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</si>
  <si>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</si>
  <si>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</si>
  <si>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</si>
  <si>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</si>
  <si>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</si>
  <si>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</si>
  <si>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</si>
  <si>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</si>
  <si>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</si>
  <si>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</si>
  <si>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</si>
  <si>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</si>
  <si>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</si>
  <si>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</si>
  <si>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</si>
  <si>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</si>
  <si>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</si>
  <si>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</si>
  <si>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</si>
  <si>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</si>
  <si>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</si>
  <si>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</si>
  <si>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</si>
  <si>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</si>
  <si>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</si>
  <si>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</si>
  <si>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</si>
  <si>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</si>
  <si>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</si>
  <si>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</si>
  <si>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</si>
  <si>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</si>
  <si>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</si>
  <si>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</si>
  <si>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</si>
  <si>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</si>
  <si>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</si>
  <si>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</si>
  <si>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</si>
  <si>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</si>
  <si>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</si>
  <si>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</si>
  <si>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</si>
  <si>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</si>
  <si>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</si>
  <si>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</si>
  <si>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</si>
  <si>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</si>
  <si>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</si>
  <si>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</si>
  <si>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</si>
  <si>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</si>
  <si>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</si>
  <si>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</si>
  <si>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</si>
  <si>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</si>
  <si>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</si>
  <si>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</si>
  <si>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</si>
  <si>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</si>
  <si>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</si>
  <si>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</si>
  <si>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</si>
  <si>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</si>
  <si>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</si>
  <si>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</si>
  <si>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</si>
  <si>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</si>
  <si>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</si>
  <si>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</si>
  <si>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</si>
  <si>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</si>
  <si>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</si>
  <si>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</si>
  <si>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</si>
  <si>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</si>
  <si>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</si>
  <si>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</si>
  <si>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</si>
  <si>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</si>
  <si>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</si>
  <si>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</si>
  <si>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</si>
  <si>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</si>
  <si>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</si>
  <si>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</si>
  <si>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</si>
  <si>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</si>
  <si>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</si>
  <si>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</si>
  <si>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</si>
  <si>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</si>
  <si>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</si>
  <si>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</si>
  <si>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</si>
  <si>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</si>
  <si>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</si>
  <si>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</si>
  <si>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</si>
  <si>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</si>
  <si>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</si>
  <si>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</si>
  <si>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</si>
  <si>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</si>
  <si>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</si>
  <si>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</si>
  <si>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</si>
  <si>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</si>
  <si>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</si>
  <si>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</si>
  <si>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</si>
  <si>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</si>
  <si>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</si>
  <si>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</si>
  <si>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</si>
  <si>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</si>
  <si>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</si>
  <si>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</si>
  <si>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</si>
  <si>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</si>
  <si>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</si>
  <si>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</si>
  <si>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</si>
  <si>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</si>
  <si>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</si>
  <si>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</si>
  <si>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</si>
  <si>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</si>
  <si>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</si>
  <si>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</si>
  <si>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</si>
  <si>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</si>
  <si>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</si>
  <si>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</si>
  <si>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</si>
  <si>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</si>
  <si>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</si>
  <si>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</si>
  <si>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</si>
  <si>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</si>
  <si>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</si>
  <si>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</si>
  <si>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</si>
  <si>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</si>
  <si>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</si>
  <si>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</si>
  <si>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</si>
  <si>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</si>
  <si>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</si>
  <si>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</si>
  <si>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</si>
  <si>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</si>
  <si>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</si>
  <si>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</si>
  <si>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</si>
  <si>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</si>
  <si>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</si>
  <si>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</si>
  <si>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</si>
  <si>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</si>
  <si>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</si>
  <si>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</si>
  <si>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</si>
  <si>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</si>
  <si>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</si>
  <si>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</si>
  <si>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</si>
  <si>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</si>
  <si>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</si>
  <si>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</si>
  <si>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</si>
  <si>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</si>
  <si>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</si>
  <si>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</si>
  <si>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</si>
  <si>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</si>
  <si>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</si>
  <si>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</si>
  <si>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</si>
  <si>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</si>
  <si>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</si>
  <si>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</si>
  <si>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</si>
  <si>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</si>
  <si>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</si>
  <si>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</si>
  <si>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</si>
  <si>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</si>
  <si>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</si>
  <si>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</si>
  <si>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</si>
  <si>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</si>
  <si>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</si>
  <si>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</si>
  <si>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</si>
  <si>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</si>
  <si>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</si>
  <si>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</si>
  <si>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</si>
  <si>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</si>
  <si>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</si>
  <si>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</si>
  <si>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</si>
  <si>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</si>
  <si>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</si>
  <si>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</si>
  <si>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</si>
  <si>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</si>
  <si>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</si>
  <si>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</si>
  <si>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</si>
  <si>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</si>
  <si>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</si>
  <si>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</si>
  <si>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</si>
  <si>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</si>
  <si>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</si>
  <si>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</si>
  <si>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</si>
  <si>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</si>
  <si>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</si>
  <si>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</si>
  <si>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</si>
  <si>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</si>
  <si>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</si>
  <si>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</si>
  <si>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</si>
  <si>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</si>
  <si>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</si>
  <si>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</si>
  <si>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</si>
  <si>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</si>
  <si>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</si>
  <si>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</si>
  <si>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</si>
  <si>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</si>
  <si>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</si>
  <si>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</si>
  <si>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</si>
  <si>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</si>
  <si>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</si>
  <si>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</si>
  <si>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</si>
  <si>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</si>
  <si>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</si>
  <si>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</si>
  <si>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</si>
  <si>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</si>
  <si>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</si>
  <si>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</si>
  <si>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</si>
  <si>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</si>
  <si>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</si>
  <si>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</si>
  <si>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</si>
  <si>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</si>
  <si>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</si>
  <si>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</si>
  <si>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</si>
  <si>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</si>
  <si>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</si>
  <si>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</si>
  <si>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</si>
  <si>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</si>
  <si>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</si>
  <si>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</si>
  <si>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</si>
  <si>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</si>
  <si>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</si>
  <si>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</si>
  <si>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</si>
  <si>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</si>
  <si>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</si>
  <si>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</si>
  <si>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</si>
  <si>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</si>
  <si>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</si>
  <si>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</si>
  <si>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</si>
  <si>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</si>
  <si>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</si>
  <si>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</si>
  <si>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</si>
  <si>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</si>
  <si>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</si>
  <si>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</si>
  <si>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</si>
  <si>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</si>
  <si>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</si>
  <si>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</si>
  <si>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</si>
  <si>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</si>
  <si>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</si>
  <si>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</si>
  <si>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</si>
  <si>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</si>
  <si>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</si>
  <si>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</si>
  <si>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</si>
  <si>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</si>
  <si>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</si>
  <si>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</si>
  <si>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</si>
  <si>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</si>
  <si>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</si>
  <si>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</si>
  <si>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</si>
  <si>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</si>
  <si>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</si>
  <si>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</si>
  <si>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</si>
  <si>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</si>
  <si>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</si>
  <si>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</si>
  <si>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</si>
  <si>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</si>
  <si>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</si>
  <si>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</si>
  <si>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</si>
  <si>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</si>
  <si>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</si>
  <si>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</si>
  <si>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</si>
  <si>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</si>
  <si>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</si>
  <si>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</si>
  <si>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</si>
  <si>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</si>
  <si>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</si>
  <si>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</si>
  <si>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</si>
  <si>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</si>
  <si>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</si>
  <si>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</si>
  <si>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</si>
  <si>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</si>
  <si>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</si>
  <si>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</si>
  <si>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</si>
  <si>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</si>
  <si>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</si>
  <si>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</si>
  <si>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</si>
  <si>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</si>
  <si>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</si>
  <si>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</si>
  <si>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</si>
  <si>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</si>
  <si>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</si>
  <si>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</si>
  <si>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</si>
  <si>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</si>
  <si>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</si>
  <si>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</si>
  <si>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</si>
  <si>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</si>
  <si>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</si>
  <si>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</si>
  <si>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</si>
  <si>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</si>
  <si>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</si>
  <si>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</si>
  <si>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</si>
  <si>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</si>
  <si>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</si>
  <si>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</si>
  <si>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</si>
  <si>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</si>
  <si>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</si>
  <si>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</si>
  <si>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</si>
  <si>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</si>
  <si>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</si>
  <si>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</si>
  <si>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</si>
  <si>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</si>
  <si>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</si>
  <si>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</si>
  <si>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</si>
  <si>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</si>
  <si>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</si>
  <si>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</si>
  <si>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</si>
  <si>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</si>
  <si>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</si>
  <si>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</si>
  <si>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</si>
  <si>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</si>
  <si>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</si>
  <si>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</si>
  <si>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</si>
  <si>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</si>
  <si>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</si>
  <si>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</si>
  <si>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</si>
  <si>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</si>
  <si>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</si>
  <si>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</si>
  <si>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</si>
  <si>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</si>
  <si>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</si>
  <si>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</si>
  <si>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</si>
  <si>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</si>
  <si>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</si>
  <si>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</si>
  <si>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</si>
  <si>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</si>
  <si>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</si>
  <si>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</si>
  <si>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</si>
  <si>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</si>
  <si>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</si>
  <si>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</si>
  <si>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</si>
  <si>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</si>
  <si>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</si>
  <si>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</si>
  <si>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</si>
  <si>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</si>
  <si>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</si>
  <si>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</si>
  <si>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</si>
  <si>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</si>
  <si>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</si>
  <si>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</si>
  <si>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</si>
  <si>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</si>
  <si>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</si>
  <si>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</si>
  <si>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</si>
  <si>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</si>
  <si>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</si>
  <si>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</si>
  <si>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</si>
  <si>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</si>
  <si>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</si>
  <si>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</si>
  <si>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</si>
  <si>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</si>
  <si>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</si>
  <si>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</si>
  <si>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</si>
  <si>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</si>
  <si>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</si>
  <si>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</si>
  <si>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</si>
  <si>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</si>
  <si>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</si>
  <si>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</si>
  <si>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</si>
  <si>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</si>
  <si>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</si>
  <si>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</si>
  <si>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</si>
  <si>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</si>
  <si>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</si>
  <si>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</si>
  <si>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</si>
  <si>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</si>
  <si>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</si>
  <si>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</si>
  <si>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</si>
  <si>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</si>
  <si>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</si>
  <si>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</si>
  <si>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</si>
  <si>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</si>
  <si>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</si>
  <si>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</si>
  <si>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</si>
  <si>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</si>
  <si>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</si>
  <si>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</si>
  <si>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</si>
  <si>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</si>
  <si>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</si>
  <si>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</si>
  <si>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</si>
  <si>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</si>
  <si>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</si>
  <si>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</si>
  <si>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</si>
  <si>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</si>
  <si>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</si>
  <si>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</si>
  <si>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</si>
  <si>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</si>
  <si>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</si>
  <si>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</si>
  <si>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</si>
  <si>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</si>
  <si>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</si>
  <si>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</si>
  <si>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</si>
  <si>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</si>
  <si>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</si>
  <si>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</si>
  <si>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</si>
  <si>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</si>
  <si>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</si>
  <si>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</si>
  <si>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</si>
  <si>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</si>
  <si>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</si>
  <si>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</si>
  <si>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</si>
  <si>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</si>
  <si>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</si>
  <si>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</si>
  <si>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</si>
  <si>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</si>
  <si>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</si>
  <si>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</si>
  <si>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</si>
  <si>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</si>
  <si>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</si>
  <si>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</si>
  <si>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</si>
  <si>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</si>
  <si>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</si>
  <si>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</si>
  <si>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</si>
  <si>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</si>
  <si>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</si>
  <si>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</si>
  <si>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</si>
  <si>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</si>
  <si>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</si>
  <si>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</si>
  <si>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</si>
  <si>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</si>
  <si>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</si>
  <si>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</si>
  <si>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</si>
  <si>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</si>
  <si>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</si>
  <si>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</si>
  <si>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</si>
  <si>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</si>
  <si>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</si>
  <si>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</si>
  <si>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</si>
  <si>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</si>
  <si>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</si>
  <si>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</si>
  <si>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</si>
  <si>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</si>
  <si>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</si>
  <si>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</si>
  <si>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</si>
  <si>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</si>
  <si>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</si>
  <si>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</si>
  <si>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</si>
  <si>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</si>
  <si>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</si>
  <si>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</si>
  <si>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</si>
  <si>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</si>
  <si>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</si>
  <si>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</si>
  <si>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</si>
  <si>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</si>
  <si>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</si>
  <si>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</si>
  <si>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</si>
  <si>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</si>
  <si>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</si>
  <si>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</si>
  <si>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</si>
  <si>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</si>
  <si>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</si>
  <si>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</si>
  <si>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</si>
  <si>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</si>
  <si>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</si>
  <si>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</si>
  <si>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</si>
  <si>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</si>
  <si>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</si>
  <si>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</si>
  <si>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</si>
  <si>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</si>
  <si>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</si>
  <si>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</si>
  <si>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</si>
  <si>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</si>
  <si>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</si>
  <si>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</si>
  <si>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</si>
  <si>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</si>
  <si>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</si>
  <si>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</si>
  <si>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</si>
  <si>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</si>
  <si>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</si>
  <si>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</si>
  <si>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</si>
  <si>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</si>
  <si>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</si>
  <si>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</si>
  <si>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</si>
  <si>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</si>
  <si>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</si>
  <si>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</si>
  <si>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</si>
  <si>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</si>
  <si>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</si>
  <si>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</si>
  <si>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</si>
  <si>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</si>
  <si>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</si>
  <si>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</si>
  <si>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</si>
  <si>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</si>
  <si>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</si>
  <si>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</si>
  <si>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</si>
  <si>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</si>
  <si>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</si>
  <si>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</si>
  <si>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</si>
  <si>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</si>
  <si>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</si>
  <si>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</si>
  <si>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</si>
  <si>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</si>
  <si>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</si>
  <si>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</si>
  <si>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</si>
  <si>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</si>
  <si>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</si>
  <si>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</si>
  <si>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</si>
  <si>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</si>
  <si>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</si>
  <si>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</si>
  <si>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</si>
  <si>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</si>
  <si>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</si>
  <si>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</si>
  <si>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</si>
  <si>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</si>
  <si>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</si>
  <si>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</si>
  <si>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</si>
  <si>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</si>
  <si>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</si>
  <si>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</si>
  <si>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</si>
  <si>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</si>
  <si>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</si>
  <si>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</si>
  <si>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</si>
  <si>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</si>
  <si>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</si>
  <si>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</si>
  <si>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</si>
  <si>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</si>
  <si>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</si>
  <si>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</si>
  <si>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</si>
  <si>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</si>
  <si>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</si>
  <si>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</si>
  <si>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</si>
  <si>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</si>
  <si>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</si>
  <si>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</si>
  <si>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</si>
  <si>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</si>
  <si>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</si>
  <si>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</si>
  <si>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</si>
  <si>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</si>
  <si>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</si>
  <si>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</si>
  <si>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</si>
  <si>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</si>
  <si>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</si>
  <si>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</si>
  <si>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</si>
  <si>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</si>
  <si>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</si>
  <si>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</si>
  <si>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</si>
  <si>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</si>
  <si>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</si>
  <si>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</si>
  <si>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</si>
  <si>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</si>
  <si>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</si>
  <si>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</si>
  <si>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</si>
  <si>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</si>
  <si>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</si>
  <si>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</si>
  <si>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</si>
  <si>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</si>
  <si>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</si>
  <si>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</si>
  <si>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</si>
  <si>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</si>
  <si>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</si>
  <si>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</si>
  <si>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</si>
  <si>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</si>
  <si>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</si>
  <si>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</si>
  <si>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</si>
  <si>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</si>
  <si>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</si>
  <si>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</si>
  <si>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</si>
  <si>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</si>
  <si>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</si>
  <si>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</si>
  <si>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</si>
  <si>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</si>
  <si>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</si>
  <si>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</si>
  <si>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</si>
  <si>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</si>
  <si>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</si>
  <si>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</si>
  <si>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</si>
  <si>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</si>
  <si>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</si>
  <si>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</si>
  <si>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</si>
  <si>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</si>
  <si>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</si>
  <si>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</si>
  <si>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</si>
  <si>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</si>
  <si>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</si>
  <si>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</si>
  <si>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</si>
  <si>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</si>
  <si>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</si>
  <si>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</si>
  <si>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</si>
  <si>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</si>
  <si>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</si>
  <si>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</si>
  <si>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</si>
  <si>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</si>
  <si>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</si>
  <si>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</si>
  <si>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</si>
  <si>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</si>
  <si>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</si>
  <si>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</si>
  <si>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</si>
  <si>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</si>
  <si>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</si>
  <si>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</si>
  <si>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</si>
  <si>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</si>
  <si>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</si>
  <si>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</si>
  <si>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</si>
  <si>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</si>
  <si>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</si>
  <si>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</si>
  <si>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</si>
  <si>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</si>
  <si>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</si>
  <si>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</si>
  <si>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</si>
  <si>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</si>
  <si>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</si>
  <si>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</si>
  <si>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</si>
  <si>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</si>
  <si>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</si>
  <si>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</si>
  <si>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</si>
  <si>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</si>
  <si>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</si>
  <si>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</si>
  <si>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</si>
  <si>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</si>
  <si>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</si>
  <si>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</si>
  <si>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</si>
  <si>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</si>
  <si>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</si>
  <si>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</si>
  <si>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</si>
  <si>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</si>
  <si>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</si>
  <si>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</si>
  <si>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</si>
  <si>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</si>
  <si>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</si>
  <si>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</si>
  <si>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</si>
  <si>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</si>
  <si>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</si>
  <si>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</si>
  <si>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</si>
  <si>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</si>
  <si>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</si>
  <si>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</si>
  <si>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</si>
  <si>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</si>
  <si>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</si>
  <si>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</si>
  <si>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</si>
  <si>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</si>
  <si>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</si>
  <si>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</si>
  <si>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</si>
  <si>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</si>
  <si>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</si>
  <si>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</si>
  <si>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</si>
  <si>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</si>
  <si>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</si>
  <si>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</si>
  <si>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</si>
  <si>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</si>
  <si>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</si>
  <si>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</si>
  <si>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</si>
  <si>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</si>
  <si>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</si>
  <si>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</si>
  <si>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</si>
  <si>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</si>
  <si>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</si>
  <si>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</si>
  <si>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</si>
  <si>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</si>
  <si>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</si>
  <si>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</si>
  <si>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</si>
  <si>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</si>
  <si>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</si>
  <si>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</si>
  <si>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</si>
  <si>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</si>
  <si>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</si>
  <si>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</si>
  <si>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</si>
  <si>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</si>
  <si>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</si>
  <si>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</si>
  <si>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</si>
  <si>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</si>
  <si>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</si>
  <si>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</si>
  <si>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</si>
  <si>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</si>
  <si>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</si>
  <si>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</si>
  <si>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</si>
  <si>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</si>
  <si>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</si>
  <si>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</si>
  <si>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</si>
  <si>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</si>
  <si>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</si>
  <si>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</si>
  <si>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</si>
  <si>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</si>
  <si>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</si>
  <si>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</si>
  <si>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</si>
  <si>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</si>
  <si>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</si>
  <si>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</si>
  <si>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</si>
  <si>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</si>
  <si>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</si>
  <si>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</si>
  <si>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</si>
  <si>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</si>
  <si>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</si>
  <si>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</si>
  <si>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</si>
  <si>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</si>
  <si>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</si>
  <si>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</si>
  <si>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</si>
  <si>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d</t>
  </si>
  <si>
    <t>Check</t>
  </si>
  <si>
    <t>12/31/21</t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</si>
  <si>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</si>
  <si>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</si>
  <si>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t>12/31/2020</t>
  </si>
  <si>
    <t>197</t>
  </si>
  <si>
    <t>Capital Medical Center</t>
  </si>
  <si>
    <t>3900 Capital Mall Drive SW</t>
  </si>
  <si>
    <t>Olympia, WA 98502</t>
  </si>
  <si>
    <t>Thurston</t>
  </si>
  <si>
    <t>Jennifer Weldon</t>
  </si>
  <si>
    <t>Stephen Snow, MD</t>
  </si>
  <si>
    <t>360-956-4737</t>
  </si>
  <si>
    <t>360-956-3540</t>
  </si>
  <si>
    <t>Will Callicoat</t>
  </si>
  <si>
    <t>360-706-6234</t>
  </si>
  <si>
    <t>3/31/21</t>
  </si>
  <si>
    <t>Bill Robertson</t>
  </si>
  <si>
    <t>James Lee</t>
  </si>
  <si>
    <t>Check to detail</t>
  </si>
  <si>
    <t>data 2Q21-4Q21</t>
  </si>
  <si>
    <t>data 1Q21 (2)</t>
  </si>
  <si>
    <t>&lt;&lt;&lt; Validate Inc Stmt 2021 CAP 36.39</t>
  </si>
  <si>
    <t>data 1Q21 tab</t>
  </si>
  <si>
    <t>MHS Consolidated Balance Sheet Entity Tab to tie to</t>
  </si>
  <si>
    <t>Rows 73 - 74</t>
  </si>
  <si>
    <t>Rows 359 - 360</t>
  </si>
  <si>
    <t>data 1Q21</t>
  </si>
  <si>
    <t>rolled over correctly</t>
  </si>
  <si>
    <t>Below proves out that tabs rolled up correctly</t>
  </si>
  <si>
    <t>rolled correctly</t>
  </si>
  <si>
    <t>In 2020 they have a variance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</si>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</sst>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[$-409]mmm\-yy;@"/>
    <numFmt numFmtId="169" formatCode="0.0%_);\(#0.0%\)"/>
    <numFmt numFmtId="170" formatCode="#,##0.00\ ;\(#,##0.00\)"/>
    <numFmt numFmtId="171" formatCode="_._.* #,##0.0_)_%;_._.* \(#,##0.0\)_%"/>
    <numFmt numFmtId="172" formatCode="_._.* #,##0.00_)_%;_._.* \(#,##0.00\)_%"/>
    <numFmt numFmtId="173" formatCode="_._.* #,##0.000_)_%;_._.* \(#,##0.000\)_%"/>
    <numFmt numFmtId="174" formatCode="_._.* #,##0.0000_)_%;_._.* \(#,##0.0000\)_%;_._.* \-\ \ \ \ \ _)_%"/>
    <numFmt numFmtId="175" formatCode="_._.&quot;$&quot;* #,##0.0_)_%;_._.&quot;$&quot;* \(#,##0.0\)_%"/>
    <numFmt numFmtId="176" formatCode="_._.&quot;$&quot;* #,##0.00_)_%;_._.&quot;$&quot;* \(#,##0.00\)_%"/>
    <numFmt numFmtId="177" formatCode="_._.&quot;$&quot;* #,##0.000_)_%;_._.&quot;$&quot;* \(#,##0.000\)_%"/>
    <numFmt numFmtId="178" formatCode="_._.&quot;$&quot;* #,##0.0000_)_%;_._.&quot;$&quot;* \(#,##0.0000\)_%;_._.&quot;$&quot;* \-\ \ \ \ \ _)_%"/>
    <numFmt numFmtId="179" formatCode="mmmm\ d\,\ yyyy"/>
    <numFmt numFmtId="180" formatCode="#.00"/>
    <numFmt numFmtId="181" formatCode="0;[Red]0"/>
    <numFmt numFmtId="182" formatCode="#,##0\ ;\(#,##0\)"/>
    <numFmt numFmtId="183" formatCode="_(0_)%;\(0\)%"/>
    <numFmt numFmtId="184" formatCode="_._._(* 0_)%;_._.* \(0\)%"/>
    <numFmt numFmtId="185" formatCode="_(0_)%;\(0\)%;\ \-\ \ \ \ \ _)\%"/>
    <numFmt numFmtId="186" formatCode="_(0.0_)%;\(0.0\)%"/>
    <numFmt numFmtId="187" formatCode="_._._(* 0.0_)%;_._.* \(0.0\)%"/>
    <numFmt numFmtId="188" formatCode="_(0.0_)%;\(0.0\)%;\ \-\ \ \ \ \ _)\%"/>
    <numFmt numFmtId="189" formatCode="_(0.00_)%;\(0.00\)%"/>
    <numFmt numFmtId="190" formatCode="_._._(* 0.00_)%;_._.* \(0.00\)%"/>
    <numFmt numFmtId="191" formatCode="_(0.00_)%;\(0.00\)%;\ \-\ \ \ \ \ _)\%"/>
    <numFmt numFmtId="192" formatCode="_(0.000_)%;\(0.000\)%"/>
    <numFmt numFmtId="193" formatCode="_._._(* 0.000_)%;_._.* \(0.000\)%"/>
    <numFmt numFmtId="194" formatCode="_(0.000_)%;\(0.000\)%;\ \-\ \ \ \ \ _)\%"/>
    <numFmt numFmtId="195" formatCode="_(0.0000_)%;\(0.0000\)%;\ \-\ \ \ \ \ _)\%"/>
    <numFmt numFmtId="196" formatCode="_._._(* 0.0000_)%;_._.* \(0.0000\)%;_._._(* \-\ \ \ \ \ _)\%"/>
    <numFmt numFmtId="197" formatCode="_(0.0000_)%;\(0.0000\)%"/>
    <numFmt numFmtId="198" formatCode="yyyy"/>
    <numFmt numFmtId="199" formatCode="_(* #,##0_);_(* \(#,##0\);_(* 0_);_(@_)"/>
    <numFmt numFmtId="200" formatCode="_(* #,##0.0_);_(* \(#,##0.0\)"/>
    <numFmt numFmtId="201" formatCode="_(* #,##0.00_);_(* \(#,##0.00\)"/>
    <numFmt numFmtId="202" formatCode="_(* #,##0.000_);_(* \(#,##0.000\)"/>
    <numFmt numFmtId="203" formatCode="_(* #,##0_);_(* \(#,##0\);_(* \-\ \ \ \ \ _)"/>
    <numFmt numFmtId="204" formatCode="_(&quot;$&quot;* #,##0_);_(&quot;$&quot;* \(#,##0\);_(&quot;$&quot;* 0_);_(@_)"/>
    <numFmt numFmtId="205" formatCode="_(&quot;$&quot;* #,##0.0_);_(&quot;$&quot;* \(#,##0.0\)"/>
    <numFmt numFmtId="206" formatCode="_(&quot;$&quot;* #,##0.00_);_(&quot;$&quot;* \(#,##0.00\)"/>
    <numFmt numFmtId="207" formatCode="_(&quot;$&quot;* #,##0.000_);_(&quot;$&quot;* \(#,##0.000\)"/>
    <numFmt numFmtId="208" formatCode="_(&quot;$&quot;* #,##0_);_(&quot;$&quot;* \(#,##0\);_(&quot;$&quot;* \-\ \ \ \ \ _)"/>
    <numFmt numFmtId="209" formatCode="#,##0,;\(#,##0,\)"/>
  </numFmts>
  <fonts count="87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vant Garde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StoneSerif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6"/>
      <name val="Marigold"/>
      <family val="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theme="8" tint="-0.49977111117893003"/>
      <name val="Segoe UI"/>
      <family val="2"/>
    </font>
    <font>
      <sz val="11"/>
      <color indexed="62"/>
      <name val="Calibri"/>
      <family val="2"/>
    </font>
    <font>
      <sz val="9"/>
      <color theme="8" tint="-0.49977111117893003"/>
      <name val="Segoe UI"/>
      <family val="2"/>
    </font>
    <font>
      <sz val="10"/>
      <color theme="8" tint="-0.49977111117893003"/>
      <name val="Calibri"/>
      <family val="2"/>
      <scheme val="minor"/>
    </font>
    <font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0"/>
      <name val="Geneva"/>
      <family val="2"/>
    </font>
    <font>
      <sz val="11"/>
      <color theme="1"/>
      <name val="Arial"/>
      <family val="2"/>
    </font>
    <font>
      <sz val="11"/>
      <color theme="3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ourier"/>
    </font>
  </fonts>
  <fills count="6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37" fontId="18" fillId="0" borderId="0"/>
    <xf numFmtId="0" fontId="2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4" fontId="22" fillId="0" borderId="0" applyFont="0" applyFill="0" applyBorder="0" applyProtection="0">
      <alignment horizontal="center"/>
    </xf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41" fontId="23" fillId="0" borderId="0" applyFont="0" applyFill="0" applyBorder="0" applyAlignment="0" applyProtection="0"/>
    <xf numFmtId="0" fontId="24" fillId="24" borderId="0">
      <alignment vertical="center"/>
    </xf>
    <xf numFmtId="37" fontId="25" fillId="25" borderId="0" applyNumberFormat="0">
      <protection locked="0"/>
    </xf>
    <xf numFmtId="17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26" borderId="33" applyNumberFormat="0" applyAlignment="0" applyProtection="0"/>
    <xf numFmtId="0" fontId="28" fillId="0" borderId="0" applyFill="0" applyBorder="0" applyProtection="0">
      <alignment horizontal="center"/>
      <protection locked="0"/>
    </xf>
    <xf numFmtId="0" fontId="29" fillId="27" borderId="34" applyNumberFormat="0" applyAlignment="0" applyProtection="0"/>
    <xf numFmtId="43" fontId="2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3" fillId="0" borderId="0" applyFont="0" applyFill="0" applyBorder="0" applyAlignment="0" applyProtection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37" fontId="5" fillId="0" borderId="0" applyBorder="0">
      <alignment horizontal="left" vertical="top"/>
      <protection locked="0"/>
    </xf>
    <xf numFmtId="0" fontId="36" fillId="0" borderId="0" applyFill="0" applyBorder="0" applyAlignment="0" applyProtection="0">
      <protection locked="0"/>
    </xf>
    <xf numFmtId="7" fontId="30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3" fillId="0" borderId="0" applyFont="0" applyFill="0" applyBorder="0" applyAlignment="0" applyProtection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24" borderId="35">
      <alignment horizontal="center"/>
    </xf>
    <xf numFmtId="37" fontId="39" fillId="28" borderId="36" applyNumberFormat="0">
      <alignment vertical="top"/>
      <protection locked="0"/>
    </xf>
    <xf numFmtId="37" fontId="40" fillId="28" borderId="37" applyNumberFormat="0">
      <protection locked="0"/>
    </xf>
    <xf numFmtId="0" fontId="41" fillId="29" borderId="38">
      <alignment vertical="center"/>
      <protection locked="0"/>
    </xf>
    <xf numFmtId="0" fontId="42" fillId="0" borderId="0" applyNumberForma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180" fontId="43" fillId="0" borderId="0">
      <protection locked="0"/>
    </xf>
    <xf numFmtId="181" fontId="45" fillId="0" borderId="0" applyBorder="0">
      <alignment horizontal="left" vertical="top"/>
    </xf>
    <xf numFmtId="0" fontId="22" fillId="0" borderId="0" applyFont="0" applyFill="0" applyBorder="0" applyAlignment="0" applyProtection="0"/>
    <xf numFmtId="0" fontId="46" fillId="11" borderId="0" applyNumberFormat="0" applyBorder="0" applyAlignment="0" applyProtection="0"/>
    <xf numFmtId="38" fontId="11" fillId="26" borderId="0" applyNumberFormat="0" applyBorder="0" applyAlignment="0" applyProtection="0"/>
    <xf numFmtId="0" fontId="36" fillId="0" borderId="39" applyNumberFormat="0" applyAlignment="0" applyProtection="0">
      <alignment horizontal="left" vertical="center"/>
    </xf>
    <xf numFmtId="0" fontId="36" fillId="0" borderId="8">
      <alignment horizontal="left" vertical="center"/>
    </xf>
    <xf numFmtId="182" fontId="47" fillId="26" borderId="0" applyNumberFormat="0" applyFill="0" applyBorder="0" applyAlignment="0" applyProtection="0"/>
    <xf numFmtId="0" fontId="48" fillId="0" borderId="40" applyNumberFormat="0" applyFill="0" applyAlignment="0" applyProtection="0"/>
    <xf numFmtId="0" fontId="49" fillId="0" borderId="41" applyNumberFormat="0" applyFill="0" applyAlignment="0" applyProtection="0"/>
    <xf numFmtId="0" fontId="50" fillId="0" borderId="4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Fill="0" applyAlignment="0" applyProtection="0">
      <protection locked="0"/>
    </xf>
    <xf numFmtId="0" fontId="28" fillId="0" borderId="12" applyFill="0" applyAlignment="0" applyProtection="0">
      <protection locked="0"/>
    </xf>
    <xf numFmtId="0" fontId="51" fillId="0" borderId="0">
      <protection locked="0"/>
    </xf>
    <xf numFmtId="0" fontId="51" fillId="0" borderId="0">
      <protection locked="0"/>
    </xf>
    <xf numFmtId="38" fontId="52" fillId="30" borderId="38">
      <alignment vertical="center"/>
      <protection locked="0"/>
    </xf>
    <xf numFmtId="10" fontId="11" fillId="31" borderId="1" applyNumberFormat="0" applyBorder="0" applyAlignment="0" applyProtection="0"/>
    <xf numFmtId="0" fontId="53" fillId="12" borderId="33" applyNumberFormat="0" applyAlignment="0" applyProtection="0"/>
    <xf numFmtId="0" fontId="54" fillId="32" borderId="38">
      <alignment vertical="center" wrapText="1"/>
      <protection locked="0"/>
    </xf>
    <xf numFmtId="169" fontId="55" fillId="33" borderId="38">
      <alignment vertical="center"/>
      <protection locked="0"/>
    </xf>
    <xf numFmtId="41" fontId="56" fillId="11" borderId="0" applyNumberFormat="0" applyBorder="0">
      <alignment horizontal="center" vertical="top"/>
    </xf>
    <xf numFmtId="179" fontId="22" fillId="0" borderId="0" applyFont="0" applyFill="0" applyBorder="0" applyProtection="0">
      <alignment horizontal="center"/>
    </xf>
    <xf numFmtId="0" fontId="57" fillId="0" borderId="43" applyNumberFormat="0" applyFill="0" applyAlignment="0" applyProtection="0"/>
    <xf numFmtId="0" fontId="58" fillId="34" borderId="0" applyNumberFormat="0" applyBorder="0" applyAlignment="0" applyProtection="0"/>
    <xf numFmtId="37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4" borderId="0" applyFill="0"/>
    <xf numFmtId="0" fontId="20" fillId="0" borderId="0"/>
    <xf numFmtId="0" fontId="20" fillId="0" borderId="0"/>
    <xf numFmtId="0" fontId="20" fillId="0" borderId="0"/>
    <xf numFmtId="0" fontId="35" fillId="0" borderId="0">
      <alignment vertical="top"/>
    </xf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3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5" fillId="0" borderId="0"/>
    <xf numFmtId="0" fontId="35" fillId="0" borderId="0">
      <alignment vertical="top"/>
    </xf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9" fillId="0" borderId="0"/>
    <xf numFmtId="0" fontId="5" fillId="31" borderId="44" applyNumberFormat="0" applyFont="0" applyAlignment="0" applyProtection="0"/>
    <xf numFmtId="41" fontId="24" fillId="0" borderId="0">
      <alignment vertical="center"/>
    </xf>
    <xf numFmtId="0" fontId="65" fillId="26" borderId="45" applyNumberFormat="0" applyAlignment="0" applyProtection="0"/>
    <xf numFmtId="40" fontId="66" fillId="4" borderId="0">
      <alignment horizontal="right"/>
    </xf>
    <xf numFmtId="183" fontId="32" fillId="0" borderId="0" applyFont="0" applyFill="0" applyBorder="0" applyAlignment="0" applyProtection="0"/>
    <xf numFmtId="184" fontId="36" fillId="0" borderId="0" applyFont="0" applyFill="0" applyBorder="0" applyAlignment="0" applyProtection="0">
      <protection locked="0"/>
    </xf>
    <xf numFmtId="185" fontId="67" fillId="0" borderId="0" applyFont="0" applyFill="0" applyBorder="0" applyAlignment="0" applyProtection="0"/>
    <xf numFmtId="10" fontId="5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6" fillId="0" borderId="0" applyFont="0" applyFill="0" applyBorder="0" applyAlignment="0" applyProtection="0">
      <protection locked="0"/>
    </xf>
    <xf numFmtId="188" fontId="67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6" fillId="0" borderId="0" applyFont="0" applyFill="0" applyBorder="0" applyAlignment="0" applyProtection="0">
      <protection locked="0"/>
    </xf>
    <xf numFmtId="191" fontId="67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6" fillId="0" borderId="0" applyFont="0" applyFill="0" applyBorder="0" applyAlignment="0" applyProtection="0">
      <protection locked="0"/>
    </xf>
    <xf numFmtId="194" fontId="67" fillId="0" borderId="0" applyFont="0" applyFill="0" applyBorder="0" applyAlignment="0" applyProtection="0"/>
    <xf numFmtId="195" fontId="33" fillId="0" borderId="0" applyFont="0" applyFill="0" applyBorder="0" applyAlignment="0" applyProtection="0">
      <protection locked="0"/>
    </xf>
    <xf numFmtId="196" fontId="64" fillId="0" borderId="0" applyFont="0" applyFill="0" applyBorder="0" applyAlignment="0" applyProtection="0"/>
    <xf numFmtId="197" fontId="33" fillId="0" borderId="0" applyFont="0" applyFill="0" applyBorder="0" applyAlignment="0" applyProtection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4" fillId="0" borderId="0">
      <alignment vertical="center"/>
    </xf>
    <xf numFmtId="37" fontId="68" fillId="0" borderId="0">
      <alignment horizontal="left" vertical="center"/>
    </xf>
    <xf numFmtId="41" fontId="63" fillId="31" borderId="0" applyNumberFormat="0" applyBorder="0">
      <alignment horizontal="center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9" fillId="0" borderId="46">
      <alignment horizontal="center"/>
    </xf>
    <xf numFmtId="0" fontId="69" fillId="0" borderId="46">
      <alignment horizontal="center"/>
    </xf>
    <xf numFmtId="0" fontId="69" fillId="0" borderId="46">
      <alignment horizontal="center"/>
    </xf>
    <xf numFmtId="0" fontId="69" fillId="0" borderId="46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70" fillId="0" borderId="0">
      <alignment horizontal="right" vertical="center"/>
    </xf>
    <xf numFmtId="0" fontId="71" fillId="0" borderId="0">
      <alignment vertical="center"/>
    </xf>
    <xf numFmtId="41" fontId="56" fillId="6" borderId="0" applyNumberFormat="0" applyBorder="0">
      <alignment horizontal="center" vertical="top"/>
    </xf>
    <xf numFmtId="0" fontId="19" fillId="24" borderId="47">
      <alignment vertical="center"/>
    </xf>
    <xf numFmtId="0" fontId="72" fillId="36" borderId="48">
      <alignment horizontal="left" vertical="center"/>
    </xf>
    <xf numFmtId="167" fontId="41" fillId="37" borderId="49">
      <alignment vertical="center"/>
    </xf>
    <xf numFmtId="38" fontId="41" fillId="37" borderId="49">
      <alignment vertical="center"/>
    </xf>
    <xf numFmtId="37" fontId="40" fillId="28" borderId="50" applyNumberFormat="0">
      <alignment vertical="center"/>
      <protection locked="0"/>
    </xf>
    <xf numFmtId="37" fontId="72" fillId="38" borderId="0">
      <alignment horizontal="left" vertical="center"/>
    </xf>
    <xf numFmtId="38" fontId="72" fillId="24" borderId="48">
      <alignment horizontal="left" vertical="center"/>
    </xf>
    <xf numFmtId="38" fontId="24" fillId="24" borderId="49">
      <alignment vertical="center"/>
    </xf>
    <xf numFmtId="167" fontId="24" fillId="24" borderId="49">
      <alignment vertical="center"/>
    </xf>
    <xf numFmtId="168" fontId="73" fillId="39" borderId="0">
      <alignment horizontal="right" vertical="center"/>
    </xf>
    <xf numFmtId="38" fontId="73" fillId="39" borderId="0">
      <alignment vertical="center"/>
    </xf>
    <xf numFmtId="0" fontId="73" fillId="39" borderId="0">
      <alignment horizontal="right" vertical="center"/>
    </xf>
    <xf numFmtId="37" fontId="73" fillId="39" borderId="0" applyNumberFormat="0">
      <alignment vertical="center"/>
      <protection locked="0"/>
    </xf>
    <xf numFmtId="49" fontId="74" fillId="0" borderId="0">
      <alignment vertical="top"/>
    </xf>
    <xf numFmtId="0" fontId="75" fillId="0" borderId="0" applyNumberFormat="0" applyFill="0" applyBorder="0" applyAlignment="0" applyProtection="0"/>
    <xf numFmtId="0" fontId="40" fillId="28" borderId="37"/>
    <xf numFmtId="0" fontId="39" fillId="28" borderId="36">
      <alignment vertical="top"/>
    </xf>
    <xf numFmtId="0" fontId="40" fillId="24" borderId="50">
      <alignment vertical="center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98" fontId="5" fillId="0" borderId="0">
      <alignment horizontal="center" vertical="top"/>
    </xf>
    <xf numFmtId="17" fontId="76" fillId="0" borderId="0" applyBorder="0">
      <alignment horizontal="center" vertical="top"/>
    </xf>
    <xf numFmtId="0" fontId="77" fillId="0" borderId="51" applyNumberFormat="0" applyFill="0" applyAlignment="0" applyProtection="0"/>
    <xf numFmtId="0" fontId="78" fillId="0" borderId="0" applyNumberFormat="0" applyFill="0" applyBorder="0" applyAlignment="0" applyProtection="0"/>
    <xf numFmtId="199" fontId="31" fillId="0" borderId="0" applyFont="0" applyFill="0" applyBorder="0" applyAlignment="0" applyProtection="0"/>
    <xf numFmtId="200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64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64" fillId="0" borderId="0" applyFont="0" applyFill="0" applyBorder="0" applyAlignment="0" applyProtection="0"/>
    <xf numFmtId="0" fontId="9" fillId="0" borderId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7" borderId="0" applyNumberFormat="0" applyBorder="0" applyAlignment="0" applyProtection="0"/>
    <xf numFmtId="0" fontId="26" fillId="41" borderId="0" applyNumberFormat="0" applyBorder="0" applyAlignment="0" applyProtection="0"/>
    <xf numFmtId="0" fontId="27" fillId="58" borderId="33" applyNumberFormat="0" applyAlignment="0" applyProtection="0"/>
    <xf numFmtId="0" fontId="29" fillId="59" borderId="34" applyNumberFormat="0" applyAlignment="0" applyProtection="0"/>
    <xf numFmtId="0" fontId="46" fillId="42" borderId="0" applyNumberFormat="0" applyBorder="0" applyAlignment="0" applyProtection="0"/>
    <xf numFmtId="0" fontId="36" fillId="0" borderId="8">
      <alignment horizontal="left"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53" fillId="45" borderId="33" applyNumberFormat="0" applyAlignment="0" applyProtection="0"/>
    <xf numFmtId="0" fontId="58" fillId="60" borderId="0" applyNumberFormat="0" applyBorder="0" applyAlignment="0" applyProtection="0"/>
    <xf numFmtId="0" fontId="5" fillId="61" borderId="44" applyNumberFormat="0" applyFont="0" applyAlignment="0" applyProtection="0"/>
    <xf numFmtId="0" fontId="65" fillId="58" borderId="45" applyNumberFormat="0" applyAlignment="0" applyProtection="0"/>
    <xf numFmtId="0" fontId="77" fillId="0" borderId="51" applyNumberFormat="0" applyFill="0" applyAlignment="0" applyProtection="0"/>
    <xf numFmtId="43" fontId="5" fillId="0" borderId="0" applyFont="0" applyFill="0" applyBorder="0" applyAlignment="0" applyProtection="0"/>
    <xf numFmtId="0" fontId="9" fillId="0" borderId="0"/>
    <xf numFmtId="0" fontId="27" fillId="58" borderId="33" applyNumberFormat="0" applyAlignment="0" applyProtection="0"/>
    <xf numFmtId="0" fontId="36" fillId="0" borderId="8">
      <alignment horizontal="left" vertical="center"/>
    </xf>
    <xf numFmtId="10" fontId="11" fillId="31" borderId="1" applyNumberFormat="0" applyBorder="0" applyAlignment="0" applyProtection="0"/>
    <xf numFmtId="0" fontId="53" fillId="45" borderId="33" applyNumberFormat="0" applyAlignment="0" applyProtection="0"/>
    <xf numFmtId="0" fontId="5" fillId="61" borderId="44" applyNumberFormat="0" applyFont="0" applyAlignment="0" applyProtection="0"/>
    <xf numFmtId="0" fontId="65" fillId="58" borderId="45" applyNumberFormat="0" applyAlignment="0" applyProtection="0"/>
    <xf numFmtId="0" fontId="77" fillId="0" borderId="51" applyNumberFormat="0" applyFill="0" applyAlignment="0" applyProtection="0"/>
    <xf numFmtId="0" fontId="9" fillId="0" borderId="0"/>
    <xf numFmtId="0" fontId="77" fillId="0" borderId="51" applyNumberFormat="0" applyFill="0" applyAlignment="0" applyProtection="0"/>
    <xf numFmtId="0" fontId="27" fillId="58" borderId="33" applyNumberFormat="0" applyAlignment="0" applyProtection="0"/>
    <xf numFmtId="0" fontId="65" fillId="58" borderId="45" applyNumberFormat="0" applyAlignment="0" applyProtection="0"/>
    <xf numFmtId="0" fontId="36" fillId="0" borderId="8">
      <alignment horizontal="left" vertical="center"/>
    </xf>
    <xf numFmtId="10" fontId="11" fillId="31" borderId="1" applyNumberFormat="0" applyBorder="0" applyAlignment="0" applyProtection="0"/>
    <xf numFmtId="0" fontId="53" fillId="45" borderId="33" applyNumberFormat="0" applyAlignment="0" applyProtection="0"/>
    <xf numFmtId="0" fontId="5" fillId="61" borderId="44" applyNumberFormat="0" applyFont="0" applyAlignment="0" applyProtection="0"/>
    <xf numFmtId="0" fontId="65" fillId="58" borderId="45" applyNumberFormat="0" applyAlignment="0" applyProtection="0"/>
    <xf numFmtId="0" fontId="77" fillId="0" borderId="51" applyNumberFormat="0" applyFill="0" applyAlignment="0" applyProtection="0"/>
    <xf numFmtId="0" fontId="9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9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9" fillId="4" borderId="0" applyFill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37" fontId="18" fillId="0" borderId="0"/>
    <xf numFmtId="37" fontId="9" fillId="4" borderId="0" applyFill="0"/>
    <xf numFmtId="37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0" borderId="0"/>
    <xf numFmtId="0" fontId="9" fillId="0" borderId="0"/>
    <xf numFmtId="0" fontId="9" fillId="0" borderId="0"/>
    <xf numFmtId="37" fontId="18" fillId="0" borderId="0"/>
    <xf numFmtId="37" fontId="18" fillId="0" borderId="0"/>
    <xf numFmtId="0" fontId="1" fillId="0" borderId="0"/>
    <xf numFmtId="43" fontId="1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80" fillId="0" borderId="0" applyFont="0" applyFill="0" applyBorder="0" applyAlignment="0" applyProtection="0"/>
    <xf numFmtId="0" fontId="27" fillId="58" borderId="52" applyNumberFormat="0" applyAlignment="0" applyProtection="0"/>
    <xf numFmtId="0" fontId="36" fillId="0" borderId="53">
      <alignment horizontal="left" vertical="center"/>
    </xf>
    <xf numFmtId="0" fontId="53" fillId="45" borderId="52" applyNumberFormat="0" applyAlignment="0" applyProtection="0"/>
    <xf numFmtId="0" fontId="5" fillId="61" borderId="54" applyNumberFormat="0" applyFont="0" applyAlignment="0" applyProtection="0"/>
    <xf numFmtId="0" fontId="65" fillId="58" borderId="55" applyNumberFormat="0" applyAlignment="0" applyProtection="0"/>
    <xf numFmtId="0" fontId="77" fillId="0" borderId="56" applyNumberFormat="0" applyFill="0" applyAlignment="0" applyProtection="0"/>
    <xf numFmtId="0" fontId="27" fillId="58" borderId="52" applyNumberFormat="0" applyAlignment="0" applyProtection="0"/>
    <xf numFmtId="0" fontId="36" fillId="0" borderId="53">
      <alignment horizontal="left" vertical="center"/>
    </xf>
    <xf numFmtId="10" fontId="11" fillId="31" borderId="57" applyNumberFormat="0" applyBorder="0" applyAlignment="0" applyProtection="0"/>
    <xf numFmtId="0" fontId="53" fillId="45" borderId="52" applyNumberFormat="0" applyAlignment="0" applyProtection="0"/>
    <xf numFmtId="0" fontId="5" fillId="61" borderId="54" applyNumberFormat="0" applyFont="0" applyAlignment="0" applyProtection="0"/>
    <xf numFmtId="0" fontId="65" fillId="58" borderId="55" applyNumberFormat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27" fillId="58" borderId="52" applyNumberFormat="0" applyAlignment="0" applyProtection="0"/>
    <xf numFmtId="0" fontId="65" fillId="58" borderId="55" applyNumberFormat="0" applyAlignment="0" applyProtection="0"/>
    <xf numFmtId="0" fontId="36" fillId="0" borderId="53">
      <alignment horizontal="left" vertical="center"/>
    </xf>
    <xf numFmtId="10" fontId="11" fillId="31" borderId="57" applyNumberFormat="0" applyBorder="0" applyAlignment="0" applyProtection="0"/>
    <xf numFmtId="0" fontId="53" fillId="45" borderId="52" applyNumberFormat="0" applyAlignment="0" applyProtection="0"/>
    <xf numFmtId="0" fontId="5" fillId="61" borderId="54" applyNumberFormat="0" applyFont="0" applyAlignment="0" applyProtection="0"/>
    <xf numFmtId="0" fontId="65" fillId="58" borderId="55" applyNumberFormat="0" applyAlignment="0" applyProtection="0"/>
    <xf numFmtId="0" fontId="77" fillId="0" borderId="56" applyNumberFormat="0" applyFill="0" applyAlignment="0" applyProtection="0"/>
  </cellStyleXfs>
  <cellXfs count="391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3" fillId="0" borderId="1" xfId="44" quotePrefix="1" applyFont="1" applyBorder="1" applyProtection="1">
      <protection locked="0"/>
    </xf>
    <xf numFmtId="37" fontId="13" fillId="0" borderId="1" xfId="0" quotePrefix="1" applyNumberFormat="1" applyFont="1" applyFill="1" applyBorder="1" applyProtection="1">
      <protection locked="0"/>
    </xf>
    <xf numFmtId="38" fontId="13" fillId="0" borderId="1" xfId="0" applyNumberFormat="1" applyFont="1" applyFill="1" applyBorder="1" applyProtection="1">
      <protection locked="0"/>
    </xf>
    <xf numFmtId="43" fontId="7" fillId="0" borderId="0" xfId="1" quotePrefix="1" applyFont="1" applyProtection="1"/>
    <xf numFmtId="209" fontId="24" fillId="0" borderId="0" xfId="170" applyNumberFormat="1" applyFont="1" applyFill="1" applyBorder="1" applyAlignment="1"/>
    <xf numFmtId="37" fontId="7" fillId="0" borderId="0" xfId="0" applyFont="1" applyAlignment="1">
      <alignment horizontal="left"/>
    </xf>
    <xf numFmtId="38" fontId="7" fillId="0" borderId="0" xfId="0" applyNumberFormat="1" applyFont="1"/>
    <xf numFmtId="37" fontId="7" fillId="0" borderId="0" xfId="0" quotePrefix="1" applyFont="1" applyAlignment="1">
      <alignment horizontal="left"/>
    </xf>
    <xf numFmtId="37" fontId="81" fillId="0" borderId="0" xfId="0" quotePrefix="1" applyFont="1" applyAlignment="1">
      <alignment horizontal="left"/>
    </xf>
    <xf numFmtId="37" fontId="81" fillId="0" borderId="0" xfId="2" applyNumberFormat="1" applyFont="1" applyAlignment="1" applyProtection="1"/>
    <xf numFmtId="37" fontId="15" fillId="0" borderId="0" xfId="2" applyNumberFormat="1" applyAlignment="1" applyProtection="1">
      <alignment horizontal="left"/>
    </xf>
    <xf numFmtId="37" fontId="7" fillId="8" borderId="0" xfId="0" applyFont="1" applyFill="1"/>
    <xf numFmtId="38" fontId="7" fillId="8" borderId="0" xfId="0" applyNumberFormat="1" applyFont="1" applyFill="1"/>
    <xf numFmtId="37" fontId="7" fillId="7" borderId="0" xfId="0" applyFont="1" applyFill="1"/>
    <xf numFmtId="37" fontId="7" fillId="7" borderId="0" xfId="0" quotePrefix="1" applyFont="1" applyFill="1" applyAlignment="1">
      <alignment horizontal="left"/>
    </xf>
    <xf numFmtId="38" fontId="7" fillId="7" borderId="0" xfId="0" applyNumberFormat="1" applyFont="1" applyFill="1"/>
    <xf numFmtId="37" fontId="7" fillId="0" borderId="0" xfId="0" quotePrefix="1" applyFont="1"/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quotePrefix="1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3" borderId="0" xfId="0" applyFont="1" applyFill="1"/>
    <xf numFmtId="38" fontId="7" fillId="3" borderId="0" xfId="0" applyNumberFormat="1" applyFont="1" applyFill="1" applyAlignment="1">
      <alignment horizontal="center"/>
    </xf>
    <xf numFmtId="37" fontId="7" fillId="3" borderId="0" xfId="0" applyFont="1" applyFill="1" applyAlignment="1">
      <alignment horizontal="center"/>
    </xf>
    <xf numFmtId="37" fontId="7" fillId="3" borderId="0" xfId="0" quotePrefix="1" applyFont="1" applyFill="1" applyAlignment="1">
      <alignment horizontal="center"/>
    </xf>
    <xf numFmtId="37" fontId="13" fillId="0" borderId="57" xfId="0" applyFont="1" applyBorder="1" applyProtection="1">
      <protection locked="0"/>
    </xf>
    <xf numFmtId="37" fontId="13" fillId="0" borderId="57" xfId="0" quotePrefix="1" applyFont="1" applyBorder="1" applyProtection="1">
      <protection locked="0"/>
    </xf>
    <xf numFmtId="37" fontId="7" fillId="3" borderId="0" xfId="0" quotePrefix="1" applyFont="1" applyFill="1"/>
    <xf numFmtId="37" fontId="7" fillId="3" borderId="0" xfId="0" quotePrefix="1" applyFont="1" applyFill="1" applyAlignment="1">
      <alignment horizontal="left"/>
    </xf>
    <xf numFmtId="38" fontId="7" fillId="3" borderId="0" xfId="0" applyNumberFormat="1" applyFont="1" applyFill="1"/>
    <xf numFmtId="166" fontId="7" fillId="3" borderId="0" xfId="0" applyNumberFormat="1" applyFont="1" applyFill="1" applyAlignment="1">
      <alignment horizontal="center"/>
    </xf>
    <xf numFmtId="37" fontId="7" fillId="3" borderId="0" xfId="0" quotePrefix="1" applyFont="1" applyFill="1" applyAlignment="1">
      <alignment horizontal="fill"/>
    </xf>
    <xf numFmtId="37" fontId="13" fillId="0" borderId="57" xfId="1" quotePrefix="1" applyNumberFormat="1" applyFont="1" applyBorder="1" applyProtection="1">
      <protection locked="0"/>
    </xf>
    <xf numFmtId="37" fontId="13" fillId="0" borderId="57" xfId="1" applyNumberFormat="1" applyFont="1" applyBorder="1" applyProtection="1">
      <protection locked="0"/>
    </xf>
    <xf numFmtId="39" fontId="7" fillId="3" borderId="0" xfId="0" quotePrefix="1" applyNumberFormat="1" applyFont="1" applyFill="1" applyAlignment="1">
      <alignment horizontal="left"/>
    </xf>
    <xf numFmtId="39" fontId="13" fillId="0" borderId="57" xfId="3" quotePrefix="1" applyNumberFormat="1" applyFont="1" applyBorder="1" applyProtection="1">
      <protection locked="0"/>
    </xf>
    <xf numFmtId="39" fontId="13" fillId="0" borderId="57" xfId="0" quotePrefix="1" applyNumberFormat="1" applyFont="1" applyBorder="1" applyProtection="1">
      <protection locked="0"/>
    </xf>
    <xf numFmtId="39" fontId="13" fillId="0" borderId="57" xfId="0" applyNumberFormat="1" applyFont="1" applyBorder="1" applyProtection="1">
      <protection locked="0"/>
    </xf>
    <xf numFmtId="39" fontId="13" fillId="0" borderId="57" xfId="1" quotePrefix="1" applyNumberFormat="1" applyFont="1" applyBorder="1" applyProtection="1">
      <protection locked="0"/>
    </xf>
    <xf numFmtId="4" fontId="7" fillId="3" borderId="0" xfId="0" applyNumberFormat="1" applyFont="1" applyFill="1"/>
    <xf numFmtId="37" fontId="13" fillId="4" borderId="57" xfId="0" quotePrefix="1" applyFont="1" applyFill="1" applyBorder="1" applyProtection="1">
      <protection locked="0"/>
    </xf>
    <xf numFmtId="165" fontId="13" fillId="0" borderId="57" xfId="1" quotePrefix="1" applyNumberFormat="1" applyFont="1" applyBorder="1" applyProtection="1">
      <protection locked="0"/>
    </xf>
    <xf numFmtId="39" fontId="7" fillId="3" borderId="0" xfId="0" quotePrefix="1" applyNumberFormat="1" applyFont="1" applyFill="1" applyAlignment="1">
      <alignment horizontal="fill"/>
    </xf>
    <xf numFmtId="39" fontId="7" fillId="3" borderId="0" xfId="0" applyNumberFormat="1" applyFont="1" applyFill="1"/>
    <xf numFmtId="37" fontId="7" fillId="3" borderId="0" xfId="0" applyFont="1" applyFill="1" applyAlignment="1">
      <alignment horizontal="centerContinuous"/>
    </xf>
    <xf numFmtId="37" fontId="7" fillId="3" borderId="0" xfId="0" applyFont="1" applyFill="1" applyAlignment="1">
      <alignment horizontal="right"/>
    </xf>
    <xf numFmtId="49" fontId="13" fillId="4" borderId="57" xfId="0" quotePrefix="1" applyNumberFormat="1" applyFont="1" applyFill="1" applyBorder="1" applyProtection="1">
      <protection locked="0"/>
    </xf>
    <xf numFmtId="37" fontId="14" fillId="3" borderId="0" xfId="0" applyFont="1" applyFill="1"/>
    <xf numFmtId="38" fontId="13" fillId="4" borderId="57" xfId="0" quotePrefix="1" applyNumberFormat="1" applyFont="1" applyFill="1" applyBorder="1" applyProtection="1">
      <protection locked="0"/>
    </xf>
    <xf numFmtId="38" fontId="13" fillId="4" borderId="53" xfId="0" applyNumberFormat="1" applyFont="1" applyFill="1" applyBorder="1" applyProtection="1">
      <protection locked="0"/>
    </xf>
    <xf numFmtId="38" fontId="13" fillId="4" borderId="57" xfId="0" quotePrefix="1" applyNumberFormat="1" applyFont="1" applyFill="1" applyBorder="1" applyAlignment="1" applyProtection="1">
      <alignment horizontal="left"/>
      <protection locked="0"/>
    </xf>
    <xf numFmtId="49" fontId="13" fillId="4" borderId="57" xfId="0" applyNumberFormat="1" applyFont="1" applyFill="1" applyBorder="1" applyAlignment="1" applyProtection="1">
      <alignment horizontal="left"/>
      <protection locked="0"/>
    </xf>
    <xf numFmtId="37" fontId="13" fillId="3" borderId="0" xfId="0" applyFont="1" applyFill="1" applyAlignment="1">
      <alignment horizontal="centerContinuous"/>
    </xf>
    <xf numFmtId="38" fontId="13" fillId="4" borderId="57" xfId="0" applyNumberFormat="1" applyFont="1" applyFill="1" applyBorder="1" applyProtection="1">
      <protection locked="0"/>
    </xf>
    <xf numFmtId="38" fontId="13" fillId="4" borderId="57" xfId="0" applyNumberFormat="1" applyFont="1" applyFill="1" applyBorder="1" applyAlignment="1" applyProtection="1">
      <alignment horizontal="center"/>
      <protection locked="0"/>
    </xf>
    <xf numFmtId="38" fontId="7" fillId="3" borderId="0" xfId="0" applyNumberFormat="1" applyFont="1" applyFill="1" applyAlignment="1">
      <alignment horizontal="right"/>
    </xf>
    <xf numFmtId="37" fontId="7" fillId="3" borderId="0" xfId="0" quotePrefix="1" applyFont="1" applyFill="1" applyAlignment="1">
      <alignment horizontal="centerContinuous"/>
    </xf>
    <xf numFmtId="37" fontId="13" fillId="4" borderId="57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7" fillId="3" borderId="0" xfId="0" applyFont="1" applyFill="1" applyAlignment="1">
      <alignment horizontal="left"/>
    </xf>
    <xf numFmtId="38" fontId="13" fillId="3" borderId="53" xfId="0" applyNumberFormat="1" applyFont="1" applyFill="1" applyBorder="1" applyAlignment="1" applyProtection="1">
      <alignment horizontal="center"/>
      <protection locked="0"/>
    </xf>
    <xf numFmtId="39" fontId="7" fillId="0" borderId="0" xfId="0" applyNumberFormat="1" applyFont="1"/>
    <xf numFmtId="3" fontId="7" fillId="0" borderId="0" xfId="0" applyNumberFormat="1" applyFont="1"/>
    <xf numFmtId="37" fontId="7" fillId="0" borderId="0" xfId="0" quotePrefix="1" applyFont="1" applyAlignment="1">
      <alignment horizontal="fill"/>
    </xf>
    <xf numFmtId="1" fontId="7" fillId="0" borderId="0" xfId="0" applyNumberFormat="1" applyFont="1" applyAlignment="1">
      <alignment horizontal="center"/>
    </xf>
    <xf numFmtId="37" fontId="7" fillId="0" borderId="0" xfId="0" quotePrefix="1" applyFont="1" applyAlignment="1">
      <alignment horizontal="center"/>
    </xf>
    <xf numFmtId="2" fontId="7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37" fontId="13" fillId="0" borderId="0" xfId="0" applyFont="1"/>
    <xf numFmtId="164" fontId="7" fillId="0" borderId="0" xfId="0" applyNumberFormat="1" applyFont="1" applyAlignment="1">
      <alignment horizontal="left"/>
    </xf>
    <xf numFmtId="37" fontId="7" fillId="2" borderId="0" xfId="0" applyFont="1" applyFill="1" applyAlignment="1">
      <alignment horizontal="centerContinuous"/>
    </xf>
    <xf numFmtId="37" fontId="7" fillId="2" borderId="0" xfId="0" applyFont="1" applyFill="1" applyAlignment="1">
      <alignment horizontal="right"/>
    </xf>
    <xf numFmtId="37" fontId="7" fillId="2" borderId="0" xfId="0" applyFont="1" applyFill="1" applyAlignment="1">
      <alignment horizontal="center"/>
    </xf>
    <xf numFmtId="37" fontId="7" fillId="2" borderId="0" xfId="0" applyFont="1" applyFill="1" applyAlignment="1">
      <alignment horizontal="left"/>
    </xf>
    <xf numFmtId="37" fontId="7" fillId="0" borderId="0" xfId="0" applyFont="1" applyAlignment="1">
      <alignment horizontal="right"/>
    </xf>
    <xf numFmtId="37" fontId="7" fillId="2" borderId="0" xfId="0" applyFont="1" applyFill="1"/>
    <xf numFmtId="4" fontId="7" fillId="2" borderId="0" xfId="0" applyNumberFormat="1" applyFont="1" applyFill="1" applyAlignment="1">
      <alignment horizontal="right"/>
    </xf>
    <xf numFmtId="39" fontId="7" fillId="2" borderId="0" xfId="0" applyNumberFormat="1" applyFont="1" applyFill="1" applyAlignment="1">
      <alignment horizontal="right"/>
    </xf>
    <xf numFmtId="37" fontId="7" fillId="0" borderId="0" xfId="0" quotePrefix="1" applyFont="1" applyAlignment="1">
      <alignment horizontal="right"/>
    </xf>
    <xf numFmtId="2" fontId="7" fillId="0" borderId="0" xfId="0" applyNumberFormat="1" applyFont="1" applyAlignment="1">
      <alignment horizontal="right"/>
    </xf>
    <xf numFmtId="37" fontId="13" fillId="8" borderId="1" xfId="1" quotePrefix="1" applyNumberFormat="1" applyFont="1" applyFill="1" applyBorder="1" applyProtection="1">
      <protection locked="0"/>
    </xf>
    <xf numFmtId="37" fontId="13" fillId="0" borderId="1" xfId="1" quotePrefix="1" applyNumberFormat="1" applyFont="1" applyFill="1" applyBorder="1" applyProtection="1">
      <protection locked="0"/>
    </xf>
    <xf numFmtId="37" fontId="13" fillId="62" borderId="1" xfId="0" quotePrefix="1" applyNumberFormat="1" applyFont="1" applyFill="1" applyBorder="1" applyProtection="1">
      <protection locked="0"/>
    </xf>
    <xf numFmtId="38" fontId="13" fillId="8" borderId="1" xfId="0" applyNumberFormat="1" applyFont="1" applyFill="1" applyBorder="1" applyProtection="1">
      <protection locked="0"/>
    </xf>
    <xf numFmtId="37" fontId="8" fillId="8" borderId="2" xfId="0" quotePrefix="1" applyNumberFormat="1" applyFont="1" applyFill="1" applyBorder="1" applyAlignment="1" applyProtection="1"/>
    <xf numFmtId="165" fontId="7" fillId="0" borderId="0" xfId="1" applyNumberFormat="1" applyFont="1" applyProtection="1"/>
    <xf numFmtId="37" fontId="83" fillId="0" borderId="0" xfId="0" applyFont="1" applyAlignment="1" applyProtection="1">
      <alignment horizontal="center" vertical="center" wrapText="1"/>
    </xf>
    <xf numFmtId="37" fontId="13" fillId="8" borderId="1" xfId="0" quotePrefix="1" applyNumberFormat="1" applyFont="1" applyFill="1" applyBorder="1" applyProtection="1">
      <protection locked="0"/>
    </xf>
    <xf numFmtId="43" fontId="7" fillId="0" borderId="0" xfId="1" applyFont="1" applyProtection="1"/>
    <xf numFmtId="38" fontId="13" fillId="63" borderId="1" xfId="0" applyNumberFormat="1" applyFont="1" applyFill="1" applyBorder="1" applyProtection="1">
      <protection locked="0"/>
    </xf>
    <xf numFmtId="37" fontId="13" fillId="63" borderId="1" xfId="0" applyFont="1" applyFill="1" applyBorder="1" applyProtection="1">
      <protection locked="0"/>
    </xf>
    <xf numFmtId="37" fontId="13" fillId="63" borderId="57" xfId="0" applyFont="1" applyFill="1" applyBorder="1" applyProtection="1">
      <protection locked="0"/>
    </xf>
    <xf numFmtId="43" fontId="7" fillId="3" borderId="0" xfId="1" applyFont="1" applyFill="1" applyProtection="1"/>
    <xf numFmtId="43" fontId="7" fillId="0" borderId="0" xfId="1" quotePrefix="1" applyFont="1" applyFill="1" applyProtection="1"/>
    <xf numFmtId="43" fontId="7" fillId="0" borderId="0" xfId="1" applyFont="1" applyFill="1"/>
    <xf numFmtId="43" fontId="7" fillId="0" borderId="0" xfId="1" applyFont="1" applyFill="1" applyProtection="1"/>
    <xf numFmtId="37" fontId="7" fillId="0" borderId="12" xfId="0" applyFont="1" applyBorder="1" applyAlignment="1" applyProtection="1">
      <alignment horizontal="center" vertical="center"/>
    </xf>
    <xf numFmtId="37" fontId="7" fillId="0" borderId="0" xfId="0" quotePrefix="1" applyFont="1" applyAlignment="1" applyProtection="1">
      <alignment horizontal="center" vertical="center"/>
    </xf>
    <xf numFmtId="165" fontId="7" fillId="0" borderId="0" xfId="1" applyNumberFormat="1" applyFont="1" applyAlignment="1" applyProtection="1">
      <alignment horizontal="center" vertical="center"/>
    </xf>
    <xf numFmtId="37" fontId="83" fillId="0" borderId="0" xfId="0" applyFont="1" applyProtection="1"/>
    <xf numFmtId="37" fontId="83" fillId="8" borderId="0" xfId="0" applyFont="1" applyFill="1" applyAlignment="1" applyProtection="1">
      <alignment horizontal="center"/>
    </xf>
    <xf numFmtId="37" fontId="13" fillId="3" borderId="0" xfId="0" applyFont="1" applyFill="1" applyAlignment="1" applyProtection="1">
      <alignment horizontal="center" vertical="center"/>
    </xf>
    <xf numFmtId="37" fontId="13" fillId="3" borderId="0" xfId="0" applyFont="1" applyFill="1" applyAlignment="1">
      <alignment horizontal="center" vertical="center"/>
    </xf>
  </cellXfs>
  <cellStyles count="460">
    <cellStyle name="20% - Accent1 2" xfId="46" xr:uid="{D3194698-C208-44FC-9876-6F5A9B4D7502}"/>
    <cellStyle name="20% - Accent1 2 2" xfId="353" xr:uid="{FA230512-59E4-4BA5-AE47-190793C3A7B0}"/>
    <cellStyle name="20% - Accent2 2" xfId="47" xr:uid="{56DE42AF-747D-490E-82AD-7BFE6948793A}"/>
    <cellStyle name="20% - Accent2 2 2" xfId="354" xr:uid="{1EE5F01B-5734-4D57-95DA-C9B0C59D4F1D}"/>
    <cellStyle name="20% - Accent3 2" xfId="48" xr:uid="{55ED5D49-A461-4D85-8996-4B38566F6097}"/>
    <cellStyle name="20% - Accent3 2 2" xfId="355" xr:uid="{67BA1434-A6C6-4BDA-B3A6-76E2B37DD56B}"/>
    <cellStyle name="20% - Accent4 2" xfId="49" xr:uid="{F060AB93-6978-4800-88A2-8A5D90FC7B99}"/>
    <cellStyle name="20% - Accent4 2 2" xfId="356" xr:uid="{0D7D69CD-F94F-4738-86FB-7B53A03EF118}"/>
    <cellStyle name="20% - Accent5 2" xfId="50" xr:uid="{771C552E-FD66-4F7E-9CF0-5C153B11AFA4}"/>
    <cellStyle name="20% - Accent5 2 2" xfId="357" xr:uid="{A3B8F79B-F2AC-455E-9DDF-E4E06C8B1866}"/>
    <cellStyle name="20% - Accent6 2" xfId="51" xr:uid="{D4C9DC92-6058-4A7F-A91A-1AA2201F504C}"/>
    <cellStyle name="20% - Accent6 2 2" xfId="358" xr:uid="{8D2C6A7F-603C-4BE2-83FC-7A21E1DC6667}"/>
    <cellStyle name="40% - Accent1 2" xfId="52" xr:uid="{14CC9255-EECE-4CA3-B803-FB0909BA7A16}"/>
    <cellStyle name="40% - Accent1 2 2" xfId="359" xr:uid="{09038D9E-94CA-4F49-89C6-F0E58B36EE15}"/>
    <cellStyle name="40% - Accent2 2" xfId="53" xr:uid="{F21FBA0D-B91C-4582-AAF1-2DDF756EB9DD}"/>
    <cellStyle name="40% - Accent2 2 2" xfId="360" xr:uid="{5A81975C-C47D-41EB-B07A-BC1B32F556BD}"/>
    <cellStyle name="40% - Accent3 2" xfId="54" xr:uid="{EAA01B41-18A0-445D-9DDC-60BE925A4B6E}"/>
    <cellStyle name="40% - Accent3 2 2" xfId="361" xr:uid="{D61EE387-3C78-4A8F-AD50-26C53329C990}"/>
    <cellStyle name="40% - Accent4 2" xfId="55" xr:uid="{F6082EF0-49EC-422B-B60B-BD4DBC2CB1E3}"/>
    <cellStyle name="40% - Accent4 2 2" xfId="362" xr:uid="{3FBE9EE5-2589-4704-9F71-06B20D622C57}"/>
    <cellStyle name="40% - Accent5 2" xfId="56" xr:uid="{BC085511-23C6-4D07-B1B4-4346A34491FE}"/>
    <cellStyle name="40% - Accent5 2 2" xfId="363" xr:uid="{71126826-0EEF-4864-807D-6847EDF6B78E}"/>
    <cellStyle name="40% - Accent6 2" xfId="57" xr:uid="{FB2EECEE-6A17-4DBD-AD53-67E4C47FA623}"/>
    <cellStyle name="40% - Accent6 2 2" xfId="364" xr:uid="{7926587D-5690-4A1F-B9FD-3CE27267E74B}"/>
    <cellStyle name="60% - Accent1 2" xfId="58" xr:uid="{6976DEF6-F2F8-45FF-8ECD-D841178DAF1B}"/>
    <cellStyle name="60% - Accent1 2 2" xfId="365" xr:uid="{67893762-0CA4-4A93-93BB-C77970150011}"/>
    <cellStyle name="60% - Accent2 2" xfId="59" xr:uid="{4E7E5732-1F0F-4295-B71E-C23CE5BD5608}"/>
    <cellStyle name="60% - Accent2 2 2" xfId="366" xr:uid="{69EAF977-BF3E-4F29-B306-A272C6BD545F}"/>
    <cellStyle name="60% - Accent3 2" xfId="60" xr:uid="{2C6B5CFD-4E2D-422F-983E-F79B8D6DBC8B}"/>
    <cellStyle name="60% - Accent3 2 2" xfId="367" xr:uid="{30725B4A-5CD6-404E-9AC9-D4B1F8E174D3}"/>
    <cellStyle name="60% - Accent4 2" xfId="61" xr:uid="{DD4AABCF-E460-4A4F-8A50-E00D1CE210F2}"/>
    <cellStyle name="60% - Accent4 2 2" xfId="368" xr:uid="{2F073B00-7B24-44F4-B95A-FC949EEAEDB6}"/>
    <cellStyle name="60% - Accent5 2" xfId="62" xr:uid="{FD619C30-43F6-420C-B262-CD888E682180}"/>
    <cellStyle name="60% - Accent5 2 2" xfId="369" xr:uid="{036C0DBC-3260-4426-85C3-BEF9D90F031B}"/>
    <cellStyle name="60% - Accent6 2" xfId="63" xr:uid="{44DC2F62-E8AA-4000-9BD5-A68233C1C680}"/>
    <cellStyle name="60% - Accent6 2 2" xfId="370" xr:uid="{5CDB53E4-0F85-415D-8BAB-C878787CE4D8}"/>
    <cellStyle name="7/9/46" xfId="64" xr:uid="{9CFEF3BD-7D1D-4624-ABEB-271CE7690C15}"/>
    <cellStyle name="Accent1 2" xfId="65" xr:uid="{C5744901-0C31-4983-AFD8-015EFA35D0E4}"/>
    <cellStyle name="Accent1 2 2" xfId="371" xr:uid="{7B40BC99-FD01-4B5A-924B-5D1654BB38D5}"/>
    <cellStyle name="Accent2 2" xfId="66" xr:uid="{6717C482-B9D9-4B31-BF7D-63FF909C173B}"/>
    <cellStyle name="Accent2 2 2" xfId="372" xr:uid="{B20E2F6A-AF31-4C37-9A7D-C847DCE5DF03}"/>
    <cellStyle name="Accent3 2" xfId="67" xr:uid="{25AFA3C6-C9D2-47D8-A0C6-F61A62FF588A}"/>
    <cellStyle name="Accent3 2 2" xfId="373" xr:uid="{C1F278B5-6B7A-431C-8C0A-D78DA57D5670}"/>
    <cellStyle name="Accent4 2" xfId="68" xr:uid="{C242A65F-8998-4B2A-A476-F3DC3DA1BBC3}"/>
    <cellStyle name="Accent4 2 2" xfId="374" xr:uid="{5ACFD806-99E3-442E-8272-88B633BDE61E}"/>
    <cellStyle name="Accent5 2" xfId="69" xr:uid="{24B752C3-B664-45ED-B902-92FD12E653E0}"/>
    <cellStyle name="Accent5 2 2" xfId="375" xr:uid="{B9C7780E-AABC-456E-AF6A-4253BEA22B01}"/>
    <cellStyle name="Accent6 2" xfId="70" xr:uid="{CA78D9B3-B023-423F-A19A-EE47B15CE67D}"/>
    <cellStyle name="Accent6 2 2" xfId="376" xr:uid="{012857D8-597E-4587-9C9A-34A06BF40FC7}"/>
    <cellStyle name="Accounting" xfId="71" xr:uid="{D887C4B7-1C5A-4470-9C90-A14FCB8CD8B2}"/>
    <cellStyle name="Alt Row Shade" xfId="72" xr:uid="{8483051F-88F0-4682-9F58-9E0107908009}"/>
    <cellStyle name="Assumption" xfId="73" xr:uid="{827C0F36-D691-4C88-95BA-BAEAE60BBAC2}"/>
    <cellStyle name="Avant Garde" xfId="74" xr:uid="{3D128FCE-DB5A-41E7-958C-40CA48A68591}"/>
    <cellStyle name="Bad 2" xfId="75" xr:uid="{C7EA5128-20BA-42CC-B8C5-F0D3E6571C35}"/>
    <cellStyle name="Bad 2 2" xfId="377" xr:uid="{15A7D0F7-FFAC-403F-ADBD-DEBD7389D6D2}"/>
    <cellStyle name="Calculation 2" xfId="76" xr:uid="{2311B911-6417-404C-9026-E906448B7AE2}"/>
    <cellStyle name="Calculation 2 2" xfId="378" xr:uid="{C5DE2FE8-6A91-4729-8046-30CB6B7E410F}"/>
    <cellStyle name="Calculation 2 2 2" xfId="438" xr:uid="{A6C57B70-0D74-4762-A300-320856010692}"/>
    <cellStyle name="Calculation 2 3" xfId="390" xr:uid="{1B0ACC22-F1A4-4523-A35D-8ADEFBB680E7}"/>
    <cellStyle name="Calculation 2 3 2" xfId="444" xr:uid="{1751F496-355E-4782-B6F2-36726F9BF8F6}"/>
    <cellStyle name="Calculation 2 4" xfId="399" xr:uid="{77BC68CD-C889-4C69-B764-80436F1D0964}"/>
    <cellStyle name="Calculation 2 4 2" xfId="452" xr:uid="{187DD5F8-ADA9-4AA7-8AA0-8D9FE3FB6240}"/>
    <cellStyle name="Centered Heading" xfId="77" xr:uid="{19ED16E0-0B9D-4D20-9E5C-ABD2BE749625}"/>
    <cellStyle name="Check Cell 2" xfId="78" xr:uid="{F6DD5C10-AB0D-45D6-B54F-564DE186D63F}"/>
    <cellStyle name="Check Cell 2 2" xfId="379" xr:uid="{ECD25A00-F3A9-414B-AA63-DBEF0A4AED77}"/>
    <cellStyle name="Comma" xfId="1" builtinId="3"/>
    <cellStyle name="Comma (.00)" xfId="80" xr:uid="{A3CFEC2A-1241-4853-8796-DA821E222A63}"/>
    <cellStyle name="Comma (.00) 2" xfId="435" xr:uid="{E7E8E267-6173-4084-892F-D2DB32E8305B}"/>
    <cellStyle name="Comma 0.0" xfId="81" xr:uid="{DAB2C3BF-D8E4-420D-8CF2-2A5CC41C7C8F}"/>
    <cellStyle name="Comma 0.00" xfId="82" xr:uid="{37A49F93-C46C-4EA0-9522-C1889A007FEC}"/>
    <cellStyle name="Comma 0.000" xfId="83" xr:uid="{AB252EE9-7FDB-4754-96BC-D8EF1E5AAB8C}"/>
    <cellStyle name="Comma 0.0000" xfId="84" xr:uid="{9C2936A0-40A4-4D9B-9DFC-366E721E0567}"/>
    <cellStyle name="Comma 10" xfId="79" xr:uid="{6CC2E5A5-9CB0-4BE2-B7B9-22EDFEEDCA6A}"/>
    <cellStyle name="Comma 10 10" xfId="9" xr:uid="{00000000-0005-0000-0000-000001000000}"/>
    <cellStyle name="Comma 11" xfId="434" xr:uid="{60EA1959-6C79-40CC-81EA-4B91455EFF5C}"/>
    <cellStyle name="Comma 2" xfId="14" xr:uid="{00000000-0005-0000-0000-000002000000}"/>
    <cellStyle name="Comma 2 2" xfId="85" xr:uid="{96A21908-8A73-4F64-901D-1197F19A3456}"/>
    <cellStyle name="Comma 2 3" xfId="86" xr:uid="{F362B08F-537C-47F0-B323-702F3294E7F2}"/>
    <cellStyle name="Comma 2 4" xfId="87" xr:uid="{501798AA-6EE6-4FB7-B930-AF4BD4446FE6}"/>
    <cellStyle name="Comma 2 5" xfId="88" xr:uid="{3E140A56-B699-41D3-9C3C-7E6C237C9C7A}"/>
    <cellStyle name="Comma 2 6" xfId="89" xr:uid="{16591263-ECF4-4D10-BE3C-3B3B71884A8F}"/>
    <cellStyle name="Comma 2 7" xfId="90" xr:uid="{7B9EA5E4-5131-495E-A34C-D69BEF4E4C41}"/>
    <cellStyle name="Comma 3" xfId="91" xr:uid="{337AB26C-2B0C-4CD7-8E9D-E36566321EC6}"/>
    <cellStyle name="Comma 4" xfId="92" xr:uid="{EA5A563E-F0E5-4F68-91A6-57C0E50D2A1F}"/>
    <cellStyle name="Comma 5" xfId="93" xr:uid="{EC1D5CAE-860F-43A7-ADB1-CD331B6333EF}"/>
    <cellStyle name="Comma 5 2" xfId="94" xr:uid="{01312F9B-3ECD-4284-99FE-18C9305D0FD7}"/>
    <cellStyle name="Comma 5 3" xfId="436" xr:uid="{B1C2E61C-0822-4DE2-9D3C-D46F879C3F7A}"/>
    <cellStyle name="Comma 6" xfId="95" xr:uid="{34A00521-9336-4A49-A4B9-CFDE7EFD0233}"/>
    <cellStyle name="Comma 7" xfId="388" xr:uid="{20D2BBAF-7AAE-43E1-AAA7-497E081D447A}"/>
    <cellStyle name="Comma 8" xfId="96" xr:uid="{CC2BDF7C-E4DD-4089-B147-97D02197ABBD}"/>
    <cellStyle name="Comma 8 2" xfId="97" xr:uid="{126068B1-999A-417F-9D10-DEAEF90B2C51}"/>
    <cellStyle name="Comma 8 2 2" xfId="98" xr:uid="{85BD262E-65C7-4036-B2FD-ABA96D8E7A6F}"/>
    <cellStyle name="Comma 8 3" xfId="99" xr:uid="{85C7B5F6-DC59-4294-84FD-1E8C8E07EC19}"/>
    <cellStyle name="Comma 9" xfId="408" xr:uid="{CCC0BF23-5B09-4A7A-A842-2C5DB7408512}"/>
    <cellStyle name="Comma 96" xfId="40" xr:uid="{00000000-0005-0000-0000-000003000000}"/>
    <cellStyle name="Comma 97" xfId="41" xr:uid="{00000000-0005-0000-0000-000004000000}"/>
    <cellStyle name="Comment" xfId="100" xr:uid="{158F35DE-A493-4BBC-81DC-1A847B8F51EB}"/>
    <cellStyle name="Comment 2" xfId="101" xr:uid="{FFA858C4-581F-4BCF-ACEE-0DB8AB65FCEA}"/>
    <cellStyle name="Comment 3" xfId="102" xr:uid="{5024F717-1225-4CEC-BF38-A93B13F0E8DC}"/>
    <cellStyle name="Comment_DEPT" xfId="103" xr:uid="{05304A94-86B9-4311-9C08-795FF32EA46B}"/>
    <cellStyle name="Company Name" xfId="104" xr:uid="{40A6CD68-AF36-40C1-A457-20E9F39DBE9C}"/>
    <cellStyle name="Currency (.00)" xfId="105" xr:uid="{C1893B50-55C6-453D-9445-4B42AA72D9F8}"/>
    <cellStyle name="Currency (.00) 2" xfId="437" xr:uid="{EF468DB3-E382-444B-9CE7-AD8838B54635}"/>
    <cellStyle name="Currency 0.0" xfId="106" xr:uid="{324589BF-58F7-4868-8F90-AC6622E10019}"/>
    <cellStyle name="Currency 0.00" xfId="107" xr:uid="{F35A5548-BDCB-4769-B7AF-0ED1EF1B2846}"/>
    <cellStyle name="Currency 0.000" xfId="108" xr:uid="{C4CF1E30-099E-4AEE-9D92-EC623C5E6AF6}"/>
    <cellStyle name="Currency 0.0000" xfId="109" xr:uid="{BA262CE7-4557-4393-B06A-57CADFBCF2C7}"/>
    <cellStyle name="Currency 2" xfId="110" xr:uid="{395775D8-C605-4815-A508-FA021B1E7C02}"/>
    <cellStyle name="Currency 2 2" xfId="111" xr:uid="{5A78B59C-380A-4D9F-91ED-C8ED69C42E87}"/>
    <cellStyle name="Currency 3" xfId="112" xr:uid="{62790551-6BB5-48D5-98A4-1AF1D5BF1FF0}"/>
    <cellStyle name="Currency 4" xfId="113" xr:uid="{F4E451F9-1568-4FBE-B617-849F0B76F3F6}"/>
    <cellStyle name="Currency 5" xfId="114" xr:uid="{22ED2092-A4AB-48AF-AEE7-6BF64CD14052}"/>
    <cellStyle name="Currency 7" xfId="115" xr:uid="{158ECDC8-1108-4921-9E6C-875CDB3637DA}"/>
    <cellStyle name="Date" xfId="116" xr:uid="{90E63507-ED1F-4CD1-9095-E163F4971D83}"/>
    <cellStyle name="Dbl-Click" xfId="117" xr:uid="{CB304141-5B5C-4C40-A978-C5782ACBF13D}"/>
    <cellStyle name="Double Line Subtitle" xfId="118" xr:uid="{9EAA226D-AEA9-4F14-A83D-885C4C8F9AE6}"/>
    <cellStyle name="Double Line Title" xfId="119" xr:uid="{1D822E9F-7140-482E-B7E8-BC8357DB0CF9}"/>
    <cellStyle name="Drop Down" xfId="120" xr:uid="{CABF5BFE-173E-47BA-BCB4-3AE4E4F079DA}"/>
    <cellStyle name="Explanatory Text 2" xfId="121" xr:uid="{EE6CA4FA-AA55-4481-BBE4-E87E5AFA74D4}"/>
    <cellStyle name="F2" xfId="122" xr:uid="{B9CFAD0E-50A7-460B-A492-67D88F625AC1}"/>
    <cellStyle name="F3" xfId="123" xr:uid="{5F158775-29AE-4BB6-9325-FDC8F277352B}"/>
    <cellStyle name="F4" xfId="124" xr:uid="{B6B91CFD-5D45-4FA9-8A32-F5C350D83DC6}"/>
    <cellStyle name="F5" xfId="125" xr:uid="{9EED3047-4C83-4383-8C7B-DB0E1B71EB23}"/>
    <cellStyle name="F6" xfId="126" xr:uid="{86EA7E85-D790-494E-8E99-E759043ADAE4}"/>
    <cellStyle name="F7" xfId="127" xr:uid="{ECD937F1-558A-41C2-B6EC-7C97F03FD397}"/>
    <cellStyle name="F8" xfId="128" xr:uid="{F9E843CD-3726-4FBA-B6F6-CCF1BEB37FFB}"/>
    <cellStyle name="Fixed" xfId="129" xr:uid="{86895B60-B292-478A-8AA0-8DB669AE4F98}"/>
    <cellStyle name="Flag" xfId="130" xr:uid="{9C8CC1FA-1243-47D2-9D9E-B0AB1E4ACCE3}"/>
    <cellStyle name="General" xfId="131" xr:uid="{957C6DE6-CAF1-47E1-81BB-F2C8221B602B}"/>
    <cellStyle name="Good 2" xfId="132" xr:uid="{D241B702-EC3D-42A2-AD95-5AED35A7DE69}"/>
    <cellStyle name="Good 2 2" xfId="380" xr:uid="{C802B24C-1B1D-4E51-96C6-C0E28594B2A3}"/>
    <cellStyle name="Grey" xfId="133" xr:uid="{826E1B68-C537-4525-BCE8-0EB5008D9EF0}"/>
    <cellStyle name="Header1" xfId="134" xr:uid="{6E91B759-AC56-497A-97A2-3ABC9ED3E1B0}"/>
    <cellStyle name="Header2" xfId="135" xr:uid="{0CBB0E29-89BC-42A4-AD9D-A5DD4D27BFC5}"/>
    <cellStyle name="Header2 2" xfId="381" xr:uid="{E4CC878B-1CFC-49DE-B0AA-FD41A07CBDA1}"/>
    <cellStyle name="Header2 2 2" xfId="439" xr:uid="{016ACA1A-4DE1-48BB-B93E-1FDE494AA107}"/>
    <cellStyle name="Header2 3" xfId="391" xr:uid="{157A9D56-B8BA-4CA6-9C65-ED40F6119821}"/>
    <cellStyle name="Header2 3 2" xfId="445" xr:uid="{99625543-EA94-4141-9627-D42AEACEFE59}"/>
    <cellStyle name="Header2 4" xfId="401" xr:uid="{BEB04F54-8418-4C80-8C88-70FC62925480}"/>
    <cellStyle name="Header2 4 2" xfId="454" xr:uid="{A31C3357-8282-44FB-A848-7460B05A8754}"/>
    <cellStyle name="HEADING" xfId="136" xr:uid="{74057976-B8CB-4841-B90E-F94B033FBAB4}"/>
    <cellStyle name="Heading 1 2" xfId="137" xr:uid="{A0D4124E-F0EC-4C7D-8F8A-A5FAF1E13F80}"/>
    <cellStyle name="Heading 2 2" xfId="138" xr:uid="{D468C990-E965-482D-9803-20A4AB77030F}"/>
    <cellStyle name="Heading 3 2" xfId="139" xr:uid="{78ED2998-F673-496B-B38E-ABEC086D0702}"/>
    <cellStyle name="Heading 4 2" xfId="140" xr:uid="{4280AFD6-81AE-4234-B75E-8567961678ED}"/>
    <cellStyle name="Heading No Underline" xfId="141" xr:uid="{4C311B35-8F03-4910-B225-9550C8D8CF87}"/>
    <cellStyle name="Heading With Underline" xfId="142" xr:uid="{DC173879-D60A-4A22-8B33-54241959AB0A}"/>
    <cellStyle name="Heading1" xfId="143" xr:uid="{41DB967D-B249-4C09-8498-BE8E67A9CED6}"/>
    <cellStyle name="Heading2" xfId="144" xr:uid="{89C64406-98B2-43D3-BF3F-8A165A8AEE47}"/>
    <cellStyle name="Hyperlink" xfId="2" builtinId="8"/>
    <cellStyle name="Hyperlink 2" xfId="382" xr:uid="{A97A1B1D-6485-4488-87D8-FE16A3C45D7C}"/>
    <cellStyle name="Hyperlink 3" xfId="409" xr:uid="{A8E0DCDE-D01E-465D-9933-26317FACA239}"/>
    <cellStyle name="Input #" xfId="145" xr:uid="{AE7B1CE8-8A79-46F8-8ECA-E945E36B1E4D}"/>
    <cellStyle name="Input [yellow]" xfId="146" xr:uid="{717104F0-F518-4FEF-8034-F8AD1E6980B7}"/>
    <cellStyle name="Input [yellow] 2" xfId="392" xr:uid="{36F9E866-8706-42A5-A1A0-452EE7E42DC2}"/>
    <cellStyle name="Input [yellow] 2 2" xfId="446" xr:uid="{3FE7BDAB-5DD1-4010-9646-D191CDE17E9C}"/>
    <cellStyle name="Input [yellow] 3" xfId="402" xr:uid="{6548D00E-2175-4A9F-9AD8-23CDA9A93DBF}"/>
    <cellStyle name="Input [yellow] 3 2" xfId="455" xr:uid="{FE627C29-BB2F-4172-9E7C-7567B4496609}"/>
    <cellStyle name="Input 2" xfId="147" xr:uid="{9983784D-6587-4702-AAAD-73C252FF77F4}"/>
    <cellStyle name="Input 2 2" xfId="383" xr:uid="{D71B36D5-C853-4314-97B4-D3678B7E80AF}"/>
    <cellStyle name="Input 2 2 2" xfId="440" xr:uid="{610AE323-7F8F-468B-8C4E-68FDBCD6F288}"/>
    <cellStyle name="Input 2 3" xfId="393" xr:uid="{4B760E28-6709-4EAA-A68C-9D460873D660}"/>
    <cellStyle name="Input 2 3 2" xfId="447" xr:uid="{CB75DD9A-D27C-4AAB-8FB3-041D8189F148}"/>
    <cellStyle name="Input 2 4" xfId="403" xr:uid="{EFB3861C-4514-435A-9769-3F015A3DD829}"/>
    <cellStyle name="Input 2 4 2" xfId="456" xr:uid="{14BE8353-1555-49D5-9CEC-3E7D042D8C4E}"/>
    <cellStyle name="Input Comment" xfId="148" xr:uid="{F9BFD63C-8DDA-4EAF-93B2-06D08F27C47D}"/>
    <cellStyle name="Input Pct" xfId="149" xr:uid="{FCB7E8E6-EDDA-4671-B5A3-8647ACCF9F81}"/>
    <cellStyle name="Interface" xfId="150" xr:uid="{D144A9A4-5074-4340-9C11-934B9CBDAB63}"/>
    <cellStyle name="July 9, 1946" xfId="151" xr:uid="{C1113D0C-181D-48F4-BBCF-D72252CE72F3}"/>
    <cellStyle name="Linked Cell 2" xfId="152" xr:uid="{EFCB5483-10B1-43C5-95EE-0F1498202249}"/>
    <cellStyle name="Neutral 2" xfId="153" xr:uid="{20A2C57D-65F1-48B1-A1E9-3125CA0B42C4}"/>
    <cellStyle name="Neutral 2 2" xfId="384" xr:uid="{559C322B-CAF4-4F6E-83FB-1D746BF0400F}"/>
    <cellStyle name="no dec" xfId="154" xr:uid="{21DF6D64-5D71-4579-BEDE-D4FCFF655416}"/>
    <cellStyle name="Normal" xfId="0" builtinId="0"/>
    <cellStyle name="Normal - Style1" xfId="155" xr:uid="{5958332D-992F-4FFF-BB1E-EFCCE7016996}"/>
    <cellStyle name="Normal - Style2" xfId="156" xr:uid="{E114F02C-26DA-465A-9772-38BC78C2B111}"/>
    <cellStyle name="Normal - Style3" xfId="157" xr:uid="{3DB82D46-519E-4238-B8C3-FAD939C5B7CD}"/>
    <cellStyle name="Normal - Style4" xfId="158" xr:uid="{2488F450-64AD-4F4D-94BF-8C717D8C6FCC}"/>
    <cellStyle name="Normal - Style5" xfId="159" xr:uid="{DCF88187-5C18-40E5-A1DE-3B6B6E55B797}"/>
    <cellStyle name="Normal 10" xfId="160" xr:uid="{F060DA30-4CF4-4DD9-8091-96787DFF3043}"/>
    <cellStyle name="Normal 10 2 3" xfId="34" xr:uid="{00000000-0005-0000-0000-000007000000}"/>
    <cellStyle name="Normal 10 3" xfId="42" xr:uid="{00000000-0005-0000-0000-000008000000}"/>
    <cellStyle name="Normal 101" xfId="33" xr:uid="{00000000-0005-0000-0000-000009000000}"/>
    <cellStyle name="Normal 11" xfId="4" xr:uid="{00000000-0005-0000-0000-00000A000000}"/>
    <cellStyle name="Normal 11 2" xfId="161" xr:uid="{E0354B33-9703-4E07-8AC7-741ACF1C1769}"/>
    <cellStyle name="Normal 12" xfId="162" xr:uid="{513379EF-2CDC-4A86-AD3F-6E6CF17ECCB8}"/>
    <cellStyle name="Normal 13" xfId="163" xr:uid="{E8743876-F567-465A-A515-94044EBEF744}"/>
    <cellStyle name="Normal 14" xfId="164" xr:uid="{C45D6463-611D-469C-A3FD-0D5CADDE5571}"/>
    <cellStyle name="Normal 143" xfId="35" xr:uid="{00000000-0005-0000-0000-00000B000000}"/>
    <cellStyle name="Normal 144" xfId="36" xr:uid="{00000000-0005-0000-0000-00000C000000}"/>
    <cellStyle name="Normal 145" xfId="37" xr:uid="{00000000-0005-0000-0000-00000D000000}"/>
    <cellStyle name="Normal 146" xfId="38" xr:uid="{00000000-0005-0000-0000-00000E000000}"/>
    <cellStyle name="Normal 147" xfId="39" xr:uid="{00000000-0005-0000-0000-00000F000000}"/>
    <cellStyle name="Normal 15" xfId="165" xr:uid="{CD3D239B-B7AB-4CA9-B914-078EE5C97251}"/>
    <cellStyle name="Normal 16" xfId="166" xr:uid="{444F4F0F-5C91-4EFC-A2E9-F54295FB28C1}"/>
    <cellStyle name="Normal 17" xfId="167" xr:uid="{6BA5D05C-427D-4014-975D-E9B0933F07E3}"/>
    <cellStyle name="Normal 18" xfId="168" xr:uid="{E88D9C5F-6FDB-4E04-95BF-578B16F60981}"/>
    <cellStyle name="Normal 19" xfId="169" xr:uid="{EF247171-F5AD-4AC2-B111-7338092C873A}"/>
    <cellStyle name="Normal 2" xfId="170" xr:uid="{DF8D17F1-8A65-48CE-946D-6F9F669D3D6E}"/>
    <cellStyle name="Normal 2 10" xfId="171" xr:uid="{A4541F29-7F30-4F5F-8161-4AC4851D9C5A}"/>
    <cellStyle name="Normal 2 11" xfId="172" xr:uid="{D3BB894E-9A52-4E24-AA91-CC526B3A0628}"/>
    <cellStyle name="Normal 2 12" xfId="173" xr:uid="{0995FA3D-65D9-4DFA-925E-E3BF0036A2FE}"/>
    <cellStyle name="Normal 2 13" xfId="174" xr:uid="{42817DED-5974-4ED4-B98D-AF1332FD3196}"/>
    <cellStyle name="Normal 2 14" xfId="412" xr:uid="{CD27218B-CB4A-4ED9-95A9-DD341E8F9C2E}"/>
    <cellStyle name="Normal 2 2" xfId="175" xr:uid="{0C032944-3E23-42E1-8BE1-4F1792E8EAAB}"/>
    <cellStyle name="Normal 2 2 10" xfId="176" xr:uid="{76ADA6F7-BD3E-4FB1-BD13-146AAB33F7C3}"/>
    <cellStyle name="Normal 2 2 11" xfId="416" xr:uid="{9CFD3D71-E1F0-4EE6-B77E-1D8E72B7D535}"/>
    <cellStyle name="Normal 2 2 2" xfId="177" xr:uid="{5280B714-BF14-4E96-8161-DA24DA4EE999}"/>
    <cellStyle name="Normal 2 2 2 2" xfId="178" xr:uid="{35655959-4E66-47B6-A397-4E3903E7FBD4}"/>
    <cellStyle name="Normal 2 2 2 3" xfId="179" xr:uid="{C363997E-D75E-4DE9-B481-5E2070E3B0E6}"/>
    <cellStyle name="Normal 2 2 2 4" xfId="180" xr:uid="{735E51CB-5A84-4D3B-ADFC-D44F3F5DF09C}"/>
    <cellStyle name="Normal 2 2 2 5" xfId="181" xr:uid="{37B2B0DB-EF47-492C-8D62-FCA0281BF903}"/>
    <cellStyle name="Normal 2 2 2_global" xfId="182" xr:uid="{2E37CC5F-842B-43D2-A899-CBE7CA115FEF}"/>
    <cellStyle name="Normal 2 2 3" xfId="183" xr:uid="{F0793D3C-DD6D-412B-BE73-79F78EDE4CBA}"/>
    <cellStyle name="Normal 2 2 4" xfId="184" xr:uid="{D78F91BF-D6A1-4505-BAE5-FC131D9A456D}"/>
    <cellStyle name="Normal 2 2 5" xfId="185" xr:uid="{2062EE50-9F13-43F6-9D73-111F06E1B1E8}"/>
    <cellStyle name="Normal 2 2 6" xfId="186" xr:uid="{CA8F5271-3367-4042-9CB4-E0482FEDB195}"/>
    <cellStyle name="Normal 2 2 7" xfId="187" xr:uid="{47D2B8A2-A2B7-4C88-A798-8BDE2836C3E1}"/>
    <cellStyle name="Normal 2 2 8" xfId="188" xr:uid="{CCADC4D3-AF11-49ED-864D-22428DAF8622}"/>
    <cellStyle name="Normal 2 2 9" xfId="189" xr:uid="{5F372A73-3F4E-4F22-91B4-E5E8DA8699AB}"/>
    <cellStyle name="Normal 2 2_Balance Sheet INW" xfId="423" xr:uid="{65852862-21C9-4CC7-B2FC-234F2EB53FE4}"/>
    <cellStyle name="Normal 2 3" xfId="190" xr:uid="{90ADFDF0-05DB-4C30-A6E3-1A4BC8E2FCEB}"/>
    <cellStyle name="Normal 2 3 2" xfId="191" xr:uid="{3A75C021-1F70-4B83-BC4D-A0E167FE661E}"/>
    <cellStyle name="Normal 2 3 3" xfId="413" xr:uid="{6F29917E-09FC-4D7C-ABDF-90FC807D00B6}"/>
    <cellStyle name="Normal 2 3_Balance Sheet INW" xfId="424" xr:uid="{46BB7607-66BA-4B79-94D4-526F1C77DCAE}"/>
    <cellStyle name="Normal 2 4" xfId="192" xr:uid="{C511FB94-17A5-48C0-8E57-EEB6C9D33DD6}"/>
    <cellStyle name="Normal 2 4 2" xfId="193" xr:uid="{54C51F6B-A3F3-4C43-9C7A-320834B64546}"/>
    <cellStyle name="Normal 2 4 2 2" xfId="194" xr:uid="{5FD9BBCA-16BD-4217-ADFE-813527FE7F3E}"/>
    <cellStyle name="Normal 2 4_global" xfId="195" xr:uid="{F703E791-7866-4F60-8155-369BF729AF66}"/>
    <cellStyle name="Normal 2 5" xfId="196" xr:uid="{42A96F8E-42E6-4A19-8089-C458D7CB48B5}"/>
    <cellStyle name="Normal 2 5 2" xfId="197" xr:uid="{FB30195C-06A7-45F4-B72D-487B3AF8A0C1}"/>
    <cellStyle name="Normal 2 5_global" xfId="198" xr:uid="{A6ED4219-02D8-422E-9813-F7B68F6D837B}"/>
    <cellStyle name="Normal 2 6" xfId="199" xr:uid="{59E42599-3F13-4BB8-8404-3D91358DA5B2}"/>
    <cellStyle name="Normal 2 6 2" xfId="200" xr:uid="{946FD353-606E-4F74-AB0B-5B89B553502F}"/>
    <cellStyle name="Normal 2 6_global" xfId="201" xr:uid="{CB661215-E9E4-4154-92A6-88A71C6020B6}"/>
    <cellStyle name="Normal 2 7" xfId="202" xr:uid="{E58B9B0A-4083-4201-BBEE-75E165678C8F}"/>
    <cellStyle name="Normal 2 7 2" xfId="203" xr:uid="{CCAA7BC3-3D53-485B-A785-FAB88DAEF198}"/>
    <cellStyle name="Normal 2 7_global" xfId="204" xr:uid="{8BCB8DFF-0590-4ADF-B0F2-01D3CD3272D7}"/>
    <cellStyle name="Normal 2 8" xfId="205" xr:uid="{6F724F15-C87D-4444-8CC0-3F45D7EAC43F}"/>
    <cellStyle name="Normal 2 8 2" xfId="206" xr:uid="{6E35C5B4-C1B6-417E-9024-41F93AE8E513}"/>
    <cellStyle name="Normal 2 8_global" xfId="207" xr:uid="{533B6C71-7289-4025-B3B0-BC3D19B757C4}"/>
    <cellStyle name="Normal 2 9" xfId="208" xr:uid="{A3C4534D-D8F3-4962-AB82-0352AF992816}"/>
    <cellStyle name="Normal 2_BA Medicare CMI Final Breakdown Revised (3)" xfId="209" xr:uid="{4D848806-C629-4716-9C5B-EFB741ADAD7E}"/>
    <cellStyle name="Normal 20" xfId="210" xr:uid="{B1F6208C-64FB-475A-AFB5-D284D1296FBA}"/>
    <cellStyle name="Normal 21" xfId="211" xr:uid="{E22F18B7-E11C-48D1-9A97-1109380C8215}"/>
    <cellStyle name="Normal 22" xfId="212" xr:uid="{F5AE7536-D87B-4EC9-9DED-AEF62D5789A9}"/>
    <cellStyle name="Normal 23" xfId="213" xr:uid="{6F5FBBE9-ED68-47AE-9DE3-B3BA2489D78B}"/>
    <cellStyle name="Normal 24" xfId="214" xr:uid="{079F7C83-3B89-4802-9549-074E69599665}"/>
    <cellStyle name="Normal 25" xfId="215" xr:uid="{9AAF0002-BA82-4C59-A16C-3F0A0EB4B98D}"/>
    <cellStyle name="Normal 26" xfId="216" xr:uid="{D266E0E7-0A81-4F00-9583-B84776F67487}"/>
    <cellStyle name="Normal 27" xfId="217" xr:uid="{E6076D09-3BCE-40D4-AAA4-BE01BA64897C}"/>
    <cellStyle name="Normal 27 2" xfId="422" xr:uid="{D7582B58-0C70-40F5-AB07-7273825404ED}"/>
    <cellStyle name="Normal 27_Balance Sheet Puget Sound" xfId="432" xr:uid="{FEF9F0BF-81AA-4632-9762-0BEBD624C830}"/>
    <cellStyle name="Normal 28" xfId="218" xr:uid="{8E234DB7-882B-44A0-96CC-F54E8A6BFD31}"/>
    <cellStyle name="Normal 29" xfId="219" xr:uid="{039C7E5D-A3D5-491E-962D-BEAFAA6EF1FE}"/>
    <cellStyle name="Normal 3" xfId="43" xr:uid="{00000000-0005-0000-0000-000010000000}"/>
    <cellStyle name="Normal 3 2" xfId="221" xr:uid="{8981E649-E034-4AC6-ABD6-B71021B9DF05}"/>
    <cellStyle name="Normal 3 2 2" xfId="222" xr:uid="{0AD42AE8-DF77-4598-9E7D-8528EFCF5147}"/>
    <cellStyle name="Normal 3 3" xfId="223" xr:uid="{7EF0F2ED-4C87-4FF7-8578-BDD284B9CF80}"/>
    <cellStyle name="Normal 3 3 2" xfId="224" xr:uid="{CCF70A9B-DD24-43B0-9A5C-5D71307660A8}"/>
    <cellStyle name="Normal 3 4" xfId="225" xr:uid="{88D50DBE-6547-4BC2-A5CF-86CD91E6AD36}"/>
    <cellStyle name="Normal 3 5" xfId="417" xr:uid="{7B387A56-A037-48DC-898B-480E9C073000}"/>
    <cellStyle name="Normal 3 6" xfId="220" xr:uid="{787130A6-B116-450E-AE94-215C2E2E2C93}"/>
    <cellStyle name="Normal 3_Balance Sheet INW" xfId="425" xr:uid="{E6959812-B064-41C7-83EF-A724BF035790}"/>
    <cellStyle name="Normal 30" xfId="226" xr:uid="{DCC73578-AFF2-449F-9BF6-05B778798726}"/>
    <cellStyle name="Normal 31" xfId="227" xr:uid="{A7957F05-64B1-4310-8F42-99CA818B845C}"/>
    <cellStyle name="Normal 32" xfId="228" xr:uid="{10D1AAB4-6173-4E4F-8E3A-98F501B1E032}"/>
    <cellStyle name="Normal 33" xfId="229" xr:uid="{4F064D26-E27D-490C-BD24-1BC9464A28CE}"/>
    <cellStyle name="Normal 34" xfId="230" xr:uid="{B6B80E6E-7C75-44DA-83CB-6F49F17A14AA}"/>
    <cellStyle name="Normal 35" xfId="231" xr:uid="{A3E9AFC4-5D93-4447-98F1-2418D38553B5}"/>
    <cellStyle name="Normal 36" xfId="232" xr:uid="{73E8BEC0-B2FF-4EA8-ACC4-A175C8D7FD00}"/>
    <cellStyle name="Normal 37" xfId="233" xr:uid="{CBCE634E-85B3-4DCC-B9A2-D13AB966660B}"/>
    <cellStyle name="Normal 38" xfId="234" xr:uid="{0E85D649-8CAF-4DB4-A711-22021F1D04D4}"/>
    <cellStyle name="Normal 39" xfId="235" xr:uid="{1947D5B9-177B-433B-B812-72F5FFC6C7BA}"/>
    <cellStyle name="Normal 4" xfId="236" xr:uid="{FF5D9E9F-F688-40C4-BF1E-03D410AE208B}"/>
    <cellStyle name="Normal 4 2" xfId="418" xr:uid="{1A17BE36-0BE4-4347-A251-CE9E2F87165C}"/>
    <cellStyle name="Normal 4_Balance Sheet INW" xfId="426" xr:uid="{D265BAC5-B69B-419E-9526-9A958B42DFB9}"/>
    <cellStyle name="Normal 40" xfId="237" xr:uid="{FB16DC53-0985-4BFB-8618-3794A1850BD0}"/>
    <cellStyle name="Normal 41" xfId="238" xr:uid="{95FC7F73-CFBE-4246-878F-37F6EB489479}"/>
    <cellStyle name="Normal 42" xfId="239" xr:uid="{800C220C-F804-4102-B335-FB7783DA025F}"/>
    <cellStyle name="Normal 43" xfId="240" xr:uid="{F0ACCB1F-FD78-4B56-B2E1-FD397AA4A9D7}"/>
    <cellStyle name="Normal 44" xfId="241" xr:uid="{B9C180CC-2328-4414-AF1D-5A5B1437A9D2}"/>
    <cellStyle name="Normal 45" xfId="242" xr:uid="{28461C26-820A-4791-A61E-0115A24DC634}"/>
    <cellStyle name="Normal 46" xfId="243" xr:uid="{A363F690-3D5F-4125-8E34-4549C434DC63}"/>
    <cellStyle name="Normal 47" xfId="244" xr:uid="{5E96C0DA-05F8-4116-9AB1-8FDF78AD29E4}"/>
    <cellStyle name="Normal 48" xfId="352" xr:uid="{FE3BCA1A-FA80-47D0-91D2-B030A92A6A3E}"/>
    <cellStyle name="Normal 49" xfId="389" xr:uid="{CBF3509B-AB41-4CE7-82CA-803C24EBBD4C}"/>
    <cellStyle name="Normal 5" xfId="245" xr:uid="{102F4CBF-159B-4302-B062-B75B9E7C83A9}"/>
    <cellStyle name="Normal 5 2" xfId="246" xr:uid="{22344AB2-069C-4F79-A6D1-124EDA6F6D71}"/>
    <cellStyle name="Normal 5 2 2" xfId="247" xr:uid="{62C97595-FDAE-43CA-A5B0-0C3E8F568E75}"/>
    <cellStyle name="Normal 5 2 3" xfId="419" xr:uid="{0358B3A5-03E7-4CEA-8C68-18B758EC1D6C}"/>
    <cellStyle name="Normal 5 2_Balance Sheet INW" xfId="427" xr:uid="{0D5AEDE3-5BC6-40E3-8701-5C2758EE555A}"/>
    <cellStyle name="Normal 5 3" xfId="248" xr:uid="{7B7FB4D2-5612-41C5-AE07-4B0349F5627E}"/>
    <cellStyle name="Normal 5_Global_CDM Config" xfId="249" xr:uid="{27583F5E-9EB7-4549-BF71-07C4477F4575}"/>
    <cellStyle name="Normal 50" xfId="397" xr:uid="{DE3479E4-ED9D-4B95-B7E5-1F58ED9DE61D}"/>
    <cellStyle name="Normal 51" xfId="407" xr:uid="{C3FAE07F-B89D-4A97-A776-D11F0ABAC629}"/>
    <cellStyle name="Normal 52" xfId="44" xr:uid="{D4A525BC-B2A3-4918-ABA7-6367918058EA}"/>
    <cellStyle name="Normal 53" xfId="45" xr:uid="{ADCEC1B9-F8CA-4CAF-A580-4DDA174BC1BB}"/>
    <cellStyle name="Normal 54" xfId="433" xr:uid="{22C9F2DE-6E4A-487B-9A9F-BAA8A59E52C3}"/>
    <cellStyle name="Normal 557" xfId="6" xr:uid="{00000000-0005-0000-0000-000011000000}"/>
    <cellStyle name="Normal 561" xfId="7" xr:uid="{00000000-0005-0000-0000-000012000000}"/>
    <cellStyle name="Normal 568" xfId="8" xr:uid="{00000000-0005-0000-0000-000013000000}"/>
    <cellStyle name="Normal 576" xfId="10" xr:uid="{00000000-0005-0000-0000-000014000000}"/>
    <cellStyle name="Normal 6" xfId="250" xr:uid="{721D3CA6-7459-403A-8C60-C0B12F07430F}"/>
    <cellStyle name="Normal 6 2" xfId="251" xr:uid="{552DA739-651B-45B6-8B53-7BFA55951BDF}"/>
    <cellStyle name="Normal 6 2 2" xfId="252" xr:uid="{9D788D2E-080F-47A1-A863-54C489C58BD2}"/>
    <cellStyle name="Normal 6 3" xfId="253" xr:uid="{D805E1E1-8FB7-4057-983F-303A319462BA}"/>
    <cellStyle name="Normal 6 3 2" xfId="254" xr:uid="{318DA71C-B2B7-47D1-BE55-D4C1EDA217E3}"/>
    <cellStyle name="Normal 6 4" xfId="411" xr:uid="{A8B29DBD-E03B-49B5-A4DE-F6A7D0BEB209}"/>
    <cellStyle name="Normal 6_Balance Sheet INW" xfId="428" xr:uid="{8925942D-802A-428C-96AF-B62F37180187}"/>
    <cellStyle name="Normal 69" xfId="11" xr:uid="{00000000-0005-0000-0000-000016000000}"/>
    <cellStyle name="Normal 7" xfId="255" xr:uid="{2CA890E5-DCAF-4BBA-985D-F4E8DA0DB8BD}"/>
    <cellStyle name="Normal 7 2" xfId="256" xr:uid="{F94507CA-4C6C-4683-B8CA-0030EAA52BFE}"/>
    <cellStyle name="Normal 7 3" xfId="415" xr:uid="{CC175190-78DA-42A4-A261-2E915507EF90}"/>
    <cellStyle name="Normal 7_Balance Sheet INW" xfId="429" xr:uid="{C112FD6B-8510-4249-A027-8D7DB3EB6D7A}"/>
    <cellStyle name="Normal 70" xfId="12" xr:uid="{00000000-0005-0000-0000-000017000000}"/>
    <cellStyle name="Normal 71" xfId="13" xr:uid="{00000000-0005-0000-0000-000018000000}"/>
    <cellStyle name="Normal 72" xfId="16" xr:uid="{00000000-0005-0000-0000-000019000000}"/>
    <cellStyle name="Normal 73" xfId="17" xr:uid="{00000000-0005-0000-0000-00001A000000}"/>
    <cellStyle name="Normal 74" xfId="18" xr:uid="{00000000-0005-0000-0000-00001B000000}"/>
    <cellStyle name="Normal 75" xfId="15" xr:uid="{00000000-0005-0000-0000-00001C000000}"/>
    <cellStyle name="Normal 76" xfId="19" xr:uid="{00000000-0005-0000-0000-00001D000000}"/>
    <cellStyle name="Normal 77" xfId="20" xr:uid="{00000000-0005-0000-0000-00001E000000}"/>
    <cellStyle name="Normal 78" xfId="21" xr:uid="{00000000-0005-0000-0000-00001F000000}"/>
    <cellStyle name="Normal 79" xfId="22" xr:uid="{00000000-0005-0000-0000-000020000000}"/>
    <cellStyle name="Normal 8" xfId="257" xr:uid="{EB4A70DF-51B1-426C-91E1-25DA842BCC8D}"/>
    <cellStyle name="Normal 8 2" xfId="258" xr:uid="{D4C9A8A8-AE53-431B-9FB8-A33904B28F79}"/>
    <cellStyle name="Normal 8 2 2" xfId="259" xr:uid="{4A104084-10A7-46C2-B24B-C2484110B84C}"/>
    <cellStyle name="Normal 8 2_global" xfId="260" xr:uid="{67AC4A7C-A56F-4426-9806-68F3D820CB6F}"/>
    <cellStyle name="Normal 8 3" xfId="261" xr:uid="{40145930-8935-4E63-AC6C-2165816CE487}"/>
    <cellStyle name="Normal 8 4" xfId="420" xr:uid="{44680C7F-829F-4E31-B8FD-20D42E85589F}"/>
    <cellStyle name="Normal 8_Balance Sheet INW" xfId="430" xr:uid="{396944F5-F161-4D2B-84BA-FEA270FAA6BB}"/>
    <cellStyle name="Normal 80" xfId="23" xr:uid="{00000000-0005-0000-0000-000021000000}"/>
    <cellStyle name="Normal 82" xfId="24" xr:uid="{00000000-0005-0000-0000-000022000000}"/>
    <cellStyle name="Normal 84" xfId="25" xr:uid="{00000000-0005-0000-0000-000023000000}"/>
    <cellStyle name="Normal 85" xfId="26" xr:uid="{00000000-0005-0000-0000-000024000000}"/>
    <cellStyle name="Normal 87" xfId="27" xr:uid="{00000000-0005-0000-0000-000025000000}"/>
    <cellStyle name="Normal 88" xfId="28" xr:uid="{00000000-0005-0000-0000-000026000000}"/>
    <cellStyle name="Normal 89" xfId="29" xr:uid="{00000000-0005-0000-0000-000027000000}"/>
    <cellStyle name="Normal 9" xfId="262" xr:uid="{CA926F0C-D70E-4C34-B269-B4CF15E9A571}"/>
    <cellStyle name="Normal 9 2" xfId="421" xr:uid="{222930E6-D634-4DBA-B1CD-16E68AA657F9}"/>
    <cellStyle name="Normal 9 3" xfId="414" xr:uid="{5F331364-9E52-4DFD-B1BB-1B000C2B2A98}"/>
    <cellStyle name="Normal 9_Balance Sheet INW" xfId="431" xr:uid="{01552965-C15D-406C-86BB-0BF224527C4C}"/>
    <cellStyle name="Normal 90" xfId="30" xr:uid="{00000000-0005-0000-0000-000028000000}"/>
    <cellStyle name="Normal 92" xfId="32" xr:uid="{00000000-0005-0000-0000-000029000000}"/>
    <cellStyle name="Normal 94" xfId="31" xr:uid="{00000000-0005-0000-0000-00002A000000}"/>
    <cellStyle name="Note 2" xfId="263" xr:uid="{5D597F9E-D4EA-45A0-9A5D-4FCBE56FE5C9}"/>
    <cellStyle name="Note 2 2" xfId="385" xr:uid="{DB46A434-8FC1-4433-B9F8-6FD777D95A05}"/>
    <cellStyle name="Note 2 2 2" xfId="441" xr:uid="{DF459A6A-E8A5-4766-A6D1-6FC9190CA83C}"/>
    <cellStyle name="Note 2 3" xfId="394" xr:uid="{76376F3D-60A5-4010-9AFB-60763F406401}"/>
    <cellStyle name="Note 2 3 2" xfId="448" xr:uid="{C33B4BEF-AC74-4EB8-B7D4-2E3C67072BCC}"/>
    <cellStyle name="Note 2 4" xfId="404" xr:uid="{B30F87A0-81B3-4664-B0BE-697C3C22AEF0}"/>
    <cellStyle name="Note 2 4 2" xfId="457" xr:uid="{6C900A9B-774F-4471-BE72-45B0B31721D6}"/>
    <cellStyle name="Number Cell" xfId="264" xr:uid="{8BE2A00A-55D4-452E-AFE7-CF929A2FE02A}"/>
    <cellStyle name="Output 2" xfId="265" xr:uid="{75790BE4-1274-4B30-BA37-BE4445A6A4AA}"/>
    <cellStyle name="Output 2 2" xfId="386" xr:uid="{F7128855-BC47-4568-98F0-DD3470B87E57}"/>
    <cellStyle name="Output 2 2 2" xfId="442" xr:uid="{796C68CF-6788-4F8D-9A03-DB08C41C2718}"/>
    <cellStyle name="Output 2 3" xfId="395" xr:uid="{83D10A8B-2209-44D8-8747-1F08F59C07AA}"/>
    <cellStyle name="Output 2 3 2" xfId="449" xr:uid="{37844752-D304-43FB-B3E4-51EF68755D37}"/>
    <cellStyle name="Output 2 4" xfId="405" xr:uid="{DD9C97D2-2C3F-4556-80B6-99F1D1284A15}"/>
    <cellStyle name="Output 2 4 2" xfId="458" xr:uid="{626FD1EA-1E4F-4310-B512-2B4DC7AE189A}"/>
    <cellStyle name="Output 2 5" xfId="400" xr:uid="{410D30A2-F104-4A4D-A0F5-37560BA551DE}"/>
    <cellStyle name="Output 2 5 2" xfId="453" xr:uid="{19D4DBA5-A85A-4C2C-9A38-C77AEEB52776}"/>
    <cellStyle name="Output Amounts" xfId="266" xr:uid="{B2D09EC4-902F-4823-BE92-02A62B3279F2}"/>
    <cellStyle name="Percent" xfId="3" builtinId="5"/>
    <cellStyle name="Percent %" xfId="267" xr:uid="{61CD9F97-B1DF-4E80-8BD1-5F2DE761AAB2}"/>
    <cellStyle name="Percent % Long Underline" xfId="268" xr:uid="{A03E1E73-ADD1-4DE7-BF41-677BFEB54921}"/>
    <cellStyle name="Percent %_Worksheet in C: JOANNA Terry Cote Caritas Christi rptpkg2.doc 10" xfId="269" xr:uid="{A50D6A7F-C42B-44E9-B229-D40DD21E0796}"/>
    <cellStyle name="Percent [2]" xfId="270" xr:uid="{AE50B417-6A61-4FE7-AE8C-5E4A83646AE8}"/>
    <cellStyle name="Percent 0.0%" xfId="271" xr:uid="{1EBA1639-92A3-4888-99FC-60E9EEF1795F}"/>
    <cellStyle name="Percent 0.0% Long Underline" xfId="272" xr:uid="{3121EEC2-5A5B-47CC-8B93-AEDDFE1D0F95}"/>
    <cellStyle name="Percent 0.0%_Worksheet in C: JOANNA Terry Cote Caritas Christi rptpkg2.doc 10" xfId="273" xr:uid="{D8784AF8-55FA-4B48-A6EE-1AEF9D75403C}"/>
    <cellStyle name="Percent 0.00%" xfId="274" xr:uid="{00D27C93-AE27-4FEC-83ED-F33C83C882DE}"/>
    <cellStyle name="Percent 0.00% Long Underline" xfId="275" xr:uid="{8771072F-61F3-4E17-B476-2F706F5CCBB9}"/>
    <cellStyle name="Percent 0.00%_Worksheet in C: JOANNA Terry Cote Caritas Christi rptpkg2.doc 10" xfId="276" xr:uid="{C2E27967-AB6F-47C1-9D54-730911F2BAF6}"/>
    <cellStyle name="Percent 0.000%" xfId="277" xr:uid="{C2D6E711-35FD-46A7-9C40-1E0FFA6475D0}"/>
    <cellStyle name="Percent 0.000% Long Underline" xfId="278" xr:uid="{FC2AFA1F-7B42-4AA6-A216-F77F1C0C6554}"/>
    <cellStyle name="Percent 0.000%_Worksheet in C: JOANNA Terry Cote Caritas Christi rptpkg2.doc 10" xfId="279" xr:uid="{9DC9D368-D2BA-4A95-9EB1-4B1C8C54E9AA}"/>
    <cellStyle name="Percent 0.0000%" xfId="280" xr:uid="{68C898AE-9387-4D28-A1D9-489D143E22C6}"/>
    <cellStyle name="Percent 0.0000% Long Underline" xfId="281" xr:uid="{D97AFBAF-2C17-42A7-961C-F7FB40311CBD}"/>
    <cellStyle name="Percent 0.0000%_Worksheet in C: JOANNA Terry Cote Caritas Christi rptpkg2" xfId="282" xr:uid="{E8D08C6E-BA7F-4051-9C4B-5E9390B8CC00}"/>
    <cellStyle name="Percent 2" xfId="283" xr:uid="{9C84C32C-0F37-4BF3-A605-CD50B1A51ADA}"/>
    <cellStyle name="Percent 2 2" xfId="284" xr:uid="{58D46F86-C37C-49C6-BEA5-EFBFC44EF966}"/>
    <cellStyle name="Percent 3" xfId="285" xr:uid="{D74AC814-3275-462D-B873-000FA3BB540C}"/>
    <cellStyle name="Percent 4" xfId="286" xr:uid="{5927866B-573C-4687-B7E8-B52A2F2691C4}"/>
    <cellStyle name="Percent 460" xfId="5" xr:uid="{00000000-0005-0000-0000-00002C000000}"/>
    <cellStyle name="Percent 5" xfId="287" xr:uid="{9509D5F7-7B9E-4708-A240-13F161D495C3}"/>
    <cellStyle name="Percent 6" xfId="410" xr:uid="{9BB78F27-01C2-45F5-B9A3-AD1197524405}"/>
    <cellStyle name="Percent Cell" xfId="288" xr:uid="{F09BE6D1-5F10-4264-B726-F222F5753383}"/>
    <cellStyle name="Place Cursor Here" xfId="289" xr:uid="{BAC2FEF2-5442-4811-92A6-6B6CB076BF9E}"/>
    <cellStyle name="Print" xfId="290" xr:uid="{B3EF3F56-B827-465F-B08E-09D8ED0A3ECD}"/>
    <cellStyle name="PRM" xfId="291" xr:uid="{4052447E-9EAC-4365-81B7-193B82CF42A5}"/>
    <cellStyle name="PRM 2" xfId="292" xr:uid="{FAE36A18-7DD3-4A0B-ABE4-CB362450DCE1}"/>
    <cellStyle name="PRM 3" xfId="293" xr:uid="{F0CF8EA2-BA32-4AA9-9630-52621F861C00}"/>
    <cellStyle name="PRM_DEPT" xfId="294" xr:uid="{7A3403E2-97C9-41D4-B63B-15DEAD0B4DC7}"/>
    <cellStyle name="PSChar" xfId="295" xr:uid="{C5B64829-A545-43D6-A89C-26CDBE8414BB}"/>
    <cellStyle name="PSChar 2" xfId="296" xr:uid="{D461E9BE-97CD-45E3-A2E8-0066B49B9E72}"/>
    <cellStyle name="PSChar 3" xfId="297" xr:uid="{EC433C00-335D-4B72-BF62-CBA4D5BFD4D8}"/>
    <cellStyle name="PSDate" xfId="298" xr:uid="{FFC74974-E61A-4CF1-91A9-9C3927F83377}"/>
    <cellStyle name="PSDate 2" xfId="299" xr:uid="{C24B80B5-DDD6-43EF-AC65-4A7A36BAB8AC}"/>
    <cellStyle name="PSDate 3" xfId="300" xr:uid="{8EF8BBCB-E282-4FC3-8CC5-3BF0F10B7360}"/>
    <cellStyle name="PSDec" xfId="301" xr:uid="{5CC29E8F-E391-4402-B9BE-4DA7587CBB2C}"/>
    <cellStyle name="PSDec 2" xfId="302" xr:uid="{F3ABAF1E-F8F0-4AB2-93C8-D85399399369}"/>
    <cellStyle name="PSDec 3" xfId="303" xr:uid="{1F000295-33F9-47B9-9CCE-495DA6EC4660}"/>
    <cellStyle name="PSHeading" xfId="304" xr:uid="{1164F081-D37F-4422-B501-EB765D0DF4B1}"/>
    <cellStyle name="PSHeading 2" xfId="305" xr:uid="{63B7DC8E-4C49-47CD-8502-8DFFD5ADBB07}"/>
    <cellStyle name="PSHeading 3" xfId="306" xr:uid="{FFEC01C4-6F78-4B75-A9F1-C79311BFB5C7}"/>
    <cellStyle name="PSHeading_ACCT" xfId="307" xr:uid="{62FE5A26-F53F-44B6-9E60-BBC40E8F16D3}"/>
    <cellStyle name="PSInt" xfId="308" xr:uid="{6FE6C30A-9201-46AD-A777-BFC4CFAE8DB6}"/>
    <cellStyle name="PSInt 2" xfId="309" xr:uid="{B173DCAD-DE7D-49BB-AC67-EFA873FB3C0D}"/>
    <cellStyle name="PSInt 3" xfId="310" xr:uid="{31BDEA30-D4F5-40C2-A9BD-CA7EF6D30A10}"/>
    <cellStyle name="PSSpacer" xfId="311" xr:uid="{F3D4C7F1-EDFA-402A-8D6E-BE00665AFC05}"/>
    <cellStyle name="PSSpacer 2" xfId="312" xr:uid="{DBB67C5E-E2D2-471A-B235-C81DCEBEBCA9}"/>
    <cellStyle name="PSSpacer 3" xfId="313" xr:uid="{A37A9DD7-921F-4F72-AEE0-9EEFD0DB9B81}"/>
    <cellStyle name="Red Flag" xfId="314" xr:uid="{42306DBF-B8AC-4ABB-B067-AEC49DA4372B}"/>
    <cellStyle name="Row Height" xfId="315" xr:uid="{12CEEBB5-8532-477C-A550-E3FED3BE4020}"/>
    <cellStyle name="Save" xfId="316" xr:uid="{0E51043D-8356-473C-BA86-AACC369FE353}"/>
    <cellStyle name="Section Header" xfId="317" xr:uid="{668E66A4-F0CA-4569-A722-18623A36775D}"/>
    <cellStyle name="Section Total Label" xfId="318" xr:uid="{107FA327-7F2A-4A5E-A0A2-E35C5891E937}"/>
    <cellStyle name="Section Total Pct" xfId="319" xr:uid="{F991CFA8-CEB5-429F-8611-971DD9862698}"/>
    <cellStyle name="Section Total#" xfId="320" xr:uid="{BA489B3D-E58B-4643-95CC-17C78BD2893D}"/>
    <cellStyle name="Single Line Title" xfId="321" xr:uid="{1EB23798-5BD6-4DF5-BF39-9D1DA7AEAB8C}"/>
    <cellStyle name="Sub-Section Header" xfId="322" xr:uid="{72BFEDE9-6C84-4A0D-8EA3-679D9AD6BC9D}"/>
    <cellStyle name="Sub-Section Total" xfId="323" xr:uid="{72B48EFD-5B42-441A-A951-F70FCD4CD192}"/>
    <cellStyle name="Sub-Section Total #" xfId="324" xr:uid="{729B857D-0267-464C-A116-F567F86A0052}"/>
    <cellStyle name="Sub-Section Total Pct" xfId="325" xr:uid="{A363366B-3F53-4B1F-A69B-A4B7724BB91B}"/>
    <cellStyle name="Tab Hdr Date" xfId="326" xr:uid="{B4A15E79-9A7C-4C05-8CEE-EA43830215F3}"/>
    <cellStyle name="Tab Hdr Left" xfId="327" xr:uid="{C51429ED-BE38-4742-BDB9-CEB679C21C88}"/>
    <cellStyle name="Tab Hdr Right" xfId="328" xr:uid="{BA782933-4D76-4B10-9272-7DD8D880AB49}"/>
    <cellStyle name="Tab header" xfId="329" xr:uid="{68BE16F5-A724-4E78-A0D0-D7E7CA6C53C2}"/>
    <cellStyle name="Text_Bold" xfId="330" xr:uid="{A4EEF2DF-AF83-4997-8626-7DA9F1CCAED0}"/>
    <cellStyle name="Title 2" xfId="331" xr:uid="{2AE013FF-DF7F-471C-AD0A-1E8E72CAB83D}"/>
    <cellStyle name="Title Double Line" xfId="332" xr:uid="{68670E98-E96E-4CB7-B643-A5D382A07F1C}"/>
    <cellStyle name="Title Double Subtitle" xfId="333" xr:uid="{0779A24F-F9B9-4242-B41D-47AF7A487A06}"/>
    <cellStyle name="Title Single" xfId="334" xr:uid="{529723D4-46BF-4B5D-A78C-D64395D3D617}"/>
    <cellStyle name="Title12" xfId="335" xr:uid="{2B8DB68A-1413-4CCD-B3F4-97B39DD1EA08}"/>
    <cellStyle name="Title12 2" xfId="336" xr:uid="{F69B6287-A20E-4D5C-9D9D-A554990AA9FE}"/>
    <cellStyle name="Title12 3" xfId="337" xr:uid="{0574FA1E-913F-4DBA-87CE-26E0B31D575D}"/>
    <cellStyle name="Title12_DEPT" xfId="338" xr:uid="{90029538-517C-42F0-8315-9FE1BE32A5CF}"/>
    <cellStyle name="Title3" xfId="339" xr:uid="{C1B98647-2FA9-4763-ADE4-4D24E4127597}"/>
    <cellStyle name="Total 2" xfId="340" xr:uid="{BDE8DF2D-1289-40C5-8A05-CEB3A3F34666}"/>
    <cellStyle name="Total 2 2" xfId="387" xr:uid="{58067947-6684-4FD9-886D-70C983102941}"/>
    <cellStyle name="Total 2 2 2" xfId="443" xr:uid="{CB08019E-4FF0-41F1-AA91-FDA5BDBFD1C6}"/>
    <cellStyle name="Total 2 3" xfId="396" xr:uid="{F316F00A-CF6D-415A-8291-18681353286A}"/>
    <cellStyle name="Total 2 3 2" xfId="450" xr:uid="{FC9BB365-E855-48CD-B8C4-90EA2BCAF244}"/>
    <cellStyle name="Total 2 4" xfId="406" xr:uid="{0360AF5F-7289-45FB-A054-68B830C38FF7}"/>
    <cellStyle name="Total 2 4 2" xfId="459" xr:uid="{7C4579E1-134A-4334-AD60-0FDCD4C21095}"/>
    <cellStyle name="Total 2 5" xfId="398" xr:uid="{ED921299-2A62-4CB4-BA7B-0EEBCD530DB1}"/>
    <cellStyle name="Total 2 5 2" xfId="451" xr:uid="{BE4E197C-0E05-4BAE-8A9D-D276F7B37388}"/>
    <cellStyle name="Warning Text 2" xfId="341" xr:uid="{BCE8AE22-AC67-481E-9F91-BC44D0BD8A71}"/>
    <cellStyle name="XComma" xfId="342" xr:uid="{7FEA2131-A063-4324-A980-BB974FE5BC83}"/>
    <cellStyle name="XComma 0.0" xfId="343" xr:uid="{EF32FF9C-E432-4A00-BC62-6093A2A5C0D8}"/>
    <cellStyle name="XComma 0.00" xfId="344" xr:uid="{D089DC1C-85F5-4C55-B336-154D8B88320D}"/>
    <cellStyle name="XComma 0.000" xfId="345" xr:uid="{A47795AD-43A5-4BEE-8385-6EEAA4CF34C3}"/>
    <cellStyle name="XComma_Worksheet in C: JOANNA Terry Cote Caritas Christi rptpkg2.doc 10" xfId="346" xr:uid="{E380E715-41E8-420B-8A0A-1E10DBD02824}"/>
    <cellStyle name="XCurrency" xfId="347" xr:uid="{06ECB9FA-273E-4BF4-9AD9-5A5D2D0B94BB}"/>
    <cellStyle name="XCurrency 0.0" xfId="348" xr:uid="{8D7B21D2-05F6-44C9-89A8-019BAC2FEEAF}"/>
    <cellStyle name="XCurrency 0.00" xfId="349" xr:uid="{E99BD010-ED2D-496A-A034-B6D086D77EFA}"/>
    <cellStyle name="XCurrency 0.000" xfId="350" xr:uid="{42918C71-AB02-4D21-B5A8-1911518F6883}"/>
    <cellStyle name="XCurrency_Worksheet in C: JOANNA Terry Cote Caritas Christi rptpkg2.doc 10" xfId="351" xr:uid="{901943DB-EE75-4AD5-9526-678D6FBE597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nd0001\Downloads\YE197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45514</v>
          </cell>
          <cell r="D59"/>
          <cell r="E59">
            <v>9669</v>
          </cell>
          <cell r="F59"/>
          <cell r="G59"/>
          <cell r="H59"/>
          <cell r="I59"/>
          <cell r="J59">
            <v>1113</v>
          </cell>
          <cell r="K59"/>
          <cell r="L59"/>
          <cell r="M59"/>
          <cell r="N59"/>
          <cell r="O59">
            <v>1398</v>
          </cell>
          <cell r="P59">
            <v>463375</v>
          </cell>
          <cell r="Q59">
            <v>350167</v>
          </cell>
          <cell r="R59">
            <v>522284</v>
          </cell>
          <cell r="U59">
            <v>265612</v>
          </cell>
          <cell r="V59"/>
          <cell r="W59">
            <v>865</v>
          </cell>
          <cell r="X59">
            <v>18792</v>
          </cell>
          <cell r="Y59">
            <v>30604</v>
          </cell>
          <cell r="Z59">
            <v>14150</v>
          </cell>
          <cell r="AA59">
            <v>1929</v>
          </cell>
          <cell r="AC59">
            <v>19655</v>
          </cell>
          <cell r="AD59"/>
          <cell r="AE59">
            <v>32251</v>
          </cell>
          <cell r="AF59"/>
          <cell r="AG59">
            <v>20552</v>
          </cell>
          <cell r="AH59"/>
          <cell r="AI59">
            <v>10016</v>
          </cell>
          <cell r="AJ59"/>
          <cell r="AK59">
            <v>4806</v>
          </cell>
          <cell r="AL59">
            <v>876</v>
          </cell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56623</v>
          </cell>
          <cell r="AZ59"/>
          <cell r="BA59"/>
          <cell r="BE59">
            <v>155374</v>
          </cell>
        </row>
        <row r="71">
          <cell r="C71">
            <v>8195784</v>
          </cell>
          <cell r="D71">
            <v>0</v>
          </cell>
          <cell r="E71">
            <v>6301267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654405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4048688</v>
          </cell>
          <cell r="P71">
            <v>5740882</v>
          </cell>
          <cell r="Q71">
            <v>1248170</v>
          </cell>
          <cell r="R71">
            <v>1576473</v>
          </cell>
          <cell r="S71">
            <v>1381958</v>
          </cell>
          <cell r="T71">
            <v>0</v>
          </cell>
          <cell r="U71">
            <v>3876615</v>
          </cell>
          <cell r="V71">
            <v>0</v>
          </cell>
          <cell r="W71">
            <v>330679</v>
          </cell>
          <cell r="X71">
            <v>2225969</v>
          </cell>
          <cell r="Y71">
            <v>4995961</v>
          </cell>
          <cell r="Z71">
            <v>1623647</v>
          </cell>
          <cell r="AA71">
            <v>279321</v>
          </cell>
          <cell r="AB71">
            <v>4618423</v>
          </cell>
          <cell r="AC71">
            <v>1496255</v>
          </cell>
          <cell r="AD71">
            <v>0</v>
          </cell>
          <cell r="AE71">
            <v>1218576</v>
          </cell>
          <cell r="AF71">
            <v>0</v>
          </cell>
          <cell r="AG71">
            <v>3854125</v>
          </cell>
          <cell r="AH71">
            <v>0</v>
          </cell>
          <cell r="AI71">
            <v>2678173</v>
          </cell>
          <cell r="AJ71">
            <v>0</v>
          </cell>
          <cell r="AK71">
            <v>112524</v>
          </cell>
          <cell r="AL71">
            <v>61845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2831275</v>
          </cell>
          <cell r="AW71">
            <v>0</v>
          </cell>
          <cell r="AX71">
            <v>0</v>
          </cell>
          <cell r="AY71">
            <v>2041623</v>
          </cell>
          <cell r="AZ71">
            <v>0</v>
          </cell>
          <cell r="BA71">
            <v>0</v>
          </cell>
          <cell r="BB71">
            <v>1078117</v>
          </cell>
          <cell r="BC71">
            <v>0</v>
          </cell>
          <cell r="BD71">
            <v>16559316</v>
          </cell>
          <cell r="BE71">
            <v>3391272</v>
          </cell>
          <cell r="BF71">
            <v>1823562</v>
          </cell>
          <cell r="BG71">
            <v>327372</v>
          </cell>
          <cell r="BH71">
            <v>2342325</v>
          </cell>
          <cell r="BI71">
            <v>0</v>
          </cell>
          <cell r="BJ71">
            <v>457499</v>
          </cell>
          <cell r="BK71">
            <v>2354295</v>
          </cell>
          <cell r="BL71">
            <v>1381707</v>
          </cell>
          <cell r="BM71">
            <v>0</v>
          </cell>
          <cell r="BN71">
            <v>5489422</v>
          </cell>
          <cell r="BO71">
            <v>0</v>
          </cell>
          <cell r="BP71">
            <v>354889</v>
          </cell>
          <cell r="BQ71">
            <v>0</v>
          </cell>
          <cell r="BR71">
            <v>684798</v>
          </cell>
          <cell r="BS71">
            <v>10228</v>
          </cell>
          <cell r="BT71">
            <v>0</v>
          </cell>
          <cell r="BU71">
            <v>119988</v>
          </cell>
          <cell r="BV71">
            <v>1131842</v>
          </cell>
          <cell r="BW71">
            <v>128080</v>
          </cell>
          <cell r="BX71">
            <v>640855</v>
          </cell>
          <cell r="BY71">
            <v>1430566</v>
          </cell>
          <cell r="BZ71">
            <v>0</v>
          </cell>
          <cell r="CA71">
            <v>304481</v>
          </cell>
          <cell r="CB71">
            <v>0</v>
          </cell>
          <cell r="CC71">
            <v>0</v>
          </cell>
          <cell r="CD71">
            <v>16668620</v>
          </cell>
        </row>
        <row r="83">
          <cell r="C83" t="str">
            <v>197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94CC5264-A6C9-4A23-B9AA-A475DC963176}" userId="S::djwickens@multicare.org::1eb839a9-4505-43a0-8e65-9b51af7ade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1" dT="2022-06-22T18:18:06.66" personId="{94CC5264-A6C9-4A23-B9AA-A475DC963176}" id="{F7C6204D-AD31-46DA-BBC5-7F599133A882}">
    <text>open. Note that these will not tie to consol packet for the IBU, since the consol piece would be missing Q1. Do we have admissions #'s for Q1 that we could add to what we end up getting from Jo?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5875-ED2B-4DD8-ABB9-05A07D6307F0}">
  <sheetPr syncVertical="1" syncRef="A476" transitionEvaluation="1" transitionEntry="1">
    <pageSetUpPr autoPageBreaks="0" fitToPage="1"/>
  </sheetPr>
  <dimension ref="A1:CH817"/>
  <sheetViews>
    <sheetView showGridLines="0" tabSelected="1" topLeftCell="A476" zoomScale="75" zoomScaleNormal="75" workbookViewId="0">
      <selection activeCell="E569" sqref="E569"/>
    </sheetView>
  </sheetViews>
  <sheetFormatPr defaultColWidth="11.75" defaultRowHeight="12.65" customHeight="1" outlineLevelRow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1.75" style="180"/>
    <col min="6" max="7" width="12.4140625" style="180" bestFit="1" customWidth="1"/>
    <col min="8" max="8" width="11.75" style="180"/>
    <col min="9" max="9" width="13.9140625" style="180" bestFit="1" customWidth="1"/>
    <col min="10" max="83" width="11.75" style="180"/>
    <col min="84" max="84" width="13.25" style="180" bestFit="1" customWidth="1"/>
    <col min="85" max="85" width="11.25" style="180" bestFit="1" customWidth="1"/>
    <col min="86" max="16384" width="11.75" style="180"/>
  </cols>
  <sheetData>
    <row r="1" spans="1:6" ht="12.75" hidden="1" customHeight="1" outlineLevel="1">
      <c r="A1" s="231" t="s">
        <v>1232</v>
      </c>
      <c r="B1" s="232"/>
      <c r="C1" s="232"/>
      <c r="D1" s="232"/>
      <c r="E1" s="232"/>
      <c r="F1" s="232"/>
    </row>
    <row r="2" spans="1:6" ht="12.75" hidden="1" customHeight="1" outlineLevel="1">
      <c r="A2" s="232" t="s">
        <v>1233</v>
      </c>
      <c r="B2" s="232"/>
      <c r="C2" s="233"/>
      <c r="D2" s="232"/>
      <c r="E2" s="232"/>
      <c r="F2" s="232"/>
    </row>
    <row r="3" spans="1:6" ht="12.75" hidden="1" customHeight="1" outlineLevel="1">
      <c r="A3" s="199"/>
      <c r="C3" s="234"/>
    </row>
    <row r="4" spans="1:6" ht="12.75" hidden="1" customHeight="1" outlineLevel="1">
      <c r="C4" s="234"/>
    </row>
    <row r="5" spans="1:6" ht="12.75" hidden="1" customHeight="1" outlineLevel="1">
      <c r="A5" s="199" t="s">
        <v>1258</v>
      </c>
      <c r="C5" s="234"/>
    </row>
    <row r="6" spans="1:6" ht="12.75" hidden="1" customHeight="1" outlineLevel="1">
      <c r="A6" s="199" t="s">
        <v>0</v>
      </c>
      <c r="C6" s="234"/>
    </row>
    <row r="7" spans="1:6" ht="12.75" hidden="1" customHeight="1" outlineLevel="1">
      <c r="A7" s="199" t="s">
        <v>1</v>
      </c>
      <c r="C7" s="234"/>
    </row>
    <row r="8" spans="1:6" ht="12.75" hidden="1" customHeight="1" outlineLevel="1">
      <c r="C8" s="234"/>
    </row>
    <row r="9" spans="1:6" ht="12.75" hidden="1" customHeight="1" outlineLevel="1">
      <c r="C9" s="234"/>
    </row>
    <row r="10" spans="1:6" ht="12.75" hidden="1" customHeight="1" outlineLevel="1">
      <c r="A10" s="198" t="s">
        <v>1228</v>
      </c>
      <c r="C10" s="234"/>
    </row>
    <row r="11" spans="1:6" ht="12.75" hidden="1" customHeight="1" outlineLevel="1">
      <c r="A11" s="198" t="s">
        <v>1231</v>
      </c>
      <c r="C11" s="234"/>
    </row>
    <row r="12" spans="1:6" ht="12.75" hidden="1" customHeight="1" outlineLevel="1">
      <c r="C12" s="234"/>
    </row>
    <row r="13" spans="1:6" ht="12.75" hidden="1" customHeight="1" outlineLevel="1">
      <c r="C13" s="234"/>
    </row>
    <row r="14" spans="1:6" ht="12.75" hidden="1" customHeight="1" outlineLevel="1">
      <c r="A14" s="199" t="s">
        <v>2</v>
      </c>
      <c r="C14" s="234"/>
    </row>
    <row r="15" spans="1:6" ht="12.75" hidden="1" customHeight="1" outlineLevel="1">
      <c r="A15" s="199"/>
      <c r="C15" s="234"/>
    </row>
    <row r="16" spans="1:6" ht="12.75" hidden="1" customHeight="1" outlineLevel="1">
      <c r="A16" s="180" t="s">
        <v>1260</v>
      </c>
      <c r="C16" s="234"/>
      <c r="F16" s="280" t="s">
        <v>1259</v>
      </c>
    </row>
    <row r="17" spans="1:6" ht="12.75" hidden="1" customHeight="1" outlineLevel="1">
      <c r="A17" s="180" t="s">
        <v>1230</v>
      </c>
      <c r="C17" s="280" t="s">
        <v>1259</v>
      </c>
    </row>
    <row r="18" spans="1:6" ht="12.75" hidden="1" customHeight="1" outlineLevel="1">
      <c r="A18" s="226"/>
      <c r="C18" s="234"/>
    </row>
    <row r="19" spans="1:6" ht="12.75" hidden="1" customHeight="1" outlineLevel="1">
      <c r="C19" s="234"/>
    </row>
    <row r="20" spans="1:6" ht="12.75" hidden="1" customHeight="1" outlineLevel="1">
      <c r="A20" s="270" t="s">
        <v>1234</v>
      </c>
      <c r="B20" s="270"/>
      <c r="C20" s="281"/>
      <c r="D20" s="270"/>
      <c r="E20" s="270"/>
      <c r="F20" s="270"/>
    </row>
    <row r="21" spans="1:6" ht="22.5" hidden="1" customHeight="1" outlineLevel="1">
      <c r="A21" s="199"/>
      <c r="C21" s="234"/>
    </row>
    <row r="22" spans="1:6" ht="12.65" hidden="1" customHeight="1" outlineLevel="1">
      <c r="A22" s="235" t="s">
        <v>1254</v>
      </c>
      <c r="B22" s="236"/>
      <c r="C22" s="237"/>
      <c r="D22" s="235"/>
      <c r="E22" s="235"/>
    </row>
    <row r="23" spans="1:6" ht="12.65" hidden="1" customHeight="1" outlineLevel="1">
      <c r="B23" s="199"/>
      <c r="C23" s="234"/>
    </row>
    <row r="24" spans="1:6" ht="12.65" hidden="1" customHeight="1" outlineLevel="1">
      <c r="A24" s="238" t="s">
        <v>3</v>
      </c>
      <c r="C24" s="234"/>
    </row>
    <row r="25" spans="1:6" ht="12.65" hidden="1" customHeight="1" outlineLevel="1">
      <c r="A25" s="198" t="s">
        <v>1235</v>
      </c>
      <c r="C25" s="234"/>
    </row>
    <row r="26" spans="1:6" ht="12.65" hidden="1" customHeight="1" outlineLevel="1">
      <c r="A26" s="199" t="s">
        <v>4</v>
      </c>
      <c r="C26" s="234"/>
    </row>
    <row r="27" spans="1:6" ht="12.65" hidden="1" customHeight="1" outlineLevel="1">
      <c r="A27" s="198" t="s">
        <v>1236</v>
      </c>
      <c r="C27" s="234"/>
    </row>
    <row r="28" spans="1:6" ht="12.65" hidden="1" customHeight="1" outlineLevel="1">
      <c r="A28" s="199" t="s">
        <v>5</v>
      </c>
      <c r="C28" s="234"/>
    </row>
    <row r="29" spans="1:6" ht="12.65" hidden="1" customHeight="1" outlineLevel="1">
      <c r="A29" s="198"/>
      <c r="C29" s="234"/>
    </row>
    <row r="30" spans="1:6" ht="12.65" hidden="1" customHeight="1" outlineLevel="1">
      <c r="A30" s="180" t="s">
        <v>6</v>
      </c>
      <c r="C30" s="234"/>
    </row>
    <row r="31" spans="1:6" ht="12.65" hidden="1" customHeight="1" outlineLevel="1">
      <c r="A31" s="199" t="s">
        <v>7</v>
      </c>
      <c r="C31" s="234"/>
    </row>
    <row r="32" spans="1:6" ht="12.65" hidden="1" customHeight="1" outlineLevel="1">
      <c r="A32" s="199" t="s">
        <v>8</v>
      </c>
      <c r="C32" s="234"/>
    </row>
    <row r="33" spans="1:86" ht="12.65" hidden="1" customHeight="1" outlineLevel="1">
      <c r="A33" s="198" t="s">
        <v>1237</v>
      </c>
      <c r="C33" s="234"/>
    </row>
    <row r="34" spans="1:86" ht="12.65" hidden="1" customHeight="1" outlineLevel="1">
      <c r="A34" s="199" t="s">
        <v>9</v>
      </c>
      <c r="C34" s="234"/>
    </row>
    <row r="35" spans="1:86" ht="12.65" hidden="1" customHeight="1" outlineLevel="1">
      <c r="A35" s="199"/>
      <c r="C35" s="234"/>
    </row>
    <row r="36" spans="1:86" ht="12.65" hidden="1" customHeight="1" outlineLevel="1">
      <c r="A36" s="198" t="s">
        <v>1238</v>
      </c>
      <c r="C36" s="234"/>
    </row>
    <row r="37" spans="1:86" ht="12.65" hidden="1" customHeight="1" outlineLevel="1">
      <c r="A37" s="199" t="s">
        <v>1229</v>
      </c>
      <c r="C37" s="234"/>
    </row>
    <row r="38" spans="1:86" ht="12" hidden="1" customHeight="1" outlineLevel="1">
      <c r="A38" s="198"/>
      <c r="C38" s="234"/>
    </row>
    <row r="39" spans="1:86" ht="12.65" hidden="1" customHeight="1" outlineLevel="1">
      <c r="A39" s="199"/>
      <c r="C39" s="234"/>
    </row>
    <row r="40" spans="1:86" ht="12" hidden="1" customHeight="1" outlineLevel="1">
      <c r="A40" s="199"/>
      <c r="C40" s="234"/>
    </row>
    <row r="41" spans="1:86" ht="12" hidden="1" customHeight="1" outlineLevel="1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6" ht="12" hidden="1" customHeight="1" outlineLevel="1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6" ht="12" customHeight="1" collapsed="1">
      <c r="A43" s="199"/>
      <c r="C43" s="234"/>
      <c r="F43" s="181"/>
    </row>
    <row r="44" spans="1:86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6" ht="12" customHeight="1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6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  <c r="CF46" s="374" t="s">
        <v>1286</v>
      </c>
      <c r="CG46" s="374" t="s">
        <v>1287</v>
      </c>
    </row>
    <row r="47" spans="1:86" ht="12.65" customHeight="1">
      <c r="A47" s="175" t="s">
        <v>204</v>
      </c>
      <c r="B47" s="183"/>
      <c r="C47" s="184">
        <f>'data 2Q21-4Q21'!C47+'data 1Q21'!C47</f>
        <v>695712.67</v>
      </c>
      <c r="D47" s="184">
        <f>'data 2Q21-4Q21'!D47+'data 1Q21'!D47</f>
        <v>0</v>
      </c>
      <c r="E47" s="184">
        <f>'data 2Q21-4Q21'!E47+'data 1Q21'!E47</f>
        <v>498974.8</v>
      </c>
      <c r="F47" s="184">
        <f>'data 2Q21-4Q21'!F47+'data 1Q21'!F47</f>
        <v>267191.75</v>
      </c>
      <c r="G47" s="184">
        <f>'data 2Q21-4Q21'!G47+'data 1Q21'!G47</f>
        <v>0</v>
      </c>
      <c r="H47" s="184">
        <f>'data 2Q21-4Q21'!H47+'data 1Q21'!H47</f>
        <v>0</v>
      </c>
      <c r="I47" s="184">
        <f>'data 2Q21-4Q21'!I47+'data 1Q21'!I47</f>
        <v>0</v>
      </c>
      <c r="J47" s="184">
        <f>'data 2Q21-4Q21'!J47+'data 1Q21'!J47</f>
        <v>0</v>
      </c>
      <c r="K47" s="184">
        <f>'data 2Q21-4Q21'!K47+'data 1Q21'!K47</f>
        <v>0</v>
      </c>
      <c r="L47" s="184">
        <f>'data 2Q21-4Q21'!L47+'data 1Q21'!L47</f>
        <v>0</v>
      </c>
      <c r="M47" s="184">
        <f>'data 2Q21-4Q21'!M47+'data 1Q21'!M47</f>
        <v>0</v>
      </c>
      <c r="N47" s="184">
        <f>'data 2Q21-4Q21'!N47+'data 1Q21'!N47</f>
        <v>0</v>
      </c>
      <c r="O47" s="184">
        <f>'data 2Q21-4Q21'!O47+'data 1Q21'!O47</f>
        <v>54615.61</v>
      </c>
      <c r="P47" s="184">
        <f>'data 2Q21-4Q21'!P47+'data 1Q21'!P47</f>
        <v>210933.54</v>
      </c>
      <c r="Q47" s="184">
        <f>'data 2Q21-4Q21'!Q47+'data 1Q21'!Q47</f>
        <v>17529</v>
      </c>
      <c r="R47" s="184">
        <f>'data 2Q21-4Q21'!R47+'data 1Q21'!R47</f>
        <v>108898.56</v>
      </c>
      <c r="S47" s="184">
        <f>'data 2Q21-4Q21'!S47+'data 1Q21'!S47</f>
        <v>110960.43</v>
      </c>
      <c r="T47" s="184">
        <f>'data 2Q21-4Q21'!T47+'data 1Q21'!T47</f>
        <v>0</v>
      </c>
      <c r="U47" s="184">
        <f>'data 2Q21-4Q21'!U47+'data 1Q21'!U47</f>
        <v>227764.63</v>
      </c>
      <c r="V47" s="184">
        <f>'data 2Q21-4Q21'!V47+'data 1Q21'!V47</f>
        <v>0</v>
      </c>
      <c r="W47" s="184">
        <f>'data 2Q21-4Q21'!W47+'data 1Q21'!W47</f>
        <v>20130.46</v>
      </c>
      <c r="X47" s="184">
        <f>'data 2Q21-4Q21'!X47+'data 1Q21'!X47</f>
        <v>43158.609999999993</v>
      </c>
      <c r="Y47" s="184">
        <f>'data 2Q21-4Q21'!Y47+'data 1Q21'!Y47</f>
        <v>334881.20999999996</v>
      </c>
      <c r="Z47" s="184">
        <f>'data 2Q21-4Q21'!Z47+'data 1Q21'!Z47</f>
        <v>84950.3</v>
      </c>
      <c r="AA47" s="184">
        <f>'data 2Q21-4Q21'!AA47+'data 1Q21'!AA47</f>
        <v>22925.549999999996</v>
      </c>
      <c r="AB47" s="184">
        <f>'data 2Q21-4Q21'!AB47+'data 1Q21'!AB47</f>
        <v>158987.04</v>
      </c>
      <c r="AC47" s="184">
        <f>'data 2Q21-4Q21'!AC47+'data 1Q21'!AC47</f>
        <v>128306.62000000001</v>
      </c>
      <c r="AD47" s="184">
        <f>'data 2Q21-4Q21'!AD47+'data 1Q21'!AD47</f>
        <v>0</v>
      </c>
      <c r="AE47" s="184">
        <f>'data 2Q21-4Q21'!AE47+'data 1Q21'!AE47</f>
        <v>101891.60999999999</v>
      </c>
      <c r="AF47" s="184">
        <f>'data 2Q21-4Q21'!AF47+'data 1Q21'!AF47</f>
        <v>0</v>
      </c>
      <c r="AG47" s="184">
        <f>'data 2Q21-4Q21'!AG47+'data 1Q21'!AG47</f>
        <v>354941.06</v>
      </c>
      <c r="AH47" s="184">
        <f>'data 2Q21-4Q21'!AH47+'data 1Q21'!AH47</f>
        <v>0</v>
      </c>
      <c r="AI47" s="184">
        <f>'data 2Q21-4Q21'!AI47+'data 1Q21'!AI47</f>
        <v>215882.21999999997</v>
      </c>
      <c r="AJ47" s="184">
        <f>'data 2Q21-4Q21'!AJ47+'data 1Q21'!AJ47</f>
        <v>32344.77</v>
      </c>
      <c r="AK47" s="184">
        <f>'data 2Q21-4Q21'!AK47+'data 1Q21'!AK47</f>
        <v>12385.72</v>
      </c>
      <c r="AL47" s="184">
        <f>'data 2Q21-4Q21'!AL47+'data 1Q21'!AL47</f>
        <v>0</v>
      </c>
      <c r="AM47" s="184">
        <f>'data 2Q21-4Q21'!AM47+'data 1Q21'!AM47</f>
        <v>0</v>
      </c>
      <c r="AN47" s="184">
        <f>'data 2Q21-4Q21'!AN47+'data 1Q21'!AN47</f>
        <v>0</v>
      </c>
      <c r="AO47" s="184">
        <f>'data 2Q21-4Q21'!AO47+'data 1Q21'!AO47</f>
        <v>0</v>
      </c>
      <c r="AP47" s="184">
        <f>'data 2Q21-4Q21'!AP47+'data 1Q21'!AP47</f>
        <v>0</v>
      </c>
      <c r="AQ47" s="184">
        <f>'data 2Q21-4Q21'!AQ47+'data 1Q21'!AQ47</f>
        <v>0</v>
      </c>
      <c r="AR47" s="184">
        <f>'data 2Q21-4Q21'!AR47+'data 1Q21'!AR47</f>
        <v>0</v>
      </c>
      <c r="AS47" s="184">
        <f>'data 2Q21-4Q21'!AS47+'data 1Q21'!AS47</f>
        <v>0</v>
      </c>
      <c r="AT47" s="184">
        <f>'data 2Q21-4Q21'!AT47+'data 1Q21'!AT47</f>
        <v>0</v>
      </c>
      <c r="AU47" s="184">
        <f>'data 2Q21-4Q21'!AU47+'data 1Q21'!AU47</f>
        <v>0</v>
      </c>
      <c r="AV47" s="184">
        <f>'data 2Q21-4Q21'!AV47+'data 1Q21'!AV47</f>
        <v>185331.53</v>
      </c>
      <c r="AW47" s="184">
        <f>'data 2Q21-4Q21'!AW47+'data 1Q21'!AW47</f>
        <v>0</v>
      </c>
      <c r="AX47" s="184">
        <f>'data 2Q21-4Q21'!AX47+'data 1Q21'!AX47</f>
        <v>0</v>
      </c>
      <c r="AY47" s="184">
        <f>'data 2Q21-4Q21'!AY47+'data 1Q21'!AY47</f>
        <v>194187.05</v>
      </c>
      <c r="AZ47" s="184">
        <f>'data 2Q21-4Q21'!AZ47+'data 1Q21'!AZ47</f>
        <v>0</v>
      </c>
      <c r="BA47" s="184">
        <f>'data 2Q21-4Q21'!BA47+'data 1Q21'!BA47</f>
        <v>0</v>
      </c>
      <c r="BB47" s="184">
        <f>'data 2Q21-4Q21'!BB47+'data 1Q21'!BB47</f>
        <v>15784</v>
      </c>
      <c r="BC47" s="184">
        <f>'data 2Q21-4Q21'!BC47+'data 1Q21'!BC47</f>
        <v>0</v>
      </c>
      <c r="BD47" s="184">
        <f>'data 2Q21-4Q21'!BD47+'data 1Q21'!BD47</f>
        <v>74303.01999999999</v>
      </c>
      <c r="BE47" s="184">
        <f>'data 2Q21-4Q21'!BE47+'data 1Q21'!BE47</f>
        <v>83048.7</v>
      </c>
      <c r="BF47" s="184">
        <f>'data 2Q21-4Q21'!BF47+'data 1Q21'!BF47</f>
        <v>171376.92</v>
      </c>
      <c r="BG47" s="184">
        <f>'data 2Q21-4Q21'!BG47+'data 1Q21'!BG47</f>
        <v>16633.21</v>
      </c>
      <c r="BH47" s="184">
        <f>'data 2Q21-4Q21'!BH47+'data 1Q21'!BH47</f>
        <v>9932</v>
      </c>
      <c r="BI47" s="184">
        <f>'data 2Q21-4Q21'!BI47+'data 1Q21'!BI47</f>
        <v>0</v>
      </c>
      <c r="BJ47" s="184">
        <f>'data 2Q21-4Q21'!BJ47+'data 1Q21'!BJ47</f>
        <v>31378.71</v>
      </c>
      <c r="BK47" s="184">
        <f>'data 2Q21-4Q21'!BK47+'data 1Q21'!BK47</f>
        <v>168.63</v>
      </c>
      <c r="BL47" s="184">
        <f>'data 2Q21-4Q21'!BL47+'data 1Q21'!BL47</f>
        <v>30911.64</v>
      </c>
      <c r="BM47" s="184">
        <f>'data 2Q21-4Q21'!BM47+'data 1Q21'!BM47</f>
        <v>13574</v>
      </c>
      <c r="BN47" s="184">
        <f>'data 2Q21-4Q21'!BN47+'data 1Q21'!BN47</f>
        <v>318664.90999999997</v>
      </c>
      <c r="BO47" s="184">
        <f>'data 2Q21-4Q21'!BO47+'data 1Q21'!BO47</f>
        <v>0</v>
      </c>
      <c r="BP47" s="184">
        <f>'data 2Q21-4Q21'!BP47+'data 1Q21'!BP47</f>
        <v>1245</v>
      </c>
      <c r="BQ47" s="184">
        <f>'data 2Q21-4Q21'!BQ47+'data 1Q21'!BQ47</f>
        <v>0</v>
      </c>
      <c r="BR47" s="184">
        <f>'data 2Q21-4Q21'!BR47+'data 1Q21'!BR47</f>
        <v>1148366</v>
      </c>
      <c r="BS47" s="184">
        <f>'data 2Q21-4Q21'!BS47+'data 1Q21'!BS47</f>
        <v>0</v>
      </c>
      <c r="BT47" s="184">
        <f>'data 2Q21-4Q21'!BT47+'data 1Q21'!BT47</f>
        <v>0</v>
      </c>
      <c r="BU47" s="184">
        <f>'data 2Q21-4Q21'!BU47+'data 1Q21'!BU47</f>
        <v>0</v>
      </c>
      <c r="BV47" s="184">
        <f>'data 2Q21-4Q21'!BV47+'data 1Q21'!BV47</f>
        <v>13983</v>
      </c>
      <c r="BW47" s="184">
        <f>'data 2Q21-4Q21'!BW47+'data 1Q21'!BW47</f>
        <v>23768.78</v>
      </c>
      <c r="BX47" s="184">
        <f>'data 2Q21-4Q21'!BX47+'data 1Q21'!BX47</f>
        <v>65143.839999999997</v>
      </c>
      <c r="BY47" s="184">
        <f>'data 2Q21-4Q21'!BY47+'data 1Q21'!BY47</f>
        <v>120955.81</v>
      </c>
      <c r="BZ47" s="184">
        <f>'data 2Q21-4Q21'!BZ47+'data 1Q21'!BZ47</f>
        <v>0</v>
      </c>
      <c r="CA47" s="184">
        <f>'data 2Q21-4Q21'!CA47+'data 1Q21'!CA47</f>
        <v>4834</v>
      </c>
      <c r="CB47" s="184">
        <f>'data 2Q21-4Q21'!CB47+'data 1Q21'!CB47</f>
        <v>0</v>
      </c>
      <c r="CC47" s="184">
        <f>'data 2Q21-4Q21'!CC47+'data 1Q21'!CC47</f>
        <v>477672.96000000002</v>
      </c>
      <c r="CD47" s="195"/>
      <c r="CE47" s="195">
        <f>SUM(C47:CC47)</f>
        <v>6704629.8699999992</v>
      </c>
      <c r="CF47" s="373">
        <f>'data 2Q21-4Q21'!CE47</f>
        <v>4858733.8699999992</v>
      </c>
      <c r="CG47" s="373">
        <f>'data 1Q21 (2)'!CE47</f>
        <v>1845896</v>
      </c>
      <c r="CH47" s="180">
        <f>CF47+CG47-CE47</f>
        <v>0</v>
      </c>
    </row>
    <row r="48" spans="1:86" ht="12.65" customHeight="1">
      <c r="A48" s="175" t="s">
        <v>205</v>
      </c>
      <c r="B48" s="183"/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  <c r="CF48" s="373">
        <f>'data 2Q21-4Q21'!CE48</f>
        <v>0</v>
      </c>
      <c r="CG48" s="373">
        <f>'data 1Q21 (2)'!CE48</f>
        <v>0</v>
      </c>
      <c r="CH48" s="180">
        <f t="shared" ref="CH48:CH59" si="0">CF48+CG48-CE48</f>
        <v>0</v>
      </c>
    </row>
    <row r="49" spans="1:86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373">
        <f>'data 2Q21-4Q21'!CE49</f>
        <v>0</v>
      </c>
      <c r="CG49" s="373">
        <f>'data 1Q21 (2)'!CE49</f>
        <v>0</v>
      </c>
      <c r="CH49" s="180">
        <f t="shared" si="0"/>
        <v>0</v>
      </c>
    </row>
    <row r="50" spans="1:86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373">
        <f>'data 2Q21-4Q21'!CE50</f>
        <v>0</v>
      </c>
      <c r="CG50" s="373">
        <f>'data 1Q21 (2)'!CE50</f>
        <v>0</v>
      </c>
      <c r="CH50" s="180">
        <f t="shared" si="0"/>
        <v>0</v>
      </c>
    </row>
    <row r="51" spans="1:86" ht="12.65" customHeight="1">
      <c r="A51" s="171" t="s">
        <v>207</v>
      </c>
      <c r="B51" s="184"/>
      <c r="C51" s="184">
        <f>'data 2Q21-4Q21'!C51+'data 1Q21'!C51</f>
        <v>36511.61</v>
      </c>
      <c r="D51" s="184">
        <f>'data 2Q21-4Q21'!D51+'data 1Q21'!D51</f>
        <v>36838.789999999994</v>
      </c>
      <c r="E51" s="184">
        <f>'data 2Q21-4Q21'!E51+'data 1Q21'!E51</f>
        <v>16178.900000000001</v>
      </c>
      <c r="F51" s="184">
        <f>'data 2Q21-4Q21'!F51+'data 1Q21'!F51</f>
        <v>4460.3899999999994</v>
      </c>
      <c r="G51" s="184">
        <f>'data 2Q21-4Q21'!G51+'data 1Q21'!G51</f>
        <v>557649.53999999992</v>
      </c>
      <c r="H51" s="184">
        <f>'data 2Q21-4Q21'!H51+'data 1Q21'!H51</f>
        <v>7212.12</v>
      </c>
      <c r="I51" s="184">
        <f>'data 2Q21-4Q21'!I51+'data 1Q21'!I51</f>
        <v>77251.22</v>
      </c>
      <c r="J51" s="184">
        <f>'data 2Q21-4Q21'!J51+'data 1Q21'!J51</f>
        <v>5567.5200000000013</v>
      </c>
      <c r="K51" s="184">
        <f>'data 2Q21-4Q21'!K51+'data 1Q21'!K51</f>
        <v>7039.64</v>
      </c>
      <c r="L51" s="184">
        <f>'data 2Q21-4Q21'!L51+'data 1Q21'!L51</f>
        <v>0</v>
      </c>
      <c r="M51" s="184">
        <f>'data 2Q21-4Q21'!M51+'data 1Q21'!M51</f>
        <v>85216.65</v>
      </c>
      <c r="N51" s="184">
        <f>'data 2Q21-4Q21'!N51+'data 1Q21'!N51</f>
        <v>79866.289999999994</v>
      </c>
      <c r="O51" s="184">
        <f>'data 2Q21-4Q21'!O51+'data 1Q21'!O51</f>
        <v>1969.8800000000003</v>
      </c>
      <c r="P51" s="184">
        <f>'data 2Q21-4Q21'!P51+'data 1Q21'!P51</f>
        <v>0</v>
      </c>
      <c r="Q51" s="184">
        <f>'data 2Q21-4Q21'!Q51+'data 1Q21'!Q51</f>
        <v>1591.32</v>
      </c>
      <c r="R51" s="184">
        <f>'data 2Q21-4Q21'!R51+'data 1Q21'!R51</f>
        <v>0</v>
      </c>
      <c r="S51" s="184">
        <f>'data 2Q21-4Q21'!S51+'data 1Q21'!S51</f>
        <v>16383.63</v>
      </c>
      <c r="T51" s="184">
        <f>'data 2Q21-4Q21'!T51+'data 1Q21'!T51</f>
        <v>0</v>
      </c>
      <c r="U51" s="184">
        <f>'data 2Q21-4Q21'!U51+'data 1Q21'!U51</f>
        <v>87513.52</v>
      </c>
      <c r="V51" s="184">
        <f>'data 2Q21-4Q21'!V51+'data 1Q21'!V51</f>
        <v>0</v>
      </c>
      <c r="W51" s="184">
        <f>'data 2Q21-4Q21'!W51+'data 1Q21'!W51</f>
        <v>0</v>
      </c>
      <c r="X51" s="184">
        <f>'data 2Q21-4Q21'!X51+'data 1Q21'!X51</f>
        <v>110326.74</v>
      </c>
      <c r="Y51" s="184">
        <f>'data 2Q21-4Q21'!Y51+'data 1Q21'!Y51</f>
        <v>0</v>
      </c>
      <c r="Z51" s="184">
        <f>'data 2Q21-4Q21'!Z51+'data 1Q21'!Z51</f>
        <v>0</v>
      </c>
      <c r="AA51" s="184">
        <f>'data 2Q21-4Q21'!AA51+'data 1Q21'!AA51</f>
        <v>5537.82</v>
      </c>
      <c r="AB51" s="184">
        <f>'data 2Q21-4Q21'!AB51+'data 1Q21'!AB51</f>
        <v>0</v>
      </c>
      <c r="AC51" s="184">
        <f>'data 2Q21-4Q21'!AC51+'data 1Q21'!AC51</f>
        <v>0</v>
      </c>
      <c r="AD51" s="184">
        <f>'data 2Q21-4Q21'!AD51+'data 1Q21'!AD51</f>
        <v>8329.869999999999</v>
      </c>
      <c r="AE51" s="184">
        <f>'data 2Q21-4Q21'!AE51+'data 1Q21'!AE51</f>
        <v>0</v>
      </c>
      <c r="AF51" s="184">
        <f>'data 2Q21-4Q21'!AF51+'data 1Q21'!AF51</f>
        <v>0</v>
      </c>
      <c r="AG51" s="184">
        <f>'data 2Q21-4Q21'!AG51+'data 1Q21'!AG51</f>
        <v>10709.74</v>
      </c>
      <c r="AH51" s="184">
        <f>'data 2Q21-4Q21'!AH51+'data 1Q21'!AH51</f>
        <v>0</v>
      </c>
      <c r="AI51" s="184">
        <f>'data 2Q21-4Q21'!AI51+'data 1Q21'!AI51</f>
        <v>0</v>
      </c>
      <c r="AJ51" s="184">
        <f>'data 2Q21-4Q21'!AJ51+'data 1Q21'!AJ51</f>
        <v>2553468.0699999998</v>
      </c>
      <c r="AK51" s="184">
        <f>'data 2Q21-4Q21'!AK51+'data 1Q21'!AK51</f>
        <v>0</v>
      </c>
      <c r="AL51" s="184">
        <f>'data 2Q21-4Q21'!AL51+'data 1Q21'!AL51</f>
        <v>0</v>
      </c>
      <c r="AM51" s="184">
        <f>'data 2Q21-4Q21'!AM51+'data 1Q21'!AM51</f>
        <v>20669.22</v>
      </c>
      <c r="AN51" s="184">
        <f>'data 2Q21-4Q21'!AN51+'data 1Q21'!AN51</f>
        <v>1217443.7200000002</v>
      </c>
      <c r="AO51" s="184">
        <f>'data 2Q21-4Q21'!AO51+'data 1Q21'!AO51</f>
        <v>0</v>
      </c>
      <c r="AP51" s="184">
        <f>'data 2Q21-4Q21'!AP51+'data 1Q21'!AP51</f>
        <v>0</v>
      </c>
      <c r="AQ51" s="184">
        <f>'data 2Q21-4Q21'!AQ51+'data 1Q21'!AQ51</f>
        <v>0</v>
      </c>
      <c r="AR51" s="184">
        <f>'data 2Q21-4Q21'!AR51+'data 1Q21'!AR51</f>
        <v>0</v>
      </c>
      <c r="AS51" s="184">
        <f>'data 2Q21-4Q21'!AS51+'data 1Q21'!AS51</f>
        <v>0</v>
      </c>
      <c r="AT51" s="184">
        <f>'data 2Q21-4Q21'!AT51+'data 1Q21'!AT51</f>
        <v>0</v>
      </c>
      <c r="AU51" s="184">
        <f>'data 2Q21-4Q21'!AU51+'data 1Q21'!AU51</f>
        <v>0</v>
      </c>
      <c r="AV51" s="184">
        <f>'data 2Q21-4Q21'!AV51+'data 1Q21'!AV51</f>
        <v>0</v>
      </c>
      <c r="AW51" s="184">
        <f>'data 2Q21-4Q21'!AW51+'data 1Q21'!AW51</f>
        <v>0</v>
      </c>
      <c r="AX51" s="184">
        <f>'data 2Q21-4Q21'!AX51+'data 1Q21'!AX51</f>
        <v>0</v>
      </c>
      <c r="AY51" s="184">
        <f>'data 2Q21-4Q21'!AY51+'data 1Q21'!AY51</f>
        <v>0</v>
      </c>
      <c r="AZ51" s="184">
        <f>'data 2Q21-4Q21'!AZ51+'data 1Q21'!AZ51</f>
        <v>0</v>
      </c>
      <c r="BA51" s="184">
        <f>'data 2Q21-4Q21'!BA51+'data 1Q21'!BA51</f>
        <v>0</v>
      </c>
      <c r="BB51" s="184">
        <f>'data 2Q21-4Q21'!BB51+'data 1Q21'!BB51</f>
        <v>0</v>
      </c>
      <c r="BC51" s="184">
        <f>'data 2Q21-4Q21'!BC51+'data 1Q21'!BC51</f>
        <v>0</v>
      </c>
      <c r="BD51" s="184">
        <f>'data 2Q21-4Q21'!BD51+'data 1Q21'!BD51</f>
        <v>0</v>
      </c>
      <c r="BE51" s="184">
        <f>'data 2Q21-4Q21'!BE51+'data 1Q21'!BE51</f>
        <v>0</v>
      </c>
      <c r="BF51" s="184">
        <f>'data 2Q21-4Q21'!BF51+'data 1Q21'!BF51</f>
        <v>0</v>
      </c>
      <c r="BG51" s="184">
        <f>'data 2Q21-4Q21'!BG51+'data 1Q21'!BG51</f>
        <v>0</v>
      </c>
      <c r="BH51" s="184">
        <f>'data 2Q21-4Q21'!BH51+'data 1Q21'!BH51</f>
        <v>0</v>
      </c>
      <c r="BI51" s="184">
        <f>'data 2Q21-4Q21'!BI51+'data 1Q21'!BI51</f>
        <v>0</v>
      </c>
      <c r="BJ51" s="184">
        <f>'data 2Q21-4Q21'!BJ51+'data 1Q21'!BJ51</f>
        <v>0</v>
      </c>
      <c r="BK51" s="184">
        <f>'data 2Q21-4Q21'!BK51+'data 1Q21'!BK51</f>
        <v>0</v>
      </c>
      <c r="BL51" s="184">
        <f>'data 2Q21-4Q21'!BL51+'data 1Q21'!BL51</f>
        <v>0</v>
      </c>
      <c r="BM51" s="184">
        <f>'data 2Q21-4Q21'!BM51+'data 1Q21'!BM51</f>
        <v>0</v>
      </c>
      <c r="BN51" s="184">
        <f>'data 2Q21-4Q21'!BN51+'data 1Q21'!BN51</f>
        <v>0</v>
      </c>
      <c r="BO51" s="184">
        <f>'data 2Q21-4Q21'!BO51+'data 1Q21'!BO51</f>
        <v>0</v>
      </c>
      <c r="BP51" s="184">
        <f>'data 2Q21-4Q21'!BP51+'data 1Q21'!BP51</f>
        <v>0</v>
      </c>
      <c r="BQ51" s="184">
        <f>'data 2Q21-4Q21'!BQ51+'data 1Q21'!BQ51</f>
        <v>0</v>
      </c>
      <c r="BR51" s="184">
        <f>'data 2Q21-4Q21'!BR51+'data 1Q21'!BR51</f>
        <v>0</v>
      </c>
      <c r="BS51" s="184">
        <f>'data 2Q21-4Q21'!BS51+'data 1Q21'!BS51</f>
        <v>0</v>
      </c>
      <c r="BT51" s="184">
        <f>'data 2Q21-4Q21'!BT51+'data 1Q21'!BT51</f>
        <v>0</v>
      </c>
      <c r="BU51" s="184">
        <f>'data 2Q21-4Q21'!BU51+'data 1Q21'!BU51</f>
        <v>0</v>
      </c>
      <c r="BV51" s="184">
        <f>'data 2Q21-4Q21'!BV51+'data 1Q21'!BV51</f>
        <v>0</v>
      </c>
      <c r="BW51" s="184">
        <f>'data 2Q21-4Q21'!BW51+'data 1Q21'!BW51</f>
        <v>0</v>
      </c>
      <c r="BX51" s="184">
        <f>'data 2Q21-4Q21'!BX51+'data 1Q21'!BX51</f>
        <v>0</v>
      </c>
      <c r="BY51" s="184">
        <f>'data 2Q21-4Q21'!BY51+'data 1Q21'!BY51</f>
        <v>0</v>
      </c>
      <c r="BZ51" s="184">
        <f>'data 2Q21-4Q21'!BZ51+'data 1Q21'!BZ51</f>
        <v>0</v>
      </c>
      <c r="CA51" s="184">
        <f>'data 2Q21-4Q21'!CA51+'data 1Q21'!CA51</f>
        <v>0</v>
      </c>
      <c r="CB51" s="184">
        <f>'data 2Q21-4Q21'!CB51+'data 1Q21'!CB51</f>
        <v>0</v>
      </c>
      <c r="CC51" s="184">
        <f>'data 2Q21-4Q21'!CC51+'data 1Q21'!CC51</f>
        <v>0</v>
      </c>
      <c r="CD51" s="195"/>
      <c r="CE51" s="195">
        <f>SUM(C51:CD51)</f>
        <v>4947736.2</v>
      </c>
      <c r="CF51" s="373">
        <f>'data 2Q21-4Q21'!CE51</f>
        <v>4947736.2</v>
      </c>
      <c r="CG51" s="373">
        <f>'data 1Q21 (2)'!CE51</f>
        <v>0</v>
      </c>
      <c r="CH51" s="180">
        <f t="shared" si="0"/>
        <v>0</v>
      </c>
    </row>
    <row r="52" spans="1:86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  <c r="CF52" s="373">
        <f>'data 2Q21-4Q21'!CE52</f>
        <v>0</v>
      </c>
      <c r="CG52" s="373">
        <f>'data 1Q21 (2)'!CE52</f>
        <v>0</v>
      </c>
      <c r="CH52" s="180">
        <f t="shared" si="0"/>
        <v>0</v>
      </c>
    </row>
    <row r="53" spans="1:86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373">
        <f>'data 2Q21-4Q21'!CE53</f>
        <v>0</v>
      </c>
      <c r="CG53" s="373">
        <f>'data 1Q21 (2)'!CE53</f>
        <v>0</v>
      </c>
      <c r="CH53" s="180">
        <f t="shared" si="0"/>
        <v>0</v>
      </c>
    </row>
    <row r="54" spans="1:86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373"/>
      <c r="CG54" s="373"/>
    </row>
    <row r="55" spans="1:86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  <c r="CF55" s="373"/>
      <c r="CG55" s="373"/>
    </row>
    <row r="56" spans="1:86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  <c r="CF56" s="373"/>
      <c r="CG56" s="373"/>
    </row>
    <row r="57" spans="1:86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  <c r="CF57" s="373"/>
      <c r="CG57" s="373"/>
    </row>
    <row r="58" spans="1:86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  <c r="CF58" s="373"/>
      <c r="CG58" s="373"/>
    </row>
    <row r="59" spans="1:86" ht="12.65" customHeight="1">
      <c r="A59" s="171" t="s">
        <v>233</v>
      </c>
      <c r="B59" s="175"/>
      <c r="C59" s="184">
        <f>'data 2Q21-4Q21'!C59+'data 1Q21'!C59</f>
        <v>6723</v>
      </c>
      <c r="D59" s="184">
        <f>'data 2Q21-4Q21'!D59+'data 1Q21'!D59</f>
        <v>4939</v>
      </c>
      <c r="E59" s="184">
        <f>'data 2Q21-4Q21'!E59+'data 1Q21'!E59</f>
        <v>2116</v>
      </c>
      <c r="F59" s="184">
        <f>'data 2Q21-4Q21'!F59+'data 1Q21'!F59</f>
        <v>0</v>
      </c>
      <c r="G59" s="184">
        <f>'data 2Q21-4Q21'!G59+'data 1Q21'!G59</f>
        <v>0</v>
      </c>
      <c r="H59" s="184">
        <f>'data 2Q21-4Q21'!H59+'data 1Q21'!H59</f>
        <v>0</v>
      </c>
      <c r="I59" s="184">
        <f>'data 2Q21-4Q21'!I59+'data 1Q21'!I59</f>
        <v>0</v>
      </c>
      <c r="J59" s="184">
        <f>'data 2Q21-4Q21'!J59+'data 1Q21'!J59</f>
        <v>233</v>
      </c>
      <c r="K59" s="184">
        <f>'data 2Q21-4Q21'!K59+'data 1Q21'!K59</f>
        <v>0</v>
      </c>
      <c r="L59" s="184">
        <f>'data 2Q21-4Q21'!L59+'data 1Q21'!L59</f>
        <v>0</v>
      </c>
      <c r="M59" s="184">
        <f>'data 2Q21-4Q21'!M59+'data 1Q21'!M59</f>
        <v>0</v>
      </c>
      <c r="N59" s="184">
        <f>'data 2Q21-4Q21'!N59+'data 1Q21'!N59</f>
        <v>0</v>
      </c>
      <c r="O59" s="184">
        <f>'data 2Q21-4Q21'!O59+'data 1Q21'!O59</f>
        <v>7707</v>
      </c>
      <c r="P59" s="184">
        <f>'data 2Q21-4Q21'!P59+'data 1Q21'!P59</f>
        <v>80002</v>
      </c>
      <c r="Q59" s="184">
        <f>'data 2Q21-4Q21'!Q59+'data 1Q21'!Q59</f>
        <v>70645</v>
      </c>
      <c r="R59" s="184">
        <f>'data 2Q21-4Q21'!R59+'data 1Q21'!R59</f>
        <v>94279</v>
      </c>
      <c r="S59" s="246"/>
      <c r="T59" s="246"/>
      <c r="U59" s="184">
        <f>'data 2Q21-4Q21'!U59+'data 1Q21'!U59</f>
        <v>54906</v>
      </c>
      <c r="V59" s="184">
        <f>'data 2Q21-4Q21'!V59+'data 1Q21'!V59</f>
        <v>0</v>
      </c>
      <c r="W59" s="184">
        <f>'data 2Q21-4Q21'!W59+'data 1Q21'!W59</f>
        <v>133</v>
      </c>
      <c r="X59" s="184">
        <f>'data 2Q21-4Q21'!X59+'data 1Q21'!X59</f>
        <v>4138</v>
      </c>
      <c r="Y59" s="184">
        <f>'data 2Q21-4Q21'!Y59+'data 1Q21'!Y59</f>
        <v>6391</v>
      </c>
      <c r="Z59" s="184">
        <f>'data 2Q21-4Q21'!Z59+'data 1Q21'!Z59</f>
        <v>3703</v>
      </c>
      <c r="AA59" s="184">
        <f>'data 2Q21-4Q21'!AA59+'data 1Q21'!AA59</f>
        <v>312</v>
      </c>
      <c r="AB59" s="246"/>
      <c r="AC59" s="184">
        <f>'data 2Q21-4Q21'!AC59+'data 1Q21'!AC59</f>
        <v>345</v>
      </c>
      <c r="AD59" s="184">
        <f>'data 2Q21-4Q21'!AD59+'data 1Q21'!AD59</f>
        <v>0</v>
      </c>
      <c r="AE59" s="184">
        <f>'data 2Q21-4Q21'!AE59+'data 1Q21'!AE59</f>
        <v>4743</v>
      </c>
      <c r="AF59" s="184">
        <f>'data 2Q21-4Q21'!AF59+'data 1Q21'!AF59</f>
        <v>0</v>
      </c>
      <c r="AG59" s="184">
        <f>'data 2Q21-4Q21'!AG59+'data 1Q21'!AG59</f>
        <v>3556</v>
      </c>
      <c r="AH59" s="184">
        <f>'data 2Q21-4Q21'!AH59+'data 1Q21'!AH59</f>
        <v>0</v>
      </c>
      <c r="AI59" s="184">
        <f>'data 2Q21-4Q21'!AI59+'data 1Q21'!AI59</f>
        <v>1967</v>
      </c>
      <c r="AJ59" s="184">
        <f>'data 2Q21-4Q21'!AJ59+'data 1Q21'!AJ59</f>
        <v>0</v>
      </c>
      <c r="AK59" s="184">
        <f>'data 2Q21-4Q21'!AK59+'data 1Q21'!AK59</f>
        <v>957</v>
      </c>
      <c r="AL59" s="184">
        <f>'data 2Q21-4Q21'!AL59+'data 1Q21'!AL59</f>
        <v>0</v>
      </c>
      <c r="AM59" s="184">
        <f>'data 2Q21-4Q21'!AM59+'data 1Q21'!AM59</f>
        <v>0</v>
      </c>
      <c r="AN59" s="184">
        <f>'data 2Q21-4Q21'!AN59+'data 1Q21'!AN59</f>
        <v>0</v>
      </c>
      <c r="AO59" s="184">
        <f>'data 2Q21-4Q21'!AO59+'data 1Q21'!AO59</f>
        <v>0</v>
      </c>
      <c r="AP59" s="184">
        <f>'data 2Q21-4Q21'!AP59+'data 1Q21'!AP59</f>
        <v>0</v>
      </c>
      <c r="AQ59" s="184">
        <f>'data 2Q21-4Q21'!AQ59+'data 1Q21'!AQ59</f>
        <v>0</v>
      </c>
      <c r="AR59" s="184">
        <f>'data 2Q21-4Q21'!AR59+'data 1Q21'!AR59</f>
        <v>0</v>
      </c>
      <c r="AS59" s="184">
        <f>'data 2Q21-4Q21'!AS59+'data 1Q21'!AS59</f>
        <v>0</v>
      </c>
      <c r="AT59" s="184">
        <f>'data 2Q21-4Q21'!AT59+'data 1Q21'!AT59</f>
        <v>0</v>
      </c>
      <c r="AU59" s="184">
        <f>'data 2Q21-4Q21'!AU59+'data 1Q21'!AU59</f>
        <v>0</v>
      </c>
      <c r="AV59" s="246"/>
      <c r="AW59" s="246"/>
      <c r="AX59" s="246"/>
      <c r="AY59" s="185">
        <v>42236</v>
      </c>
      <c r="AZ59" s="184">
        <f>'data 2Q21-4Q21'!AZ59+'data 1Q21'!AZ59</f>
        <v>0</v>
      </c>
      <c r="BA59" s="246"/>
      <c r="BB59" s="246"/>
      <c r="BC59" s="246"/>
      <c r="BD59" s="246"/>
      <c r="BE59" s="369">
        <v>209704.37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  <c r="CF59" s="373">
        <f>'data 2Q21-4Q21'!CE59</f>
        <v>0</v>
      </c>
      <c r="CG59" s="373">
        <f>'data 1Q21 (2)'!CE59</f>
        <v>0</v>
      </c>
      <c r="CH59" s="180">
        <f t="shared" si="0"/>
        <v>0</v>
      </c>
    </row>
    <row r="60" spans="1:86" ht="12.65" customHeight="1">
      <c r="A60" s="248" t="s">
        <v>234</v>
      </c>
      <c r="B60" s="175"/>
      <c r="C60" s="184">
        <f>'data 2Q21-4Q21'!C60+'data 1Q21'!C60</f>
        <v>97.418928075980972</v>
      </c>
      <c r="D60" s="184">
        <f>'data 2Q21-4Q21'!D60+'data 1Q21'!D60</f>
        <v>0</v>
      </c>
      <c r="E60" s="184">
        <f>'data 2Q21-4Q21'!E60+'data 1Q21'!E60</f>
        <v>71.397639721359226</v>
      </c>
      <c r="F60" s="184">
        <f>'data 2Q21-4Q21'!F60+'data 1Q21'!F60</f>
        <v>19.115245202860926</v>
      </c>
      <c r="G60" s="184">
        <f>'data 2Q21-4Q21'!G60+'data 1Q21'!G60</f>
        <v>0</v>
      </c>
      <c r="H60" s="184">
        <f>'data 2Q21-4Q21'!H60+'data 1Q21'!H60</f>
        <v>0</v>
      </c>
      <c r="I60" s="184">
        <f>'data 2Q21-4Q21'!I60+'data 1Q21'!I60</f>
        <v>0</v>
      </c>
      <c r="J60" s="184">
        <f>'data 2Q21-4Q21'!J60+'data 1Q21'!J60</f>
        <v>0</v>
      </c>
      <c r="K60" s="184">
        <f>'data 2Q21-4Q21'!K60+'data 1Q21'!K60</f>
        <v>0</v>
      </c>
      <c r="L60" s="184">
        <f>'data 2Q21-4Q21'!L60+'data 1Q21'!L60</f>
        <v>0</v>
      </c>
      <c r="M60" s="184">
        <f>'data 2Q21-4Q21'!M60+'data 1Q21'!M60</f>
        <v>0</v>
      </c>
      <c r="N60" s="184">
        <f>'data 2Q21-4Q21'!N60+'data 1Q21'!N60</f>
        <v>0</v>
      </c>
      <c r="O60" s="184">
        <f>'data 2Q21-4Q21'!O60+'data 1Q21'!O60</f>
        <v>27.660945890409462</v>
      </c>
      <c r="P60" s="184">
        <f>'data 2Q21-4Q21'!P60+'data 1Q21'!P60</f>
        <v>33.905226710117091</v>
      </c>
      <c r="Q60" s="184">
        <f>'data 2Q21-4Q21'!Q60+'data 1Q21'!Q60</f>
        <v>6.22</v>
      </c>
      <c r="R60" s="184">
        <f>'data 2Q21-4Q21'!R60+'data 1Q21'!R60</f>
        <v>8.3859198621224778</v>
      </c>
      <c r="S60" s="184">
        <f>'data 2Q21-4Q21'!S60+'data 1Q21'!S60</f>
        <v>20.372798628737975</v>
      </c>
      <c r="T60" s="184">
        <f>'data 2Q21-4Q21'!T60+'data 1Q21'!T60</f>
        <v>0</v>
      </c>
      <c r="U60" s="184">
        <f>'data 2Q21-4Q21'!U60+'data 1Q21'!U60</f>
        <v>34.546083559462183</v>
      </c>
      <c r="V60" s="184">
        <f>'data 2Q21-4Q21'!V60+'data 1Q21'!V60</f>
        <v>0</v>
      </c>
      <c r="W60" s="184">
        <f>'data 2Q21-4Q21'!W60+'data 1Q21'!W60</f>
        <v>2.5259541094306912</v>
      </c>
      <c r="X60" s="184">
        <f>'data 2Q21-4Q21'!X60+'data 1Q21'!X60</f>
        <v>7.7456212325430664</v>
      </c>
      <c r="Y60" s="184">
        <f>'data 2Q21-4Q21'!Y60+'data 1Q21'!Y60</f>
        <v>54.408334928315298</v>
      </c>
      <c r="Z60" s="184">
        <f>'data 2Q21-4Q21'!Z60+'data 1Q21'!Z60</f>
        <v>11.571042465008077</v>
      </c>
      <c r="AA60" s="184">
        <f>'data 2Q21-4Q21'!AA60+'data 1Q21'!AA60</f>
        <v>3.0766643833401828</v>
      </c>
      <c r="AB60" s="184">
        <f>'data 2Q21-4Q21'!AB60+'data 1Q21'!AB60</f>
        <v>10.358971916520687</v>
      </c>
      <c r="AC60" s="184">
        <f>'data 2Q21-4Q21'!AC60+'data 1Q21'!AC60</f>
        <v>19.964032875593968</v>
      </c>
      <c r="AD60" s="184">
        <f>'data 2Q21-4Q21'!AD60+'data 1Q21'!AD60</f>
        <v>0</v>
      </c>
      <c r="AE60" s="184">
        <f>'data 2Q21-4Q21'!AE60+'data 1Q21'!AE60</f>
        <v>15.020234930557503</v>
      </c>
      <c r="AF60" s="184">
        <f>'data 2Q21-4Q21'!AF60+'data 1Q21'!AF60</f>
        <v>0</v>
      </c>
      <c r="AG60" s="184">
        <f>'data 2Q21-4Q21'!AG60+'data 1Q21'!AG60</f>
        <v>41.871262326013522</v>
      </c>
      <c r="AH60" s="184">
        <f>'data 2Q21-4Q21'!AH60+'data 1Q21'!AH60</f>
        <v>0</v>
      </c>
      <c r="AI60" s="184">
        <f>'data 2Q21-4Q21'!AI60+'data 1Q21'!AI60</f>
        <v>31.639090409212454</v>
      </c>
      <c r="AJ60" s="184">
        <f>'data 2Q21-4Q21'!AJ60+'data 1Q21'!AJ60</f>
        <v>2.3019356161230222</v>
      </c>
      <c r="AK60" s="184">
        <f>'data 2Q21-4Q21'!AK60+'data 1Q21'!AK60</f>
        <v>1.5679527396400066</v>
      </c>
      <c r="AL60" s="184">
        <f>'data 2Q21-4Q21'!AL60+'data 1Q21'!AL60</f>
        <v>0</v>
      </c>
      <c r="AM60" s="184">
        <f>'data 2Q21-4Q21'!AM60+'data 1Q21'!AM60</f>
        <v>0</v>
      </c>
      <c r="AN60" s="184">
        <f>'data 2Q21-4Q21'!AN60+'data 1Q21'!AN60</f>
        <v>0</v>
      </c>
      <c r="AO60" s="184">
        <f>'data 2Q21-4Q21'!AO60+'data 1Q21'!AO60</f>
        <v>0</v>
      </c>
      <c r="AP60" s="184">
        <f>'data 2Q21-4Q21'!AP60+'data 1Q21'!AP60</f>
        <v>0</v>
      </c>
      <c r="AQ60" s="184">
        <f>'data 2Q21-4Q21'!AQ60+'data 1Q21'!AQ60</f>
        <v>0</v>
      </c>
      <c r="AR60" s="184">
        <f>'data 2Q21-4Q21'!AR60+'data 1Q21'!AR60</f>
        <v>0</v>
      </c>
      <c r="AS60" s="184">
        <f>'data 2Q21-4Q21'!AS60+'data 1Q21'!AS60</f>
        <v>0</v>
      </c>
      <c r="AT60" s="184">
        <f>'data 2Q21-4Q21'!AT60+'data 1Q21'!AT60</f>
        <v>0</v>
      </c>
      <c r="AU60" s="184">
        <f>'data 2Q21-4Q21'!AU60+'data 1Q21'!AU60</f>
        <v>0</v>
      </c>
      <c r="AV60" s="184">
        <f>'data 2Q21-4Q21'!AV60+'data 1Q21'!AV60</f>
        <v>43.958232874835858</v>
      </c>
      <c r="AW60" s="184">
        <f>'data 2Q21-4Q21'!AW60+'data 1Q21'!AW60</f>
        <v>0</v>
      </c>
      <c r="AX60" s="184">
        <f>'data 2Q21-4Q21'!AX60+'data 1Q21'!AX60</f>
        <v>0</v>
      </c>
      <c r="AY60" s="184">
        <f>'data 2Q21-4Q21'!AY60+'data 1Q21'!AY60</f>
        <v>34.595834244326596</v>
      </c>
      <c r="AZ60" s="184">
        <f>'data 2Q21-4Q21'!AZ60+'data 1Q21'!AZ60</f>
        <v>0</v>
      </c>
      <c r="BA60" s="184">
        <f>'data 2Q21-4Q21'!BA60+'data 1Q21'!BA60</f>
        <v>0</v>
      </c>
      <c r="BB60" s="184">
        <f>'data 2Q21-4Q21'!BB60+'data 1Q21'!BB60</f>
        <v>7.19</v>
      </c>
      <c r="BC60" s="184">
        <f>'data 2Q21-4Q21'!BC60+'data 1Q21'!BC60</f>
        <v>0</v>
      </c>
      <c r="BD60" s="184">
        <f>'data 2Q21-4Q21'!BD60+'data 1Q21'!BD60</f>
        <v>5.5593664375946075</v>
      </c>
      <c r="BE60" s="184">
        <f>'data 2Q21-4Q21'!BE60+'data 1Q21'!BE60</f>
        <v>19.196061643162185</v>
      </c>
      <c r="BF60" s="184">
        <f>'data 2Q21-4Q21'!BF60+'data 1Q21'!BF60</f>
        <v>35.826861641633307</v>
      </c>
      <c r="BG60" s="184">
        <f>'data 2Q21-4Q21'!BG60+'data 1Q21'!BG60</f>
        <v>2.7948294518609824</v>
      </c>
      <c r="BH60" s="184">
        <f>'data 2Q21-4Q21'!BH60+'data 1Q21'!BH60</f>
        <v>5.44</v>
      </c>
      <c r="BI60" s="184">
        <f>'data 2Q21-4Q21'!BI60+'data 1Q21'!BI60</f>
        <v>0</v>
      </c>
      <c r="BJ60" s="184">
        <f>'data 2Q21-4Q21'!BJ60+'data 1Q21'!BJ60</f>
        <v>6.5242273969733944</v>
      </c>
      <c r="BK60" s="184">
        <f>'data 2Q21-4Q21'!BK60+'data 1Q21'!BK60</f>
        <v>0</v>
      </c>
      <c r="BL60" s="184">
        <f>'data 2Q21-4Q21'!BL60+'data 1Q21'!BL60</f>
        <v>5.6682410955303784</v>
      </c>
      <c r="BM60" s="184">
        <f>'data 2Q21-4Q21'!BM60+'data 1Q21'!BM60</f>
        <v>16.420000000000002</v>
      </c>
      <c r="BN60" s="184">
        <f>'data 2Q21-4Q21'!BN60+'data 1Q21'!BN60</f>
        <v>17.676326711922421</v>
      </c>
      <c r="BO60" s="184">
        <f>'data 2Q21-4Q21'!BO60+'data 1Q21'!BO60</f>
        <v>0</v>
      </c>
      <c r="BP60" s="184">
        <f>'data 2Q21-4Q21'!BP60+'data 1Q21'!BP60</f>
        <v>1.07</v>
      </c>
      <c r="BQ60" s="184">
        <f>'data 2Q21-4Q21'!BQ60+'data 1Q21'!BQ60</f>
        <v>0</v>
      </c>
      <c r="BR60" s="184">
        <f>'data 2Q21-4Q21'!BR60+'data 1Q21'!BR60</f>
        <v>4.75</v>
      </c>
      <c r="BS60" s="184">
        <f>'data 2Q21-4Q21'!BS60+'data 1Q21'!BS60</f>
        <v>0</v>
      </c>
      <c r="BT60" s="184">
        <f>'data 2Q21-4Q21'!BT60+'data 1Q21'!BT60</f>
        <v>0</v>
      </c>
      <c r="BU60" s="184">
        <f>'data 2Q21-4Q21'!BU60+'data 1Q21'!BU60</f>
        <v>0</v>
      </c>
      <c r="BV60" s="184">
        <f>'data 2Q21-4Q21'!BV60+'data 1Q21'!BV60</f>
        <v>11.21</v>
      </c>
      <c r="BW60" s="184">
        <f>'data 2Q21-4Q21'!BW60+'data 1Q21'!BW60</f>
        <v>2.6677102737742864</v>
      </c>
      <c r="BX60" s="184">
        <f>'data 2Q21-4Q21'!BX60+'data 1Q21'!BX60</f>
        <v>8.8354767115787016</v>
      </c>
      <c r="BY60" s="184">
        <f>'data 2Q21-4Q21'!BY60+'data 1Q21'!BY60</f>
        <v>8.5003486292561163</v>
      </c>
      <c r="BZ60" s="184">
        <f>'data 2Q21-4Q21'!BZ60+'data 1Q21'!BZ60</f>
        <v>0</v>
      </c>
      <c r="CA60" s="184">
        <f>'data 2Q21-4Q21'!CA60+'data 1Q21'!CA60</f>
        <v>1.87</v>
      </c>
      <c r="CB60" s="184">
        <f>'data 2Q21-4Q21'!CB60+'data 1Q21'!CB60</f>
        <v>0</v>
      </c>
      <c r="CC60" s="184">
        <f>'data 2Q21-4Q21'!CC60+'data 1Q21'!CC60</f>
        <v>39.521443830202543</v>
      </c>
      <c r="CD60" s="247" t="s">
        <v>221</v>
      </c>
      <c r="CE60" s="249">
        <f t="shared" ref="CE60:CE70" si="1">SUM(C60:CD60)</f>
        <v>800.34884652600056</v>
      </c>
      <c r="CF60" s="373">
        <f>'data 2Q21-4Q21'!CE60</f>
        <v>360.19884652600024</v>
      </c>
      <c r="CG60" s="373">
        <f>'data 1Q21 (2)'!CE60</f>
        <v>440.15000000000009</v>
      </c>
      <c r="CH60" s="180">
        <f>CF60+CG60-CE60</f>
        <v>0</v>
      </c>
    </row>
    <row r="61" spans="1:86" ht="12.65" customHeight="1">
      <c r="A61" s="171" t="s">
        <v>235</v>
      </c>
      <c r="B61" s="175"/>
      <c r="C61" s="184">
        <f>'data 2Q21-4Q21'!C61+'data 1Q21'!C61</f>
        <v>6548203.3300000001</v>
      </c>
      <c r="D61" s="184">
        <f>'data 2Q21-4Q21'!D61+'data 1Q21'!D61</f>
        <v>0</v>
      </c>
      <c r="E61" s="184">
        <f>'data 2Q21-4Q21'!E61+'data 1Q21'!E61</f>
        <v>4507997.07</v>
      </c>
      <c r="F61" s="184">
        <f>'data 2Q21-4Q21'!F61+'data 1Q21'!F61</f>
        <v>2317226.1800000002</v>
      </c>
      <c r="G61" s="184">
        <f>'data 2Q21-4Q21'!G61+'data 1Q21'!G61</f>
        <v>0</v>
      </c>
      <c r="H61" s="184">
        <f>'data 2Q21-4Q21'!H61+'data 1Q21'!H61</f>
        <v>0</v>
      </c>
      <c r="I61" s="184">
        <f>'data 2Q21-4Q21'!I61+'data 1Q21'!I61</f>
        <v>0</v>
      </c>
      <c r="J61" s="184">
        <f>'data 2Q21-4Q21'!J61+'data 1Q21'!J61</f>
        <v>0</v>
      </c>
      <c r="K61" s="184">
        <f>'data 2Q21-4Q21'!K61+'data 1Q21'!K61</f>
        <v>0</v>
      </c>
      <c r="L61" s="184">
        <f>'data 2Q21-4Q21'!L61+'data 1Q21'!L61</f>
        <v>0</v>
      </c>
      <c r="M61" s="184">
        <f>'data 2Q21-4Q21'!M61+'data 1Q21'!M61</f>
        <v>0</v>
      </c>
      <c r="N61" s="184">
        <f>'data 2Q21-4Q21'!N61+'data 1Q21'!N61</f>
        <v>0</v>
      </c>
      <c r="O61" s="184">
        <f>'data 2Q21-4Q21'!O61+'data 1Q21'!O61</f>
        <v>733629.14</v>
      </c>
      <c r="P61" s="184">
        <f>'data 2Q21-4Q21'!P61+'data 1Q21'!P61</f>
        <v>2342193.4500000002</v>
      </c>
      <c r="Q61" s="184">
        <f>'data 2Q21-4Q21'!Q61+'data 1Q21'!Q61</f>
        <v>232451</v>
      </c>
      <c r="R61" s="184">
        <f>'data 2Q21-4Q21'!R61+'data 1Q21'!R61</f>
        <v>937833.73999999987</v>
      </c>
      <c r="S61" s="184">
        <f>'data 2Q21-4Q21'!S61+'data 1Q21'!S61</f>
        <v>850640.74</v>
      </c>
      <c r="T61" s="184">
        <f>'data 2Q21-4Q21'!T61+'data 1Q21'!T61</f>
        <v>0</v>
      </c>
      <c r="U61" s="184">
        <f>'data 2Q21-4Q21'!U61+'data 1Q21'!U61</f>
        <v>1488360.32</v>
      </c>
      <c r="V61" s="184">
        <f>'data 2Q21-4Q21'!V61+'data 1Q21'!V61</f>
        <v>0</v>
      </c>
      <c r="W61" s="184">
        <f>'data 2Q21-4Q21'!W61+'data 1Q21'!W61</f>
        <v>181408.75</v>
      </c>
      <c r="X61" s="184">
        <f>'data 2Q21-4Q21'!X61+'data 1Q21'!X61</f>
        <v>360117.17</v>
      </c>
      <c r="Y61" s="184">
        <f>'data 2Q21-4Q21'!Y61+'data 1Q21'!Y61</f>
        <v>3618673.6100000003</v>
      </c>
      <c r="Z61" s="184">
        <f>'data 2Q21-4Q21'!Z61+'data 1Q21'!Z61</f>
        <v>612258.16999999993</v>
      </c>
      <c r="AA61" s="184">
        <f>'data 2Q21-4Q21'!AA61+'data 1Q21'!AA61</f>
        <v>211584.71000000002</v>
      </c>
      <c r="AB61" s="184">
        <f>'data 2Q21-4Q21'!AB61+'data 1Q21'!AB61</f>
        <v>1390643.09</v>
      </c>
      <c r="AC61" s="184">
        <f>'data 2Q21-4Q21'!AC61+'data 1Q21'!AC61</f>
        <v>1141914.73</v>
      </c>
      <c r="AD61" s="184">
        <f>'data 2Q21-4Q21'!AD61+'data 1Q21'!AD61</f>
        <v>0</v>
      </c>
      <c r="AE61" s="184">
        <f>'data 2Q21-4Q21'!AE61+'data 1Q21'!AE61</f>
        <v>703926.62</v>
      </c>
      <c r="AF61" s="184">
        <f>'data 2Q21-4Q21'!AF61+'data 1Q21'!AF61</f>
        <v>0</v>
      </c>
      <c r="AG61" s="184">
        <f>'data 2Q21-4Q21'!AG61+'data 1Q21'!AG61</f>
        <v>3579672.76</v>
      </c>
      <c r="AH61" s="184">
        <f>'data 2Q21-4Q21'!AH61+'data 1Q21'!AH61</f>
        <v>0</v>
      </c>
      <c r="AI61" s="184">
        <f>'data 2Q21-4Q21'!AI61+'data 1Q21'!AI61</f>
        <v>1952100.0299999998</v>
      </c>
      <c r="AJ61" s="184">
        <f>'data 2Q21-4Q21'!AJ61+'data 1Q21'!AJ61</f>
        <v>208731.87</v>
      </c>
      <c r="AK61" s="184">
        <f>'data 2Q21-4Q21'!AK61+'data 1Q21'!AK61</f>
        <v>99681.72</v>
      </c>
      <c r="AL61" s="184">
        <f>'data 2Q21-4Q21'!AL61+'data 1Q21'!AL61</f>
        <v>50145</v>
      </c>
      <c r="AM61" s="184">
        <f>'data 2Q21-4Q21'!AM61+'data 1Q21'!AM61</f>
        <v>0</v>
      </c>
      <c r="AN61" s="184">
        <f>'data 2Q21-4Q21'!AN61+'data 1Q21'!AN61</f>
        <v>0</v>
      </c>
      <c r="AO61" s="184">
        <f>'data 2Q21-4Q21'!AO61+'data 1Q21'!AO61</f>
        <v>0</v>
      </c>
      <c r="AP61" s="184">
        <f>'data 2Q21-4Q21'!AP61+'data 1Q21'!AP61</f>
        <v>0</v>
      </c>
      <c r="AQ61" s="184">
        <f>'data 2Q21-4Q21'!AQ61+'data 1Q21'!AQ61</f>
        <v>0</v>
      </c>
      <c r="AR61" s="184">
        <f>'data 2Q21-4Q21'!AR61+'data 1Q21'!AR61</f>
        <v>0</v>
      </c>
      <c r="AS61" s="184">
        <f>'data 2Q21-4Q21'!AS61+'data 1Q21'!AS61</f>
        <v>0</v>
      </c>
      <c r="AT61" s="184">
        <f>'data 2Q21-4Q21'!AT61+'data 1Q21'!AT61</f>
        <v>0</v>
      </c>
      <c r="AU61" s="184">
        <f>'data 2Q21-4Q21'!AU61+'data 1Q21'!AU61</f>
        <v>0</v>
      </c>
      <c r="AV61" s="184">
        <f>'data 2Q21-4Q21'!AV61+'data 1Q21'!AV61</f>
        <v>1250418.69</v>
      </c>
      <c r="AW61" s="184">
        <f>'data 2Q21-4Q21'!AW61+'data 1Q21'!AW61</f>
        <v>0</v>
      </c>
      <c r="AX61" s="184">
        <f>'data 2Q21-4Q21'!AX61+'data 1Q21'!AX61</f>
        <v>0</v>
      </c>
      <c r="AY61" s="184">
        <f>'data 2Q21-4Q21'!AY61+'data 1Q21'!AY61</f>
        <v>963010.2699999999</v>
      </c>
      <c r="AZ61" s="184">
        <f>'data 2Q21-4Q21'!AZ61+'data 1Q21'!AZ61</f>
        <v>0</v>
      </c>
      <c r="BA61" s="184">
        <f>'data 2Q21-4Q21'!BA61+'data 1Q21'!BA61</f>
        <v>0</v>
      </c>
      <c r="BB61" s="184">
        <f>'data 2Q21-4Q21'!BB61+'data 1Q21'!BB61</f>
        <v>174039</v>
      </c>
      <c r="BC61" s="184">
        <f>'data 2Q21-4Q21'!BC61+'data 1Q21'!BC61</f>
        <v>0</v>
      </c>
      <c r="BD61" s="184">
        <f>'data 2Q21-4Q21'!BD61+'data 1Q21'!BD61</f>
        <v>464084.66000000003</v>
      </c>
      <c r="BE61" s="184">
        <f>'data 2Q21-4Q21'!BE61+'data 1Q21'!BE61</f>
        <v>655375.59000000008</v>
      </c>
      <c r="BF61" s="184">
        <f>'data 2Q21-4Q21'!BF61+'data 1Q21'!BF61</f>
        <v>725006.85000000009</v>
      </c>
      <c r="BG61" s="184">
        <f>'data 2Q21-4Q21'!BG61+'data 1Q21'!BG61</f>
        <v>65025.85</v>
      </c>
      <c r="BH61" s="184">
        <f>'data 2Q21-4Q21'!BH61+'data 1Q21'!BH61</f>
        <v>129029</v>
      </c>
      <c r="BI61" s="184">
        <f>'data 2Q21-4Q21'!BI61+'data 1Q21'!BI61</f>
        <v>0</v>
      </c>
      <c r="BJ61" s="184">
        <f>'data 2Q21-4Q21'!BJ61+'data 1Q21'!BJ61</f>
        <v>285619.46999999997</v>
      </c>
      <c r="BK61" s="184">
        <f>'data 2Q21-4Q21'!BK61+'data 1Q21'!BK61</f>
        <v>686.85</v>
      </c>
      <c r="BL61" s="184">
        <f>'data 2Q21-4Q21'!BL61+'data 1Q21'!BL61</f>
        <v>163581.21999999997</v>
      </c>
      <c r="BM61" s="184">
        <f>'data 2Q21-4Q21'!BM61+'data 1Q21'!BM61</f>
        <v>184879</v>
      </c>
      <c r="BN61" s="184">
        <f>'data 2Q21-4Q21'!BN61+'data 1Q21'!BN61</f>
        <v>1044595.8400000001</v>
      </c>
      <c r="BO61" s="184">
        <f>'data 2Q21-4Q21'!BO61+'data 1Q21'!BO61</f>
        <v>0</v>
      </c>
      <c r="BP61" s="184">
        <f>'data 2Q21-4Q21'!BP61+'data 1Q21'!BP61</f>
        <v>16562</v>
      </c>
      <c r="BQ61" s="184">
        <f>'data 2Q21-4Q21'!BQ61+'data 1Q21'!BQ61</f>
        <v>0</v>
      </c>
      <c r="BR61" s="184">
        <f>'data 2Q21-4Q21'!BR61+'data 1Q21'!BR61</f>
        <v>86565</v>
      </c>
      <c r="BS61" s="184">
        <f>'data 2Q21-4Q21'!BS61+'data 1Q21'!BS61</f>
        <v>0</v>
      </c>
      <c r="BT61" s="184">
        <f>'data 2Q21-4Q21'!BT61+'data 1Q21'!BT61</f>
        <v>0</v>
      </c>
      <c r="BU61" s="184">
        <f>'data 2Q21-4Q21'!BU61+'data 1Q21'!BU61</f>
        <v>0</v>
      </c>
      <c r="BV61" s="184">
        <f>'data 2Q21-4Q21'!BV61+'data 1Q21'!BV61</f>
        <v>176289</v>
      </c>
      <c r="BW61" s="184">
        <f>'data 2Q21-4Q21'!BW61+'data 1Q21'!BW61</f>
        <v>163284.76999999999</v>
      </c>
      <c r="BX61" s="184">
        <f>'data 2Q21-4Q21'!BX61+'data 1Q21'!BX61</f>
        <v>744399.78</v>
      </c>
      <c r="BY61" s="184">
        <f>'data 2Q21-4Q21'!BY61+'data 1Q21'!BY61</f>
        <v>974749.83000000007</v>
      </c>
      <c r="BZ61" s="184">
        <f>'data 2Q21-4Q21'!BZ61+'data 1Q21'!BZ61</f>
        <v>0</v>
      </c>
      <c r="CA61" s="184">
        <f>'data 2Q21-4Q21'!CA61+'data 1Q21'!CA61</f>
        <v>64761</v>
      </c>
      <c r="CB61" s="184">
        <f>'data 2Q21-4Q21'!CB61+'data 1Q21'!CB61</f>
        <v>0</v>
      </c>
      <c r="CC61" s="184">
        <f>'data 2Q21-4Q21'!CC61+'data 1Q21'!CC61</f>
        <v>2545129.9699999997</v>
      </c>
      <c r="CD61" s="247" t="s">
        <v>221</v>
      </c>
      <c r="CE61" s="195">
        <f>SUM(C61:CD61)</f>
        <v>44946486.840000011</v>
      </c>
      <c r="CF61" s="373">
        <f>'data 2Q21-4Q21'!CE61</f>
        <v>35438385.840000011</v>
      </c>
      <c r="CG61" s="373">
        <f>'data 1Q21 (2)'!CE61</f>
        <v>9508106</v>
      </c>
      <c r="CH61" s="180">
        <f t="shared" ref="CH61:CH75" si="2">CF61+CG61-CE61</f>
        <v>5</v>
      </c>
    </row>
    <row r="62" spans="1:86" ht="12.65" customHeight="1">
      <c r="A62" s="171" t="s">
        <v>3</v>
      </c>
      <c r="B62" s="175"/>
      <c r="C62" s="195">
        <f t="shared" ref="C62:BN62" si="3">ROUND(C47+C48,0)</f>
        <v>695713</v>
      </c>
      <c r="D62" s="195">
        <f t="shared" si="3"/>
        <v>0</v>
      </c>
      <c r="E62" s="195">
        <f t="shared" si="3"/>
        <v>498975</v>
      </c>
      <c r="F62" s="195">
        <f t="shared" si="3"/>
        <v>267192</v>
      </c>
      <c r="G62" s="195">
        <f t="shared" si="3"/>
        <v>0</v>
      </c>
      <c r="H62" s="195">
        <f t="shared" si="3"/>
        <v>0</v>
      </c>
      <c r="I62" s="195">
        <f t="shared" si="3"/>
        <v>0</v>
      </c>
      <c r="J62" s="195">
        <f>ROUND(J47+J48,0)</f>
        <v>0</v>
      </c>
      <c r="K62" s="195">
        <f t="shared" si="3"/>
        <v>0</v>
      </c>
      <c r="L62" s="195">
        <f t="shared" si="3"/>
        <v>0</v>
      </c>
      <c r="M62" s="195">
        <f t="shared" si="3"/>
        <v>0</v>
      </c>
      <c r="N62" s="195">
        <f t="shared" si="3"/>
        <v>0</v>
      </c>
      <c r="O62" s="195">
        <f t="shared" si="3"/>
        <v>54616</v>
      </c>
      <c r="P62" s="195">
        <f t="shared" si="3"/>
        <v>210934</v>
      </c>
      <c r="Q62" s="195">
        <f t="shared" si="3"/>
        <v>17529</v>
      </c>
      <c r="R62" s="195">
        <f t="shared" si="3"/>
        <v>108899</v>
      </c>
      <c r="S62" s="195">
        <f t="shared" si="3"/>
        <v>110960</v>
      </c>
      <c r="T62" s="195">
        <f t="shared" si="3"/>
        <v>0</v>
      </c>
      <c r="U62" s="195">
        <f t="shared" si="3"/>
        <v>227765</v>
      </c>
      <c r="V62" s="195">
        <f t="shared" si="3"/>
        <v>0</v>
      </c>
      <c r="W62" s="195">
        <f t="shared" si="3"/>
        <v>20130</v>
      </c>
      <c r="X62" s="195">
        <f t="shared" si="3"/>
        <v>43159</v>
      </c>
      <c r="Y62" s="195">
        <f t="shared" si="3"/>
        <v>334881</v>
      </c>
      <c r="Z62" s="195">
        <f t="shared" si="3"/>
        <v>84950</v>
      </c>
      <c r="AA62" s="195">
        <f t="shared" si="3"/>
        <v>22926</v>
      </c>
      <c r="AB62" s="195">
        <f t="shared" si="3"/>
        <v>158987</v>
      </c>
      <c r="AC62" s="195">
        <f t="shared" si="3"/>
        <v>128307</v>
      </c>
      <c r="AD62" s="195">
        <f t="shared" si="3"/>
        <v>0</v>
      </c>
      <c r="AE62" s="195">
        <f t="shared" si="3"/>
        <v>101892</v>
      </c>
      <c r="AF62" s="195">
        <f t="shared" si="3"/>
        <v>0</v>
      </c>
      <c r="AG62" s="195">
        <f t="shared" si="3"/>
        <v>354941</v>
      </c>
      <c r="AH62" s="195">
        <f t="shared" si="3"/>
        <v>0</v>
      </c>
      <c r="AI62" s="195">
        <f t="shared" si="3"/>
        <v>215882</v>
      </c>
      <c r="AJ62" s="195">
        <f t="shared" si="3"/>
        <v>32345</v>
      </c>
      <c r="AK62" s="195">
        <f t="shared" si="3"/>
        <v>12386</v>
      </c>
      <c r="AL62" s="195">
        <f t="shared" si="3"/>
        <v>0</v>
      </c>
      <c r="AM62" s="195">
        <f t="shared" si="3"/>
        <v>0</v>
      </c>
      <c r="AN62" s="195">
        <f t="shared" si="3"/>
        <v>0</v>
      </c>
      <c r="AO62" s="195">
        <f t="shared" si="3"/>
        <v>0</v>
      </c>
      <c r="AP62" s="195">
        <f t="shared" si="3"/>
        <v>0</v>
      </c>
      <c r="AQ62" s="195">
        <f t="shared" si="3"/>
        <v>0</v>
      </c>
      <c r="AR62" s="195">
        <f t="shared" si="3"/>
        <v>0</v>
      </c>
      <c r="AS62" s="195">
        <f t="shared" si="3"/>
        <v>0</v>
      </c>
      <c r="AT62" s="195">
        <f t="shared" si="3"/>
        <v>0</v>
      </c>
      <c r="AU62" s="195">
        <f t="shared" si="3"/>
        <v>0</v>
      </c>
      <c r="AV62" s="195">
        <f t="shared" si="3"/>
        <v>185332</v>
      </c>
      <c r="AW62" s="195">
        <f t="shared" si="3"/>
        <v>0</v>
      </c>
      <c r="AX62" s="195">
        <f t="shared" si="3"/>
        <v>0</v>
      </c>
      <c r="AY62" s="195">
        <f>ROUND(AY47+AY48,0)</f>
        <v>194187</v>
      </c>
      <c r="AZ62" s="195">
        <f>ROUND(AZ47+AZ48,0)</f>
        <v>0</v>
      </c>
      <c r="BA62" s="195">
        <f>ROUND(BA47+BA48,0)</f>
        <v>0</v>
      </c>
      <c r="BB62" s="195">
        <f t="shared" si="3"/>
        <v>15784</v>
      </c>
      <c r="BC62" s="195">
        <f t="shared" si="3"/>
        <v>0</v>
      </c>
      <c r="BD62" s="195">
        <f t="shared" si="3"/>
        <v>74303</v>
      </c>
      <c r="BE62" s="195">
        <f t="shared" si="3"/>
        <v>83049</v>
      </c>
      <c r="BF62" s="195">
        <f t="shared" si="3"/>
        <v>171377</v>
      </c>
      <c r="BG62" s="195">
        <f t="shared" si="3"/>
        <v>16633</v>
      </c>
      <c r="BH62" s="195">
        <f t="shared" si="3"/>
        <v>9932</v>
      </c>
      <c r="BI62" s="195">
        <f t="shared" si="3"/>
        <v>0</v>
      </c>
      <c r="BJ62" s="195">
        <f t="shared" si="3"/>
        <v>31379</v>
      </c>
      <c r="BK62" s="195">
        <f t="shared" si="3"/>
        <v>169</v>
      </c>
      <c r="BL62" s="195">
        <f t="shared" si="3"/>
        <v>30912</v>
      </c>
      <c r="BM62" s="195">
        <f t="shared" si="3"/>
        <v>13574</v>
      </c>
      <c r="BN62" s="195">
        <f t="shared" si="3"/>
        <v>318665</v>
      </c>
      <c r="BO62" s="195">
        <f t="shared" ref="BO62:CC62" si="4">ROUND(BO47+BO48,0)</f>
        <v>0</v>
      </c>
      <c r="BP62" s="195">
        <f t="shared" si="4"/>
        <v>1245</v>
      </c>
      <c r="BQ62" s="195">
        <f t="shared" si="4"/>
        <v>0</v>
      </c>
      <c r="BR62" s="195">
        <f t="shared" si="4"/>
        <v>1148366</v>
      </c>
      <c r="BS62" s="195">
        <f t="shared" si="4"/>
        <v>0</v>
      </c>
      <c r="BT62" s="195">
        <f t="shared" si="4"/>
        <v>0</v>
      </c>
      <c r="BU62" s="195">
        <f t="shared" si="4"/>
        <v>0</v>
      </c>
      <c r="BV62" s="195">
        <f t="shared" si="4"/>
        <v>13983</v>
      </c>
      <c r="BW62" s="195">
        <f t="shared" si="4"/>
        <v>23769</v>
      </c>
      <c r="BX62" s="195">
        <f t="shared" si="4"/>
        <v>65144</v>
      </c>
      <c r="BY62" s="195">
        <f t="shared" si="4"/>
        <v>120956</v>
      </c>
      <c r="BZ62" s="195">
        <f t="shared" si="4"/>
        <v>0</v>
      </c>
      <c r="CA62" s="195">
        <f t="shared" si="4"/>
        <v>4834</v>
      </c>
      <c r="CB62" s="195">
        <f t="shared" si="4"/>
        <v>0</v>
      </c>
      <c r="CC62" s="195">
        <f t="shared" si="4"/>
        <v>477673</v>
      </c>
      <c r="CD62" s="247" t="s">
        <v>221</v>
      </c>
      <c r="CE62" s="195">
        <f t="shared" si="1"/>
        <v>6704635</v>
      </c>
      <c r="CF62" s="373">
        <f>'data 2Q21-4Q21'!CE62</f>
        <v>4858739</v>
      </c>
      <c r="CG62" s="373">
        <f>'data 1Q21 (2)'!CE62</f>
        <v>1845896</v>
      </c>
      <c r="CH62" s="180">
        <f t="shared" si="2"/>
        <v>0</v>
      </c>
    </row>
    <row r="63" spans="1:86" ht="12.65" customHeight="1">
      <c r="A63" s="171" t="s">
        <v>236</v>
      </c>
      <c r="B63" s="175"/>
      <c r="C63" s="184">
        <f>'data 2Q21-4Q21'!C63+'data 1Q21 (2)'!C63</f>
        <v>617133.16999999993</v>
      </c>
      <c r="D63" s="184">
        <f>'data 2Q21-4Q21'!D63+'data 1Q21 (2)'!D63</f>
        <v>0</v>
      </c>
      <c r="E63" s="184">
        <f>'data 2Q21-4Q21'!E63+'data 1Q21 (2)'!E63</f>
        <v>0</v>
      </c>
      <c r="F63" s="184">
        <f>'data 2Q21-4Q21'!F63+'data 1Q21 (2)'!F63</f>
        <v>71435.25</v>
      </c>
      <c r="G63" s="184">
        <f>'data 2Q21-4Q21'!G63+'data 1Q21 (2)'!G63</f>
        <v>0</v>
      </c>
      <c r="H63" s="184">
        <f>'data 2Q21-4Q21'!H63+'data 1Q21 (2)'!H63</f>
        <v>0</v>
      </c>
      <c r="I63" s="184">
        <f>'data 2Q21-4Q21'!I63+'data 1Q21 (2)'!I63</f>
        <v>0</v>
      </c>
      <c r="J63" s="184">
        <f>'data 2Q21-4Q21'!J63+'data 1Q21 (2)'!J63</f>
        <v>165337</v>
      </c>
      <c r="K63" s="184">
        <f>'data 2Q21-4Q21'!K63+'data 1Q21 (2)'!K63</f>
        <v>0</v>
      </c>
      <c r="L63" s="184">
        <f>'data 2Q21-4Q21'!L63+'data 1Q21 (2)'!L63</f>
        <v>0</v>
      </c>
      <c r="M63" s="184">
        <f>'data 2Q21-4Q21'!M63+'data 1Q21 (2)'!M63</f>
        <v>0</v>
      </c>
      <c r="N63" s="184">
        <f>'data 2Q21-4Q21'!N63+'data 1Q21 (2)'!N63</f>
        <v>0</v>
      </c>
      <c r="O63" s="184">
        <f>'data 2Q21-4Q21'!O63+'data 1Q21 (2)'!O63</f>
        <v>507402</v>
      </c>
      <c r="P63" s="184">
        <f>'data 2Q21-4Q21'!P63+'data 1Q21 (2)'!P63</f>
        <v>425644.77999999997</v>
      </c>
      <c r="Q63" s="184">
        <f>'data 2Q21-4Q21'!Q63+'data 1Q21 (2)'!Q63</f>
        <v>0</v>
      </c>
      <c r="R63" s="184">
        <f>'data 2Q21-4Q21'!R63+'data 1Q21 (2)'!R63</f>
        <v>955830</v>
      </c>
      <c r="S63" s="184">
        <f>'data 2Q21-4Q21'!S63+'data 1Q21 (2)'!S63</f>
        <v>477028.85</v>
      </c>
      <c r="T63" s="184">
        <f>'data 2Q21-4Q21'!T63+'data 1Q21 (2)'!T63</f>
        <v>0</v>
      </c>
      <c r="U63" s="184">
        <f>'data 2Q21-4Q21'!U63+'data 1Q21 (2)'!U63</f>
        <v>14575.17</v>
      </c>
      <c r="V63" s="184">
        <f>'data 2Q21-4Q21'!V63+'data 1Q21 (2)'!V63</f>
        <v>0</v>
      </c>
      <c r="W63" s="184">
        <f>'data 2Q21-4Q21'!W63+'data 1Q21 (2)'!W63</f>
        <v>0</v>
      </c>
      <c r="X63" s="184">
        <f>'data 2Q21-4Q21'!X63+'data 1Q21 (2)'!X63</f>
        <v>0</v>
      </c>
      <c r="Y63" s="184">
        <f>'data 2Q21-4Q21'!Y63+'data 1Q21 (2)'!Y63</f>
        <v>495808.32000000007</v>
      </c>
      <c r="Z63" s="184">
        <f>'data 2Q21-4Q21'!Z63+'data 1Q21 (2)'!Z63</f>
        <v>53101</v>
      </c>
      <c r="AA63" s="184">
        <f>'data 2Q21-4Q21'!AA63+'data 1Q21 (2)'!AA63</f>
        <v>8972</v>
      </c>
      <c r="AB63" s="184">
        <f>'data 2Q21-4Q21'!AB63+'data 1Q21 (2)'!AB63</f>
        <v>0</v>
      </c>
      <c r="AC63" s="184">
        <f>'data 2Q21-4Q21'!AC63+'data 1Q21 (2)'!AC63</f>
        <v>30036</v>
      </c>
      <c r="AD63" s="184">
        <f>'data 2Q21-4Q21'!AD63+'data 1Q21 (2)'!AD63</f>
        <v>0</v>
      </c>
      <c r="AE63" s="184">
        <f>'data 2Q21-4Q21'!AE63+'data 1Q21 (2)'!AE63</f>
        <v>0</v>
      </c>
      <c r="AF63" s="184">
        <f>'data 2Q21-4Q21'!AF63+'data 1Q21 (2)'!AF63</f>
        <v>0</v>
      </c>
      <c r="AG63" s="184">
        <f>'data 2Q21-4Q21'!AG63+'data 1Q21 (2)'!AG63</f>
        <v>217274.30000000002</v>
      </c>
      <c r="AH63" s="184">
        <f>'data 2Q21-4Q21'!AH63+'data 1Q21 (2)'!AH63</f>
        <v>0</v>
      </c>
      <c r="AI63" s="184">
        <f>'data 2Q21-4Q21'!AI63+'data 1Q21 (2)'!AI63</f>
        <v>0</v>
      </c>
      <c r="AJ63" s="184">
        <f>'data 2Q21-4Q21'!AJ63+'data 1Q21 (2)'!AJ63</f>
        <v>0</v>
      </c>
      <c r="AK63" s="184">
        <f>'data 2Q21-4Q21'!AK63+'data 1Q21 (2)'!AK63</f>
        <v>0</v>
      </c>
      <c r="AL63" s="184">
        <f>'data 2Q21-4Q21'!AL63+'data 1Q21 (2)'!AL63</f>
        <v>0</v>
      </c>
      <c r="AM63" s="184">
        <f>'data 2Q21-4Q21'!AM63+'data 1Q21 (2)'!AM63</f>
        <v>0</v>
      </c>
      <c r="AN63" s="184">
        <f>'data 2Q21-4Q21'!AN63+'data 1Q21 (2)'!AN63</f>
        <v>0</v>
      </c>
      <c r="AO63" s="184">
        <f>'data 2Q21-4Q21'!AO63+'data 1Q21 (2)'!AO63</f>
        <v>0</v>
      </c>
      <c r="AP63" s="184">
        <f>'data 2Q21-4Q21'!AP63+'data 1Q21 (2)'!AP63</f>
        <v>0</v>
      </c>
      <c r="AQ63" s="184">
        <f>'data 2Q21-4Q21'!AQ63+'data 1Q21 (2)'!AQ63</f>
        <v>0</v>
      </c>
      <c r="AR63" s="184">
        <f>'data 2Q21-4Q21'!AR63+'data 1Q21 (2)'!AR63</f>
        <v>0</v>
      </c>
      <c r="AS63" s="184">
        <f>'data 2Q21-4Q21'!AS63+'data 1Q21 (2)'!AS63</f>
        <v>0</v>
      </c>
      <c r="AT63" s="184">
        <f>'data 2Q21-4Q21'!AT63+'data 1Q21 (2)'!AT63</f>
        <v>0</v>
      </c>
      <c r="AU63" s="184">
        <f>'data 2Q21-4Q21'!AU63+'data 1Q21 (2)'!AU63</f>
        <v>0</v>
      </c>
      <c r="AV63" s="184">
        <f>'data 2Q21-4Q21'!AV63+'data 1Q21 (2)'!AV63</f>
        <v>543210</v>
      </c>
      <c r="AW63" s="184">
        <f>'data 2Q21-4Q21'!AW63+'data 1Q21 (2)'!AW63</f>
        <v>0</v>
      </c>
      <c r="AX63" s="184">
        <f>'data 2Q21-4Q21'!AX63+'data 1Q21 (2)'!AX63</f>
        <v>0</v>
      </c>
      <c r="AY63" s="184">
        <f>'data 2Q21-4Q21'!AY63+'data 1Q21 (2)'!AY63</f>
        <v>0</v>
      </c>
      <c r="AZ63" s="184">
        <f>'data 2Q21-4Q21'!AZ63+'data 1Q21 (2)'!AZ63</f>
        <v>0</v>
      </c>
      <c r="BA63" s="184">
        <f>'data 2Q21-4Q21'!BA63+'data 1Q21 (2)'!BA63</f>
        <v>0</v>
      </c>
      <c r="BB63" s="184">
        <f>'data 2Q21-4Q21'!BB63+'data 1Q21 (2)'!BB63</f>
        <v>13749</v>
      </c>
      <c r="BC63" s="184">
        <f>'data 2Q21-4Q21'!BC63+'data 1Q21 (2)'!BC63</f>
        <v>0</v>
      </c>
      <c r="BD63" s="184">
        <f>'data 2Q21-4Q21'!BD63+'data 1Q21 (2)'!BD63</f>
        <v>5280</v>
      </c>
      <c r="BE63" s="184">
        <f>'data 2Q21-4Q21'!BE63+'data 1Q21 (2)'!BE63</f>
        <v>6543.83</v>
      </c>
      <c r="BF63" s="184">
        <f>'data 2Q21-4Q21'!BF63+'data 1Q21 (2)'!BF63</f>
        <v>0</v>
      </c>
      <c r="BG63" s="184">
        <f>'data 2Q21-4Q21'!BG63+'data 1Q21 (2)'!BG63</f>
        <v>0</v>
      </c>
      <c r="BH63" s="184">
        <f>'data 2Q21-4Q21'!BH63+'data 1Q21 (2)'!BH63</f>
        <v>0</v>
      </c>
      <c r="BI63" s="184">
        <f>'data 2Q21-4Q21'!BI63+'data 1Q21 (2)'!BI63</f>
        <v>0</v>
      </c>
      <c r="BJ63" s="184">
        <f>'data 2Q21-4Q21'!BJ63+'data 1Q21 (2)'!BJ63</f>
        <v>2756.13</v>
      </c>
      <c r="BK63" s="184">
        <f>'data 2Q21-4Q21'!BK63+'data 1Q21 (2)'!BK63</f>
        <v>-171.53999999999996</v>
      </c>
      <c r="BL63" s="184">
        <f>'data 2Q21-4Q21'!BL63+'data 1Q21 (2)'!BL63</f>
        <v>0</v>
      </c>
      <c r="BM63" s="184">
        <f>'data 2Q21-4Q21'!BM63+'data 1Q21 (2)'!BM63</f>
        <v>0</v>
      </c>
      <c r="BN63" s="184">
        <f>'data 2Q21-4Q21'!BN63+'data 1Q21 (2)'!BN63</f>
        <v>323993.06</v>
      </c>
      <c r="BO63" s="184">
        <f>'data 2Q21-4Q21'!BO63+'data 1Q21 (2)'!BO63</f>
        <v>0</v>
      </c>
      <c r="BP63" s="184">
        <f>'data 2Q21-4Q21'!BP63+'data 1Q21 (2)'!BP63</f>
        <v>0</v>
      </c>
      <c r="BQ63" s="184">
        <f>'data 2Q21-4Q21'!BQ63+'data 1Q21 (2)'!BQ63</f>
        <v>0</v>
      </c>
      <c r="BR63" s="184">
        <f>'data 2Q21-4Q21'!BR63+'data 1Q21 (2)'!BR63</f>
        <v>0</v>
      </c>
      <c r="BS63" s="184">
        <f>'data 2Q21-4Q21'!BS63+'data 1Q21 (2)'!BS63</f>
        <v>0</v>
      </c>
      <c r="BT63" s="184">
        <f>'data 2Q21-4Q21'!BT63+'data 1Q21 (2)'!BT63</f>
        <v>0</v>
      </c>
      <c r="BU63" s="184">
        <f>'data 2Q21-4Q21'!BU63+'data 1Q21 (2)'!BU63</f>
        <v>0</v>
      </c>
      <c r="BV63" s="184">
        <f>'data 2Q21-4Q21'!BV63+'data 1Q21 (2)'!BV63</f>
        <v>0</v>
      </c>
      <c r="BW63" s="184">
        <f>'data 2Q21-4Q21'!BW63+'data 1Q21 (2)'!BW63</f>
        <v>3418.5499999999984</v>
      </c>
      <c r="BX63" s="184">
        <f>'data 2Q21-4Q21'!BX63+'data 1Q21 (2)'!BX63</f>
        <v>39531</v>
      </c>
      <c r="BY63" s="184">
        <f>'data 2Q21-4Q21'!BY63+'data 1Q21 (2)'!BY63</f>
        <v>0</v>
      </c>
      <c r="BZ63" s="184">
        <f>'data 2Q21-4Q21'!BZ63+'data 1Q21 (2)'!BZ63</f>
        <v>0</v>
      </c>
      <c r="CA63" s="184">
        <f>'data 2Q21-4Q21'!CA63+'data 1Q21 (2)'!CA63</f>
        <v>0</v>
      </c>
      <c r="CB63" s="184">
        <f>'data 2Q21-4Q21'!CB63+'data 1Q21 (2)'!CB63</f>
        <v>0</v>
      </c>
      <c r="CC63" s="184">
        <f>'data 2Q21-4Q21'!CC63+'data 1Q21 (2)'!CC63</f>
        <v>212863.88999999998</v>
      </c>
      <c r="CD63" s="247" t="s">
        <v>221</v>
      </c>
      <c r="CE63" s="195">
        <f t="shared" si="1"/>
        <v>5190751.7599999988</v>
      </c>
      <c r="CF63" s="373">
        <f>'data 2Q21-4Q21'!CE63</f>
        <v>3851710.76</v>
      </c>
      <c r="CG63" s="373">
        <f>'data 1Q21 (2)'!CE63</f>
        <v>1339041</v>
      </c>
      <c r="CH63" s="180">
        <f t="shared" si="2"/>
        <v>0</v>
      </c>
    </row>
    <row r="64" spans="1:86" ht="12.65" customHeight="1">
      <c r="A64" s="171" t="s">
        <v>237</v>
      </c>
      <c r="B64" s="175"/>
      <c r="C64" s="184">
        <f>'data 2Q21-4Q21'!C64+'data 1Q21 (2)'!C64</f>
        <v>613387.12</v>
      </c>
      <c r="D64" s="184">
        <f>'data 2Q21-4Q21'!D64+'data 1Q21 (2)'!D64</f>
        <v>0</v>
      </c>
      <c r="E64" s="184">
        <f>'data 2Q21-4Q21'!E64+'data 1Q21 (2)'!E64</f>
        <v>4196105.9399999995</v>
      </c>
      <c r="F64" s="184">
        <f>'data 2Q21-4Q21'!F64+'data 1Q21 (2)'!F64</f>
        <v>260112.49999999997</v>
      </c>
      <c r="G64" s="184">
        <f>'data 2Q21-4Q21'!G64+'data 1Q21 (2)'!G64</f>
        <v>0</v>
      </c>
      <c r="H64" s="184">
        <f>'data 2Q21-4Q21'!H64+'data 1Q21 (2)'!H64</f>
        <v>0</v>
      </c>
      <c r="I64" s="184">
        <f>'data 2Q21-4Q21'!I64+'data 1Q21 (2)'!I64</f>
        <v>0</v>
      </c>
      <c r="J64" s="184">
        <f>'data 2Q21-4Q21'!J64+'data 1Q21 (2)'!J64</f>
        <v>4493</v>
      </c>
      <c r="K64" s="184">
        <f>'data 2Q21-4Q21'!K64+'data 1Q21 (2)'!K64</f>
        <v>0</v>
      </c>
      <c r="L64" s="184">
        <f>'data 2Q21-4Q21'!L64+'data 1Q21 (2)'!L64</f>
        <v>0</v>
      </c>
      <c r="M64" s="184">
        <f>'data 2Q21-4Q21'!M64+'data 1Q21 (2)'!M64</f>
        <v>0</v>
      </c>
      <c r="N64" s="184">
        <f>'data 2Q21-4Q21'!N64+'data 1Q21 (2)'!N64</f>
        <v>0</v>
      </c>
      <c r="O64" s="184">
        <f>'data 2Q21-4Q21'!O64+'data 1Q21 (2)'!O64</f>
        <v>63605.770000000004</v>
      </c>
      <c r="P64" s="184">
        <f>'data 2Q21-4Q21'!P64+'data 1Q21 (2)'!P64</f>
        <v>3054795.36</v>
      </c>
      <c r="Q64" s="184">
        <f>'data 2Q21-4Q21'!Q64+'data 1Q21 (2)'!Q64</f>
        <v>14868</v>
      </c>
      <c r="R64" s="184">
        <f>'data 2Q21-4Q21'!R64+'data 1Q21 (2)'!R64</f>
        <v>202945.09</v>
      </c>
      <c r="S64" s="184">
        <f>'data 2Q21-4Q21'!S64+'data 1Q21 (2)'!S64</f>
        <v>1795697.0000000002</v>
      </c>
      <c r="T64" s="184">
        <f>'data 2Q21-4Q21'!T64+'data 1Q21 (2)'!T64</f>
        <v>0</v>
      </c>
      <c r="U64" s="184">
        <f>'data 2Q21-4Q21'!U64+'data 1Q21 (2)'!U64</f>
        <v>1338424.22</v>
      </c>
      <c r="V64" s="184">
        <f>'data 2Q21-4Q21'!V64+'data 1Q21 (2)'!V64</f>
        <v>0</v>
      </c>
      <c r="W64" s="184">
        <f>'data 2Q21-4Q21'!W64+'data 1Q21 (2)'!W64</f>
        <v>1569.0399999999995</v>
      </c>
      <c r="X64" s="184">
        <f>'data 2Q21-4Q21'!X64+'data 1Q21 (2)'!X64</f>
        <v>61781.63</v>
      </c>
      <c r="Y64" s="184">
        <f>'data 2Q21-4Q21'!Y64+'data 1Q21 (2)'!Y64</f>
        <v>278910.7</v>
      </c>
      <c r="Z64" s="184">
        <f>'data 2Q21-4Q21'!Z64+'data 1Q21 (2)'!Z64</f>
        <v>223700.44999999998</v>
      </c>
      <c r="AA64" s="184">
        <f>'data 2Q21-4Q21'!AA64+'data 1Q21 (2)'!AA64</f>
        <v>78039.760000000009</v>
      </c>
      <c r="AB64" s="184">
        <f>'data 2Q21-4Q21'!AB64+'data 1Q21 (2)'!AB64</f>
        <v>2478324.1799999997</v>
      </c>
      <c r="AC64" s="184">
        <f>'data 2Q21-4Q21'!AC64+'data 1Q21 (2)'!AC64</f>
        <v>235941.59</v>
      </c>
      <c r="AD64" s="184">
        <f>'data 2Q21-4Q21'!AD64+'data 1Q21 (2)'!AD64</f>
        <v>0</v>
      </c>
      <c r="AE64" s="184">
        <f>'data 2Q21-4Q21'!AE64+'data 1Q21 (2)'!AE64</f>
        <v>21000.36</v>
      </c>
      <c r="AF64" s="184">
        <f>'data 2Q21-4Q21'!AF64+'data 1Q21 (2)'!AF64</f>
        <v>0</v>
      </c>
      <c r="AG64" s="184">
        <f>'data 2Q21-4Q21'!AG64+'data 1Q21 (2)'!AG64</f>
        <v>371528.7</v>
      </c>
      <c r="AH64" s="184">
        <f>'data 2Q21-4Q21'!AH64+'data 1Q21 (2)'!AH64</f>
        <v>0</v>
      </c>
      <c r="AI64" s="184">
        <f>'data 2Q21-4Q21'!AI64+'data 1Q21 (2)'!AI64</f>
        <v>332035.65999999997</v>
      </c>
      <c r="AJ64" s="184">
        <f>'data 2Q21-4Q21'!AJ64+'data 1Q21 (2)'!AJ64</f>
        <v>20922.8</v>
      </c>
      <c r="AK64" s="184">
        <f>'data 2Q21-4Q21'!AK64+'data 1Q21 (2)'!AK64</f>
        <v>1414.66</v>
      </c>
      <c r="AL64" s="184">
        <f>'data 2Q21-4Q21'!AL64+'data 1Q21 (2)'!AL64</f>
        <v>0</v>
      </c>
      <c r="AM64" s="184">
        <f>'data 2Q21-4Q21'!AM64+'data 1Q21 (2)'!AM64</f>
        <v>0</v>
      </c>
      <c r="AN64" s="184">
        <f>'data 2Q21-4Q21'!AN64+'data 1Q21 (2)'!AN64</f>
        <v>0</v>
      </c>
      <c r="AO64" s="184">
        <f>'data 2Q21-4Q21'!AO64+'data 1Q21 (2)'!AO64</f>
        <v>0</v>
      </c>
      <c r="AP64" s="184">
        <f>'data 2Q21-4Q21'!AP64+'data 1Q21 (2)'!AP64</f>
        <v>0</v>
      </c>
      <c r="AQ64" s="184">
        <f>'data 2Q21-4Q21'!AQ64+'data 1Q21 (2)'!AQ64</f>
        <v>0</v>
      </c>
      <c r="AR64" s="184">
        <f>'data 2Q21-4Q21'!AR64+'data 1Q21 (2)'!AR64</f>
        <v>0</v>
      </c>
      <c r="AS64" s="184">
        <f>'data 2Q21-4Q21'!AS64+'data 1Q21 (2)'!AS64</f>
        <v>0</v>
      </c>
      <c r="AT64" s="184">
        <f>'data 2Q21-4Q21'!AT64+'data 1Q21 (2)'!AT64</f>
        <v>0</v>
      </c>
      <c r="AU64" s="184">
        <f>'data 2Q21-4Q21'!AU64+'data 1Q21 (2)'!AU64</f>
        <v>0</v>
      </c>
      <c r="AV64" s="184">
        <f>'data 2Q21-4Q21'!AV64+'data 1Q21 (2)'!AV64</f>
        <v>242512.44</v>
      </c>
      <c r="AW64" s="184">
        <f>'data 2Q21-4Q21'!AW64+'data 1Q21 (2)'!AW64</f>
        <v>0</v>
      </c>
      <c r="AX64" s="184">
        <f>'data 2Q21-4Q21'!AX64+'data 1Q21 (2)'!AX64</f>
        <v>0</v>
      </c>
      <c r="AY64" s="184">
        <f>'data 2Q21-4Q21'!AY64+'data 1Q21 (2)'!AY64</f>
        <v>571581.2300000001</v>
      </c>
      <c r="AZ64" s="184">
        <f>'data 2Q21-4Q21'!AZ64+'data 1Q21 (2)'!AZ64</f>
        <v>0</v>
      </c>
      <c r="BA64" s="184">
        <f>'data 2Q21-4Q21'!BA64+'data 1Q21 (2)'!BA64</f>
        <v>0</v>
      </c>
      <c r="BB64" s="184">
        <f>'data 2Q21-4Q21'!BB64+'data 1Q21 (2)'!BB64</f>
        <v>2621</v>
      </c>
      <c r="BC64" s="184">
        <f>'data 2Q21-4Q21'!BC64+'data 1Q21 (2)'!BC64</f>
        <v>0</v>
      </c>
      <c r="BD64" s="184">
        <f>'data 2Q21-4Q21'!BD64+'data 1Q21 (2)'!BD64</f>
        <v>4385885.83</v>
      </c>
      <c r="BE64" s="184">
        <f>'data 2Q21-4Q21'!BE64+'data 1Q21 (2)'!BE64</f>
        <v>47667.66</v>
      </c>
      <c r="BF64" s="184">
        <f>'data 2Q21-4Q21'!BF64+'data 1Q21 (2)'!BF64</f>
        <v>134279.57</v>
      </c>
      <c r="BG64" s="184">
        <f>'data 2Q21-4Q21'!BG64+'data 1Q21 (2)'!BG64</f>
        <v>0</v>
      </c>
      <c r="BH64" s="184">
        <f>'data 2Q21-4Q21'!BH64+'data 1Q21 (2)'!BH64</f>
        <v>17403</v>
      </c>
      <c r="BI64" s="184">
        <f>'data 2Q21-4Q21'!BI64+'data 1Q21 (2)'!BI64</f>
        <v>0</v>
      </c>
      <c r="BJ64" s="184">
        <f>'data 2Q21-4Q21'!BJ64+'data 1Q21 (2)'!BJ64</f>
        <v>6953.15</v>
      </c>
      <c r="BK64" s="184">
        <f>'data 2Q21-4Q21'!BK64+'data 1Q21 (2)'!BK64</f>
        <v>5.9700000000000006</v>
      </c>
      <c r="BL64" s="184">
        <f>'data 2Q21-4Q21'!BL64+'data 1Q21 (2)'!BL64</f>
        <v>2960</v>
      </c>
      <c r="BM64" s="184">
        <f>'data 2Q21-4Q21'!BM64+'data 1Q21 (2)'!BM64</f>
        <v>5248</v>
      </c>
      <c r="BN64" s="184">
        <f>'data 2Q21-4Q21'!BN64+'data 1Q21 (2)'!BN64</f>
        <v>96478.87</v>
      </c>
      <c r="BO64" s="184">
        <f>'data 2Q21-4Q21'!BO64+'data 1Q21 (2)'!BO64</f>
        <v>0</v>
      </c>
      <c r="BP64" s="184">
        <f>'data 2Q21-4Q21'!BP64+'data 1Q21 (2)'!BP64</f>
        <v>255</v>
      </c>
      <c r="BQ64" s="184">
        <f>'data 2Q21-4Q21'!BQ64+'data 1Q21 (2)'!BQ64</f>
        <v>0</v>
      </c>
      <c r="BR64" s="184">
        <f>'data 2Q21-4Q21'!BR64+'data 1Q21 (2)'!BR64</f>
        <v>936</v>
      </c>
      <c r="BS64" s="184">
        <f>'data 2Q21-4Q21'!BS64+'data 1Q21 (2)'!BS64</f>
        <v>0</v>
      </c>
      <c r="BT64" s="184">
        <f>'data 2Q21-4Q21'!BT64+'data 1Q21 (2)'!BT64</f>
        <v>0</v>
      </c>
      <c r="BU64" s="184">
        <f>'data 2Q21-4Q21'!BU64+'data 1Q21 (2)'!BU64</f>
        <v>0</v>
      </c>
      <c r="BV64" s="184">
        <f>'data 2Q21-4Q21'!BV64+'data 1Q21 (2)'!BV64</f>
        <v>1532</v>
      </c>
      <c r="BW64" s="184">
        <f>'data 2Q21-4Q21'!BW64+'data 1Q21 (2)'!BW64</f>
        <v>3526.1600000000017</v>
      </c>
      <c r="BX64" s="184">
        <f>'data 2Q21-4Q21'!BX64+'data 1Q21 (2)'!BX64</f>
        <v>2002.2600000000002</v>
      </c>
      <c r="BY64" s="184">
        <f>'data 2Q21-4Q21'!BY64+'data 1Q21 (2)'!BY64</f>
        <v>7207.34</v>
      </c>
      <c r="BZ64" s="184">
        <f>'data 2Q21-4Q21'!BZ64+'data 1Q21 (2)'!BZ64</f>
        <v>0</v>
      </c>
      <c r="CA64" s="184">
        <f>'data 2Q21-4Q21'!CA64+'data 1Q21 (2)'!CA64</f>
        <v>693</v>
      </c>
      <c r="CB64" s="184">
        <f>'data 2Q21-4Q21'!CB64+'data 1Q21 (2)'!CB64</f>
        <v>0</v>
      </c>
      <c r="CC64" s="184">
        <f>'data 2Q21-4Q21'!CC64+'data 1Q21 (2)'!CC64</f>
        <v>206549.96000000002</v>
      </c>
      <c r="CD64" s="247" t="s">
        <v>221</v>
      </c>
      <c r="CE64" s="195">
        <f t="shared" si="1"/>
        <v>21385901.969999999</v>
      </c>
      <c r="CF64" s="373">
        <f>'data 2Q21-4Q21'!CE64</f>
        <v>17328821.969999999</v>
      </c>
      <c r="CG64" s="373">
        <f>'data 1Q21 (2)'!CE64</f>
        <v>4057080</v>
      </c>
      <c r="CH64" s="180">
        <f t="shared" si="2"/>
        <v>0</v>
      </c>
    </row>
    <row r="65" spans="1:86" ht="12.65" customHeight="1">
      <c r="A65" s="171" t="s">
        <v>238</v>
      </c>
      <c r="B65" s="175"/>
      <c r="C65" s="184">
        <f>'data 2Q21-4Q21'!C65+'data 1Q21 (2)'!C65</f>
        <v>0</v>
      </c>
      <c r="D65" s="184">
        <f>'data 2Q21-4Q21'!D65+'data 1Q21 (2)'!D65</f>
        <v>0</v>
      </c>
      <c r="E65" s="184">
        <f>'data 2Q21-4Q21'!E65+'data 1Q21 (2)'!E65</f>
        <v>0</v>
      </c>
      <c r="F65" s="184">
        <f>'data 2Q21-4Q21'!F65+'data 1Q21 (2)'!F65</f>
        <v>0</v>
      </c>
      <c r="G65" s="184">
        <f>'data 2Q21-4Q21'!G65+'data 1Q21 (2)'!G65</f>
        <v>0</v>
      </c>
      <c r="H65" s="184">
        <f>'data 2Q21-4Q21'!H65+'data 1Q21 (2)'!H65</f>
        <v>0</v>
      </c>
      <c r="I65" s="184">
        <f>'data 2Q21-4Q21'!I65+'data 1Q21 (2)'!I65</f>
        <v>0</v>
      </c>
      <c r="J65" s="184">
        <f>'data 2Q21-4Q21'!J65+'data 1Q21 (2)'!J65</f>
        <v>0</v>
      </c>
      <c r="K65" s="184">
        <f>'data 2Q21-4Q21'!K65+'data 1Q21 (2)'!K65</f>
        <v>0</v>
      </c>
      <c r="L65" s="184">
        <f>'data 2Q21-4Q21'!L65+'data 1Q21 (2)'!L65</f>
        <v>0</v>
      </c>
      <c r="M65" s="184">
        <f>'data 2Q21-4Q21'!M65+'data 1Q21 (2)'!M65</f>
        <v>0</v>
      </c>
      <c r="N65" s="184">
        <f>'data 2Q21-4Q21'!N65+'data 1Q21 (2)'!N65</f>
        <v>0</v>
      </c>
      <c r="O65" s="184">
        <f>'data 2Q21-4Q21'!O65+'data 1Q21 (2)'!O65</f>
        <v>0</v>
      </c>
      <c r="P65" s="184">
        <f>'data 2Q21-4Q21'!P65+'data 1Q21 (2)'!P65</f>
        <v>0</v>
      </c>
      <c r="Q65" s="184">
        <f>'data 2Q21-4Q21'!Q65+'data 1Q21 (2)'!Q65</f>
        <v>0</v>
      </c>
      <c r="R65" s="184">
        <f>'data 2Q21-4Q21'!R65+'data 1Q21 (2)'!R65</f>
        <v>0</v>
      </c>
      <c r="S65" s="184">
        <f>'data 2Q21-4Q21'!S65+'data 1Q21 (2)'!S65</f>
        <v>0</v>
      </c>
      <c r="T65" s="184">
        <f>'data 2Q21-4Q21'!T65+'data 1Q21 (2)'!T65</f>
        <v>0</v>
      </c>
      <c r="U65" s="184">
        <f>'data 2Q21-4Q21'!U65+'data 1Q21 (2)'!U65</f>
        <v>0</v>
      </c>
      <c r="V65" s="184">
        <f>'data 2Q21-4Q21'!V65+'data 1Q21 (2)'!V65</f>
        <v>0</v>
      </c>
      <c r="W65" s="184">
        <f>'data 2Q21-4Q21'!W65+'data 1Q21 (2)'!W65</f>
        <v>0</v>
      </c>
      <c r="X65" s="184">
        <f>'data 2Q21-4Q21'!X65+'data 1Q21 (2)'!X65</f>
        <v>1087</v>
      </c>
      <c r="Y65" s="184">
        <f>'data 2Q21-4Q21'!Y65+'data 1Q21 (2)'!Y65</f>
        <v>0</v>
      </c>
      <c r="Z65" s="184">
        <f>'data 2Q21-4Q21'!Z65+'data 1Q21 (2)'!Z65</f>
        <v>0</v>
      </c>
      <c r="AA65" s="184">
        <f>'data 2Q21-4Q21'!AA65+'data 1Q21 (2)'!AA65</f>
        <v>0</v>
      </c>
      <c r="AB65" s="184">
        <f>'data 2Q21-4Q21'!AB65+'data 1Q21 (2)'!AB65</f>
        <v>0</v>
      </c>
      <c r="AC65" s="184">
        <f>'data 2Q21-4Q21'!AC65+'data 1Q21 (2)'!AC65</f>
        <v>0</v>
      </c>
      <c r="AD65" s="184">
        <f>'data 2Q21-4Q21'!AD65+'data 1Q21 (2)'!AD65</f>
        <v>0</v>
      </c>
      <c r="AE65" s="184">
        <f>'data 2Q21-4Q21'!AE65+'data 1Q21 (2)'!AE65</f>
        <v>2455.0100000000002</v>
      </c>
      <c r="AF65" s="184">
        <f>'data 2Q21-4Q21'!AF65+'data 1Q21 (2)'!AF65</f>
        <v>0</v>
      </c>
      <c r="AG65" s="184">
        <f>'data 2Q21-4Q21'!AG65+'data 1Q21 (2)'!AG65</f>
        <v>0</v>
      </c>
      <c r="AH65" s="184">
        <f>'data 2Q21-4Q21'!AH65+'data 1Q21 (2)'!AH65</f>
        <v>0</v>
      </c>
      <c r="AI65" s="184">
        <f>'data 2Q21-4Q21'!AI65+'data 1Q21 (2)'!AI65</f>
        <v>0</v>
      </c>
      <c r="AJ65" s="184">
        <f>'data 2Q21-4Q21'!AJ65+'data 1Q21 (2)'!AJ65</f>
        <v>3217.07</v>
      </c>
      <c r="AK65" s="184">
        <f>'data 2Q21-4Q21'!AK65+'data 1Q21 (2)'!AK65</f>
        <v>124.52</v>
      </c>
      <c r="AL65" s="184">
        <f>'data 2Q21-4Q21'!AL65+'data 1Q21 (2)'!AL65</f>
        <v>0</v>
      </c>
      <c r="AM65" s="184">
        <f>'data 2Q21-4Q21'!AM65+'data 1Q21 (2)'!AM65</f>
        <v>0</v>
      </c>
      <c r="AN65" s="184">
        <f>'data 2Q21-4Q21'!AN65+'data 1Q21 (2)'!AN65</f>
        <v>0</v>
      </c>
      <c r="AO65" s="184">
        <f>'data 2Q21-4Q21'!AO65+'data 1Q21 (2)'!AO65</f>
        <v>0</v>
      </c>
      <c r="AP65" s="184">
        <f>'data 2Q21-4Q21'!AP65+'data 1Q21 (2)'!AP65</f>
        <v>0</v>
      </c>
      <c r="AQ65" s="184">
        <f>'data 2Q21-4Q21'!AQ65+'data 1Q21 (2)'!AQ65</f>
        <v>0</v>
      </c>
      <c r="AR65" s="184">
        <f>'data 2Q21-4Q21'!AR65+'data 1Q21 (2)'!AR65</f>
        <v>0</v>
      </c>
      <c r="AS65" s="184">
        <f>'data 2Q21-4Q21'!AS65+'data 1Q21 (2)'!AS65</f>
        <v>0</v>
      </c>
      <c r="AT65" s="184">
        <f>'data 2Q21-4Q21'!AT65+'data 1Q21 (2)'!AT65</f>
        <v>0</v>
      </c>
      <c r="AU65" s="184">
        <f>'data 2Q21-4Q21'!AU65+'data 1Q21 (2)'!AU65</f>
        <v>0</v>
      </c>
      <c r="AV65" s="184">
        <f>'data 2Q21-4Q21'!AV65+'data 1Q21 (2)'!AV65</f>
        <v>165</v>
      </c>
      <c r="AW65" s="184">
        <f>'data 2Q21-4Q21'!AW65+'data 1Q21 (2)'!AW65</f>
        <v>0</v>
      </c>
      <c r="AX65" s="184">
        <f>'data 2Q21-4Q21'!AX65+'data 1Q21 (2)'!AX65</f>
        <v>0</v>
      </c>
      <c r="AY65" s="184">
        <f>'data 2Q21-4Q21'!AY65+'data 1Q21 (2)'!AY65</f>
        <v>0</v>
      </c>
      <c r="AZ65" s="184">
        <f>'data 2Q21-4Q21'!AZ65+'data 1Q21 (2)'!AZ65</f>
        <v>0</v>
      </c>
      <c r="BA65" s="184">
        <f>'data 2Q21-4Q21'!BA65+'data 1Q21 (2)'!BA65</f>
        <v>0</v>
      </c>
      <c r="BB65" s="184">
        <f>'data 2Q21-4Q21'!BB65+'data 1Q21 (2)'!BB65</f>
        <v>0</v>
      </c>
      <c r="BC65" s="184">
        <f>'data 2Q21-4Q21'!BC65+'data 1Q21 (2)'!BC65</f>
        <v>0</v>
      </c>
      <c r="BD65" s="184">
        <f>'data 2Q21-4Q21'!BD65+'data 1Q21 (2)'!BD65</f>
        <v>0</v>
      </c>
      <c r="BE65" s="184">
        <f>'data 2Q21-4Q21'!BE65+'data 1Q21 (2)'!BE65</f>
        <v>782370.63</v>
      </c>
      <c r="BF65" s="184">
        <f>'data 2Q21-4Q21'!BF65+'data 1Q21 (2)'!BF65</f>
        <v>0</v>
      </c>
      <c r="BG65" s="184">
        <f>'data 2Q21-4Q21'!BG65+'data 1Q21 (2)'!BG65</f>
        <v>69016.160000000003</v>
      </c>
      <c r="BH65" s="184">
        <f>'data 2Q21-4Q21'!BH65+'data 1Q21 (2)'!BH65</f>
        <v>0</v>
      </c>
      <c r="BI65" s="184">
        <f>'data 2Q21-4Q21'!BI65+'data 1Q21 (2)'!BI65</f>
        <v>0</v>
      </c>
      <c r="BJ65" s="184">
        <f>'data 2Q21-4Q21'!BJ65+'data 1Q21 (2)'!BJ65</f>
        <v>0</v>
      </c>
      <c r="BK65" s="184">
        <f>'data 2Q21-4Q21'!BK65+'data 1Q21 (2)'!BK65</f>
        <v>0</v>
      </c>
      <c r="BL65" s="184">
        <f>'data 2Q21-4Q21'!BL65+'data 1Q21 (2)'!BL65</f>
        <v>0</v>
      </c>
      <c r="BM65" s="184">
        <f>'data 2Q21-4Q21'!BM65+'data 1Q21 (2)'!BM65</f>
        <v>0</v>
      </c>
      <c r="BN65" s="184">
        <f>'data 2Q21-4Q21'!BN65+'data 1Q21 (2)'!BN65</f>
        <v>90</v>
      </c>
      <c r="BO65" s="184">
        <f>'data 2Q21-4Q21'!BO65+'data 1Q21 (2)'!BO65</f>
        <v>0</v>
      </c>
      <c r="BP65" s="184">
        <f>'data 2Q21-4Q21'!BP65+'data 1Q21 (2)'!BP65</f>
        <v>0</v>
      </c>
      <c r="BQ65" s="184">
        <f>'data 2Q21-4Q21'!BQ65+'data 1Q21 (2)'!BQ65</f>
        <v>0</v>
      </c>
      <c r="BR65" s="184">
        <f>'data 2Q21-4Q21'!BR65+'data 1Q21 (2)'!BR65</f>
        <v>0</v>
      </c>
      <c r="BS65" s="184">
        <f>'data 2Q21-4Q21'!BS65+'data 1Q21 (2)'!BS65</f>
        <v>0</v>
      </c>
      <c r="BT65" s="184">
        <f>'data 2Q21-4Q21'!BT65+'data 1Q21 (2)'!BT65</f>
        <v>0</v>
      </c>
      <c r="BU65" s="184">
        <f>'data 2Q21-4Q21'!BU65+'data 1Q21 (2)'!BU65</f>
        <v>0</v>
      </c>
      <c r="BV65" s="184">
        <f>'data 2Q21-4Q21'!BV65+'data 1Q21 (2)'!BV65</f>
        <v>0</v>
      </c>
      <c r="BW65" s="184">
        <f>'data 2Q21-4Q21'!BW65+'data 1Q21 (2)'!BW65</f>
        <v>0</v>
      </c>
      <c r="BX65" s="184">
        <f>'data 2Q21-4Q21'!BX65+'data 1Q21 (2)'!BX65</f>
        <v>0</v>
      </c>
      <c r="BY65" s="184">
        <f>'data 2Q21-4Q21'!BY65+'data 1Q21 (2)'!BY65</f>
        <v>0</v>
      </c>
      <c r="BZ65" s="184">
        <f>'data 2Q21-4Q21'!BZ65+'data 1Q21 (2)'!BZ65</f>
        <v>0</v>
      </c>
      <c r="CA65" s="184">
        <f>'data 2Q21-4Q21'!CA65+'data 1Q21 (2)'!CA65</f>
        <v>0</v>
      </c>
      <c r="CB65" s="184">
        <f>'data 2Q21-4Q21'!CB65+'data 1Q21 (2)'!CB65</f>
        <v>0</v>
      </c>
      <c r="CC65" s="184">
        <f>'data 2Q21-4Q21'!CC65+'data 1Q21 (2)'!CC65</f>
        <v>185307.91</v>
      </c>
      <c r="CD65" s="247" t="s">
        <v>221</v>
      </c>
      <c r="CE65" s="195">
        <f t="shared" si="1"/>
        <v>1043833.3</v>
      </c>
      <c r="CF65" s="373">
        <f>'data 2Q21-4Q21'!CE65</f>
        <v>795051.3</v>
      </c>
      <c r="CG65" s="373">
        <f>'data 1Q21 (2)'!CE65</f>
        <v>248782</v>
      </c>
      <c r="CH65" s="180">
        <f t="shared" si="2"/>
        <v>0</v>
      </c>
    </row>
    <row r="66" spans="1:86" ht="12.65" customHeight="1">
      <c r="A66" s="171" t="s">
        <v>239</v>
      </c>
      <c r="B66" s="175"/>
      <c r="C66" s="184">
        <f>'data 2Q21-4Q21'!C66+'data 1Q21 (2)'!C66</f>
        <v>131000.94</v>
      </c>
      <c r="D66" s="184">
        <f>'data 2Q21-4Q21'!D66+'data 1Q21 (2)'!D66</f>
        <v>0</v>
      </c>
      <c r="E66" s="184">
        <f>'data 2Q21-4Q21'!E66+'data 1Q21 (2)'!E66</f>
        <v>85218.77</v>
      </c>
      <c r="F66" s="184">
        <f>'data 2Q21-4Q21'!F66+'data 1Q21 (2)'!F66</f>
        <v>111216.03</v>
      </c>
      <c r="G66" s="184">
        <f>'data 2Q21-4Q21'!G66+'data 1Q21 (2)'!G66</f>
        <v>0</v>
      </c>
      <c r="H66" s="184">
        <f>'data 2Q21-4Q21'!H66+'data 1Q21 (2)'!H66</f>
        <v>0</v>
      </c>
      <c r="I66" s="184">
        <f>'data 2Q21-4Q21'!I66+'data 1Q21 (2)'!I66</f>
        <v>0</v>
      </c>
      <c r="J66" s="184">
        <f>'data 2Q21-4Q21'!J66+'data 1Q21 (2)'!J66</f>
        <v>18372</v>
      </c>
      <c r="K66" s="184">
        <f>'data 2Q21-4Q21'!K66+'data 1Q21 (2)'!K66</f>
        <v>0</v>
      </c>
      <c r="L66" s="184">
        <f>'data 2Q21-4Q21'!L66+'data 1Q21 (2)'!L66</f>
        <v>0</v>
      </c>
      <c r="M66" s="184">
        <f>'data 2Q21-4Q21'!M66+'data 1Q21 (2)'!M66</f>
        <v>0</v>
      </c>
      <c r="N66" s="184">
        <f>'data 2Q21-4Q21'!N66+'data 1Q21 (2)'!N66</f>
        <v>0</v>
      </c>
      <c r="O66" s="184">
        <f>'data 2Q21-4Q21'!O66+'data 1Q21 (2)'!O66</f>
        <v>38939.89</v>
      </c>
      <c r="P66" s="184">
        <f>'data 2Q21-4Q21'!P66+'data 1Q21 (2)'!P66</f>
        <v>540157.9</v>
      </c>
      <c r="Q66" s="184">
        <f>'data 2Q21-4Q21'!Q66+'data 1Q21 (2)'!Q66</f>
        <v>80</v>
      </c>
      <c r="R66" s="184">
        <f>'data 2Q21-4Q21'!R66+'data 1Q21 (2)'!R66</f>
        <v>6448.42</v>
      </c>
      <c r="S66" s="184">
        <f>'data 2Q21-4Q21'!S66+'data 1Q21 (2)'!S66</f>
        <v>819660.56</v>
      </c>
      <c r="T66" s="184">
        <f>'data 2Q21-4Q21'!T66+'data 1Q21 (2)'!T66</f>
        <v>0</v>
      </c>
      <c r="U66" s="184">
        <f>'data 2Q21-4Q21'!U66+'data 1Q21 (2)'!U66</f>
        <v>559310.15</v>
      </c>
      <c r="V66" s="184">
        <f>'data 2Q21-4Q21'!V66+'data 1Q21 (2)'!V66</f>
        <v>0</v>
      </c>
      <c r="W66" s="184">
        <f>'data 2Q21-4Q21'!W66+'data 1Q21 (2)'!W66</f>
        <v>79152.149999999994</v>
      </c>
      <c r="X66" s="184">
        <f>'data 2Q21-4Q21'!X66+'data 1Q21 (2)'!X66</f>
        <v>172841.12</v>
      </c>
      <c r="Y66" s="184">
        <f>'data 2Q21-4Q21'!Y66+'data 1Q21 (2)'!Y66</f>
        <v>457391.57</v>
      </c>
      <c r="Z66" s="184">
        <f>'data 2Q21-4Q21'!Z66+'data 1Q21 (2)'!Z66</f>
        <v>657516.98</v>
      </c>
      <c r="AA66" s="184">
        <f>'data 2Q21-4Q21'!AA66+'data 1Q21 (2)'!AA66</f>
        <v>336083.81</v>
      </c>
      <c r="AB66" s="184">
        <f>'data 2Q21-4Q21'!AB66+'data 1Q21 (2)'!AB66</f>
        <v>59538.74</v>
      </c>
      <c r="AC66" s="184">
        <f>'data 2Q21-4Q21'!AC66+'data 1Q21 (2)'!AC66</f>
        <v>44032.12</v>
      </c>
      <c r="AD66" s="184">
        <f>'data 2Q21-4Q21'!AD66+'data 1Q21 (2)'!AD66</f>
        <v>0</v>
      </c>
      <c r="AE66" s="184">
        <f>'data 2Q21-4Q21'!AE66+'data 1Q21 (2)'!AE66</f>
        <v>10863.029999999999</v>
      </c>
      <c r="AF66" s="184">
        <f>'data 2Q21-4Q21'!AF66+'data 1Q21 (2)'!AF66</f>
        <v>0</v>
      </c>
      <c r="AG66" s="184">
        <f>'data 2Q21-4Q21'!AG66+'data 1Q21 (2)'!AG66</f>
        <v>270678.79000000004</v>
      </c>
      <c r="AH66" s="184">
        <f>'data 2Q21-4Q21'!AH66+'data 1Q21 (2)'!AH66</f>
        <v>0</v>
      </c>
      <c r="AI66" s="184">
        <f>'data 2Q21-4Q21'!AI66+'data 1Q21 (2)'!AI66</f>
        <v>9176.41</v>
      </c>
      <c r="AJ66" s="184">
        <f>'data 2Q21-4Q21'!AJ66+'data 1Q21 (2)'!AJ66</f>
        <v>164815.19</v>
      </c>
      <c r="AK66" s="184">
        <f>'data 2Q21-4Q21'!AK66+'data 1Q21 (2)'!AK66</f>
        <v>3.04</v>
      </c>
      <c r="AL66" s="184">
        <f>'data 2Q21-4Q21'!AL66+'data 1Q21 (2)'!AL66</f>
        <v>0</v>
      </c>
      <c r="AM66" s="184">
        <f>'data 2Q21-4Q21'!AM66+'data 1Q21 (2)'!AM66</f>
        <v>0</v>
      </c>
      <c r="AN66" s="184">
        <f>'data 2Q21-4Q21'!AN66+'data 1Q21 (2)'!AN66</f>
        <v>0</v>
      </c>
      <c r="AO66" s="184">
        <f>'data 2Q21-4Q21'!AO66+'data 1Q21 (2)'!AO66</f>
        <v>0</v>
      </c>
      <c r="AP66" s="184">
        <f>'data 2Q21-4Q21'!AP66+'data 1Q21 (2)'!AP66</f>
        <v>0</v>
      </c>
      <c r="AQ66" s="184">
        <f>'data 2Q21-4Q21'!AQ66+'data 1Q21 (2)'!AQ66</f>
        <v>0</v>
      </c>
      <c r="AR66" s="184">
        <f>'data 2Q21-4Q21'!AR66+'data 1Q21 (2)'!AR66</f>
        <v>0</v>
      </c>
      <c r="AS66" s="184">
        <f>'data 2Q21-4Q21'!AS66+'data 1Q21 (2)'!AS66</f>
        <v>0</v>
      </c>
      <c r="AT66" s="184">
        <f>'data 2Q21-4Q21'!AT66+'data 1Q21 (2)'!AT66</f>
        <v>0</v>
      </c>
      <c r="AU66" s="184">
        <f>'data 2Q21-4Q21'!AU66+'data 1Q21 (2)'!AU66</f>
        <v>0</v>
      </c>
      <c r="AV66" s="184">
        <f>'data 2Q21-4Q21'!AV66+'data 1Q21 (2)'!AV66</f>
        <v>804334.15</v>
      </c>
      <c r="AW66" s="184">
        <f>'data 2Q21-4Q21'!AW66+'data 1Q21 (2)'!AW66</f>
        <v>0</v>
      </c>
      <c r="AX66" s="184">
        <f>'data 2Q21-4Q21'!AX66+'data 1Q21 (2)'!AX66</f>
        <v>0</v>
      </c>
      <c r="AY66" s="184">
        <f>'data 2Q21-4Q21'!AY66+'data 1Q21 (2)'!AY66</f>
        <v>44428.61</v>
      </c>
      <c r="AZ66" s="184">
        <f>'data 2Q21-4Q21'!AZ66+'data 1Q21 (2)'!AZ66</f>
        <v>0</v>
      </c>
      <c r="BA66" s="184">
        <f>'data 2Q21-4Q21'!BA66+'data 1Q21 (2)'!BA66</f>
        <v>306209.12</v>
      </c>
      <c r="BB66" s="184">
        <f>'data 2Q21-4Q21'!BB66+'data 1Q21 (2)'!BB66</f>
        <v>1181</v>
      </c>
      <c r="BC66" s="184">
        <f>'data 2Q21-4Q21'!BC66+'data 1Q21 (2)'!BC66</f>
        <v>0</v>
      </c>
      <c r="BD66" s="184">
        <f>'data 2Q21-4Q21'!BD66+'data 1Q21 (2)'!BD66</f>
        <v>155584.13</v>
      </c>
      <c r="BE66" s="184">
        <f>'data 2Q21-4Q21'!BE66+'data 1Q21 (2)'!BE66</f>
        <v>1323997.04</v>
      </c>
      <c r="BF66" s="184">
        <f>'data 2Q21-4Q21'!BF66+'data 1Q21 (2)'!BF66</f>
        <v>316330.13</v>
      </c>
      <c r="BG66" s="184">
        <f>'data 2Q21-4Q21'!BG66+'data 1Q21 (2)'!BG66</f>
        <v>854</v>
      </c>
      <c r="BH66" s="184">
        <f>'data 2Q21-4Q21'!BH66+'data 1Q21 (2)'!BH66</f>
        <v>446582</v>
      </c>
      <c r="BI66" s="184">
        <f>'data 2Q21-4Q21'!BI66+'data 1Q21 (2)'!BI66</f>
        <v>0</v>
      </c>
      <c r="BJ66" s="184">
        <f>'data 2Q21-4Q21'!BJ66+'data 1Q21 (2)'!BJ66</f>
        <v>259653.52000000002</v>
      </c>
      <c r="BK66" s="184">
        <f>'data 2Q21-4Q21'!BK66+'data 1Q21 (2)'!BK66</f>
        <v>2234371.37</v>
      </c>
      <c r="BL66" s="184">
        <f>'data 2Q21-4Q21'!BL66+'data 1Q21 (2)'!BL66</f>
        <v>0</v>
      </c>
      <c r="BM66" s="184">
        <f>'data 2Q21-4Q21'!BM66+'data 1Q21 (2)'!BM66</f>
        <v>10154</v>
      </c>
      <c r="BN66" s="184">
        <f>'data 2Q21-4Q21'!BN66+'data 1Q21 (2)'!BN66</f>
        <v>1751195.99</v>
      </c>
      <c r="BO66" s="184">
        <f>'data 2Q21-4Q21'!BO66+'data 1Q21 (2)'!BO66</f>
        <v>0</v>
      </c>
      <c r="BP66" s="184">
        <f>'data 2Q21-4Q21'!BP66+'data 1Q21 (2)'!BP66</f>
        <v>3401</v>
      </c>
      <c r="BQ66" s="184">
        <f>'data 2Q21-4Q21'!BQ66+'data 1Q21 (2)'!BQ66</f>
        <v>0</v>
      </c>
      <c r="BR66" s="184">
        <f>'data 2Q21-4Q21'!BR66+'data 1Q21 (2)'!BR66</f>
        <v>44171</v>
      </c>
      <c r="BS66" s="184">
        <f>'data 2Q21-4Q21'!BS66+'data 1Q21 (2)'!BS66</f>
        <v>0</v>
      </c>
      <c r="BT66" s="184">
        <f>'data 2Q21-4Q21'!BT66+'data 1Q21 (2)'!BT66</f>
        <v>0</v>
      </c>
      <c r="BU66" s="184">
        <f>'data 2Q21-4Q21'!BU66+'data 1Q21 (2)'!BU66</f>
        <v>0</v>
      </c>
      <c r="BV66" s="184">
        <f>'data 2Q21-4Q21'!BV66+'data 1Q21 (2)'!BV66</f>
        <v>53038</v>
      </c>
      <c r="BW66" s="184">
        <f>'data 2Q21-4Q21'!BW66+'data 1Q21 (2)'!BW66</f>
        <v>12879.91</v>
      </c>
      <c r="BX66" s="184">
        <f>'data 2Q21-4Q21'!BX66+'data 1Q21 (2)'!BX66</f>
        <v>45442.25</v>
      </c>
      <c r="BY66" s="184">
        <f>'data 2Q21-4Q21'!BY66+'data 1Q21 (2)'!BY66</f>
        <v>7613.88</v>
      </c>
      <c r="BZ66" s="184">
        <f>'data 2Q21-4Q21'!BZ66+'data 1Q21 (2)'!BZ66</f>
        <v>0</v>
      </c>
      <c r="CA66" s="184">
        <f>'data 2Q21-4Q21'!CA66+'data 1Q21 (2)'!CA66</f>
        <v>1000</v>
      </c>
      <c r="CB66" s="184">
        <f>'data 2Q21-4Q21'!CB66+'data 1Q21 (2)'!CB66</f>
        <v>0</v>
      </c>
      <c r="CC66" s="184">
        <f>'data 2Q21-4Q21'!CC66+'data 1Q21 (2)'!CC66</f>
        <v>6039801.9000000004</v>
      </c>
      <c r="CD66" s="247" t="s">
        <v>221</v>
      </c>
      <c r="CE66" s="195">
        <f t="shared" si="1"/>
        <v>18434720.610000007</v>
      </c>
      <c r="CF66" s="373">
        <f>'data 2Q21-4Q21'!CE66</f>
        <v>15676321.610000001</v>
      </c>
      <c r="CG66" s="373">
        <f>'data 1Q21 (2)'!CE66</f>
        <v>2758399</v>
      </c>
      <c r="CH66" s="180">
        <f t="shared" si="2"/>
        <v>0</v>
      </c>
    </row>
    <row r="67" spans="1:86" ht="12.65" customHeight="1">
      <c r="A67" s="171" t="s">
        <v>6</v>
      </c>
      <c r="B67" s="175"/>
      <c r="C67" s="195">
        <f>ROUND(C51+C52,0)</f>
        <v>36512</v>
      </c>
      <c r="D67" s="195">
        <f>ROUND(D51+D52,0)</f>
        <v>36839</v>
      </c>
      <c r="E67" s="195">
        <f t="shared" ref="E67:BP67" si="5">ROUND(E51+E52,0)</f>
        <v>16179</v>
      </c>
      <c r="F67" s="195">
        <f t="shared" si="5"/>
        <v>4460</v>
      </c>
      <c r="G67" s="195">
        <f t="shared" si="5"/>
        <v>557650</v>
      </c>
      <c r="H67" s="195">
        <f t="shared" si="5"/>
        <v>7212</v>
      </c>
      <c r="I67" s="195">
        <f t="shared" si="5"/>
        <v>77251</v>
      </c>
      <c r="J67" s="195">
        <f>ROUND(J51+J52,0)</f>
        <v>5568</v>
      </c>
      <c r="K67" s="195">
        <f t="shared" si="5"/>
        <v>7040</v>
      </c>
      <c r="L67" s="195">
        <f t="shared" si="5"/>
        <v>0</v>
      </c>
      <c r="M67" s="195">
        <f t="shared" si="5"/>
        <v>85217</v>
      </c>
      <c r="N67" s="195">
        <f t="shared" si="5"/>
        <v>79866</v>
      </c>
      <c r="O67" s="195">
        <f t="shared" si="5"/>
        <v>1970</v>
      </c>
      <c r="P67" s="195">
        <f t="shared" si="5"/>
        <v>0</v>
      </c>
      <c r="Q67" s="195">
        <f t="shared" si="5"/>
        <v>1591</v>
      </c>
      <c r="R67" s="195">
        <f t="shared" si="5"/>
        <v>0</v>
      </c>
      <c r="S67" s="195">
        <f t="shared" si="5"/>
        <v>16384</v>
      </c>
      <c r="T67" s="195">
        <f t="shared" si="5"/>
        <v>0</v>
      </c>
      <c r="U67" s="195">
        <f t="shared" si="5"/>
        <v>87514</v>
      </c>
      <c r="V67" s="195">
        <f t="shared" si="5"/>
        <v>0</v>
      </c>
      <c r="W67" s="195">
        <f t="shared" si="5"/>
        <v>0</v>
      </c>
      <c r="X67" s="195">
        <f t="shared" si="5"/>
        <v>110327</v>
      </c>
      <c r="Y67" s="195">
        <f t="shared" si="5"/>
        <v>0</v>
      </c>
      <c r="Z67" s="195">
        <f t="shared" si="5"/>
        <v>0</v>
      </c>
      <c r="AA67" s="195">
        <f t="shared" si="5"/>
        <v>5538</v>
      </c>
      <c r="AB67" s="195">
        <f t="shared" si="5"/>
        <v>0</v>
      </c>
      <c r="AC67" s="195">
        <f t="shared" si="5"/>
        <v>0</v>
      </c>
      <c r="AD67" s="195">
        <f t="shared" si="5"/>
        <v>8330</v>
      </c>
      <c r="AE67" s="195">
        <f t="shared" si="5"/>
        <v>0</v>
      </c>
      <c r="AF67" s="195">
        <f t="shared" si="5"/>
        <v>0</v>
      </c>
      <c r="AG67" s="195">
        <f t="shared" si="5"/>
        <v>10710</v>
      </c>
      <c r="AH67" s="195">
        <f t="shared" si="5"/>
        <v>0</v>
      </c>
      <c r="AI67" s="195">
        <f t="shared" si="5"/>
        <v>0</v>
      </c>
      <c r="AJ67" s="195">
        <f t="shared" si="5"/>
        <v>2553468</v>
      </c>
      <c r="AK67" s="195">
        <f t="shared" si="5"/>
        <v>0</v>
      </c>
      <c r="AL67" s="195">
        <f t="shared" si="5"/>
        <v>0</v>
      </c>
      <c r="AM67" s="195">
        <f t="shared" si="5"/>
        <v>20669</v>
      </c>
      <c r="AN67" s="195">
        <f t="shared" si="5"/>
        <v>1217444</v>
      </c>
      <c r="AO67" s="195">
        <f t="shared" si="5"/>
        <v>0</v>
      </c>
      <c r="AP67" s="195">
        <f t="shared" si="5"/>
        <v>0</v>
      </c>
      <c r="AQ67" s="195">
        <f t="shared" si="5"/>
        <v>0</v>
      </c>
      <c r="AR67" s="195">
        <f t="shared" si="5"/>
        <v>0</v>
      </c>
      <c r="AS67" s="195">
        <f t="shared" si="5"/>
        <v>0</v>
      </c>
      <c r="AT67" s="195">
        <f t="shared" si="5"/>
        <v>0</v>
      </c>
      <c r="AU67" s="195">
        <f t="shared" si="5"/>
        <v>0</v>
      </c>
      <c r="AV67" s="195">
        <f t="shared" si="5"/>
        <v>0</v>
      </c>
      <c r="AW67" s="195">
        <f t="shared" si="5"/>
        <v>0</v>
      </c>
      <c r="AX67" s="195">
        <f t="shared" si="5"/>
        <v>0</v>
      </c>
      <c r="AY67" s="195">
        <f t="shared" si="5"/>
        <v>0</v>
      </c>
      <c r="AZ67" s="195">
        <f>ROUND(AZ51+AZ52,0)</f>
        <v>0</v>
      </c>
      <c r="BA67" s="195">
        <f>ROUND(BA51+BA52,0)</f>
        <v>0</v>
      </c>
      <c r="BB67" s="195">
        <f t="shared" si="5"/>
        <v>0</v>
      </c>
      <c r="BC67" s="195">
        <f t="shared" si="5"/>
        <v>0</v>
      </c>
      <c r="BD67" s="195">
        <f t="shared" si="5"/>
        <v>0</v>
      </c>
      <c r="BE67" s="195">
        <f t="shared" si="5"/>
        <v>0</v>
      </c>
      <c r="BF67" s="195">
        <f t="shared" si="5"/>
        <v>0</v>
      </c>
      <c r="BG67" s="195">
        <f t="shared" si="5"/>
        <v>0</v>
      </c>
      <c r="BH67" s="195">
        <f t="shared" si="5"/>
        <v>0</v>
      </c>
      <c r="BI67" s="195">
        <f t="shared" si="5"/>
        <v>0</v>
      </c>
      <c r="BJ67" s="195">
        <f t="shared" si="5"/>
        <v>0</v>
      </c>
      <c r="BK67" s="195">
        <f t="shared" si="5"/>
        <v>0</v>
      </c>
      <c r="BL67" s="195">
        <f t="shared" si="5"/>
        <v>0</v>
      </c>
      <c r="BM67" s="195">
        <f t="shared" si="5"/>
        <v>0</v>
      </c>
      <c r="BN67" s="195">
        <f t="shared" si="5"/>
        <v>0</v>
      </c>
      <c r="BO67" s="195">
        <f t="shared" si="5"/>
        <v>0</v>
      </c>
      <c r="BP67" s="195">
        <f t="shared" si="5"/>
        <v>0</v>
      </c>
      <c r="BQ67" s="195">
        <f t="shared" ref="BQ67:CC67" si="6">ROUND(BQ51+BQ52,0)</f>
        <v>0</v>
      </c>
      <c r="BR67" s="195">
        <f t="shared" si="6"/>
        <v>0</v>
      </c>
      <c r="BS67" s="195">
        <f t="shared" si="6"/>
        <v>0</v>
      </c>
      <c r="BT67" s="195">
        <f t="shared" si="6"/>
        <v>0</v>
      </c>
      <c r="BU67" s="195">
        <f t="shared" si="6"/>
        <v>0</v>
      </c>
      <c r="BV67" s="195">
        <f t="shared" si="6"/>
        <v>0</v>
      </c>
      <c r="BW67" s="195">
        <f t="shared" si="6"/>
        <v>0</v>
      </c>
      <c r="BX67" s="195">
        <f t="shared" si="6"/>
        <v>0</v>
      </c>
      <c r="BY67" s="195">
        <f t="shared" si="6"/>
        <v>0</v>
      </c>
      <c r="BZ67" s="195">
        <f t="shared" si="6"/>
        <v>0</v>
      </c>
      <c r="CA67" s="195">
        <f t="shared" si="6"/>
        <v>0</v>
      </c>
      <c r="CB67" s="195">
        <f t="shared" si="6"/>
        <v>0</v>
      </c>
      <c r="CC67" s="195">
        <f t="shared" si="6"/>
        <v>0</v>
      </c>
      <c r="CD67" s="247" t="s">
        <v>221</v>
      </c>
      <c r="CE67" s="195">
        <f t="shared" si="1"/>
        <v>4947739</v>
      </c>
      <c r="CF67" s="373">
        <f>'data 2Q21-4Q21'!CE67</f>
        <v>4947739</v>
      </c>
      <c r="CG67" s="373">
        <f>'data 1Q21 (2)'!CE67</f>
        <v>0</v>
      </c>
      <c r="CH67" s="180">
        <f t="shared" si="2"/>
        <v>0</v>
      </c>
    </row>
    <row r="68" spans="1:86" ht="12.65" customHeight="1">
      <c r="A68" s="171" t="s">
        <v>240</v>
      </c>
      <c r="B68" s="175"/>
      <c r="C68" s="184">
        <f>'data 2Q21-4Q21'!C68+'data 1Q21 (2)'!C68</f>
        <v>30893.64</v>
      </c>
      <c r="D68" s="184">
        <f>'data 2Q21-4Q21'!D68+'data 1Q21 (2)'!D68</f>
        <v>0</v>
      </c>
      <c r="E68" s="184">
        <f>'data 2Q21-4Q21'!E68+'data 1Q21 (2)'!E68</f>
        <v>68509.63</v>
      </c>
      <c r="F68" s="184">
        <f>'data 2Q21-4Q21'!F68+'data 1Q21 (2)'!F68</f>
        <v>0</v>
      </c>
      <c r="G68" s="184">
        <f>'data 2Q21-4Q21'!G68+'data 1Q21 (2)'!G68</f>
        <v>0</v>
      </c>
      <c r="H68" s="184">
        <f>'data 2Q21-4Q21'!H68+'data 1Q21 (2)'!H68</f>
        <v>0</v>
      </c>
      <c r="I68" s="184">
        <f>'data 2Q21-4Q21'!I68+'data 1Q21 (2)'!I68</f>
        <v>0</v>
      </c>
      <c r="J68" s="184">
        <f>'data 2Q21-4Q21'!J68+'data 1Q21 (2)'!J68</f>
        <v>0</v>
      </c>
      <c r="K68" s="184">
        <f>'data 2Q21-4Q21'!K68+'data 1Q21 (2)'!K68</f>
        <v>0</v>
      </c>
      <c r="L68" s="184">
        <f>'data 2Q21-4Q21'!L68+'data 1Q21 (2)'!L68</f>
        <v>0</v>
      </c>
      <c r="M68" s="184">
        <f>'data 2Q21-4Q21'!M68+'data 1Q21 (2)'!M68</f>
        <v>0</v>
      </c>
      <c r="N68" s="184">
        <f>'data 2Q21-4Q21'!N68+'data 1Q21 (2)'!N68</f>
        <v>0</v>
      </c>
      <c r="O68" s="184">
        <f>'data 2Q21-4Q21'!O68+'data 1Q21 (2)'!O68</f>
        <v>25</v>
      </c>
      <c r="P68" s="184">
        <f>'data 2Q21-4Q21'!P68+'data 1Q21 (2)'!P68</f>
        <v>616663.88</v>
      </c>
      <c r="Q68" s="184">
        <f>'data 2Q21-4Q21'!Q68+'data 1Q21 (2)'!Q68</f>
        <v>0</v>
      </c>
      <c r="R68" s="184">
        <f>'data 2Q21-4Q21'!R68+'data 1Q21 (2)'!R68</f>
        <v>108459</v>
      </c>
      <c r="S68" s="184">
        <f>'data 2Q21-4Q21'!S68+'data 1Q21 (2)'!S68</f>
        <v>878623.53000000014</v>
      </c>
      <c r="T68" s="184">
        <f>'data 2Q21-4Q21'!T68+'data 1Q21 (2)'!T68</f>
        <v>0</v>
      </c>
      <c r="U68" s="184">
        <f>'data 2Q21-4Q21'!U68+'data 1Q21 (2)'!U68</f>
        <v>179775.87</v>
      </c>
      <c r="V68" s="184">
        <f>'data 2Q21-4Q21'!V68+'data 1Q21 (2)'!V68</f>
        <v>0</v>
      </c>
      <c r="W68" s="184">
        <f>'data 2Q21-4Q21'!W68+'data 1Q21 (2)'!W68</f>
        <v>0</v>
      </c>
      <c r="X68" s="184">
        <f>'data 2Q21-4Q21'!X68+'data 1Q21 (2)'!X68</f>
        <v>153842</v>
      </c>
      <c r="Y68" s="184">
        <f>'data 2Q21-4Q21'!Y68+'data 1Q21 (2)'!Y68</f>
        <v>79229.960000000021</v>
      </c>
      <c r="Z68" s="184">
        <f>'data 2Q21-4Q21'!Z68+'data 1Q21 (2)'!Z68</f>
        <v>232</v>
      </c>
      <c r="AA68" s="184">
        <f>'data 2Q21-4Q21'!AA68+'data 1Q21 (2)'!AA68</f>
        <v>0</v>
      </c>
      <c r="AB68" s="184">
        <f>'data 2Q21-4Q21'!AB68+'data 1Q21 (2)'!AB68</f>
        <v>170676.1</v>
      </c>
      <c r="AC68" s="184">
        <f>'data 2Q21-4Q21'!AC68+'data 1Q21 (2)'!AC68</f>
        <v>128215</v>
      </c>
      <c r="AD68" s="184">
        <f>'data 2Q21-4Q21'!AD68+'data 1Q21 (2)'!AD68</f>
        <v>0</v>
      </c>
      <c r="AE68" s="184">
        <f>'data 2Q21-4Q21'!AE68+'data 1Q21 (2)'!AE68</f>
        <v>23095.01</v>
      </c>
      <c r="AF68" s="184">
        <f>'data 2Q21-4Q21'!AF68+'data 1Q21 (2)'!AF68</f>
        <v>0</v>
      </c>
      <c r="AG68" s="184">
        <f>'data 2Q21-4Q21'!AG68+'data 1Q21 (2)'!AG68</f>
        <v>1089</v>
      </c>
      <c r="AH68" s="184">
        <f>'data 2Q21-4Q21'!AH68+'data 1Q21 (2)'!AH68</f>
        <v>0</v>
      </c>
      <c r="AI68" s="184">
        <f>'data 2Q21-4Q21'!AI68+'data 1Q21 (2)'!AI68</f>
        <v>1</v>
      </c>
      <c r="AJ68" s="184">
        <f>'data 2Q21-4Q21'!AJ68+'data 1Q21 (2)'!AJ68</f>
        <v>1485.41</v>
      </c>
      <c r="AK68" s="184">
        <f>'data 2Q21-4Q21'!AK68+'data 1Q21 (2)'!AK68</f>
        <v>1</v>
      </c>
      <c r="AL68" s="184">
        <f>'data 2Q21-4Q21'!AL68+'data 1Q21 (2)'!AL68</f>
        <v>0</v>
      </c>
      <c r="AM68" s="184">
        <f>'data 2Q21-4Q21'!AM68+'data 1Q21 (2)'!AM68</f>
        <v>0</v>
      </c>
      <c r="AN68" s="184">
        <f>'data 2Q21-4Q21'!AN68+'data 1Q21 (2)'!AN68</f>
        <v>0</v>
      </c>
      <c r="AO68" s="184">
        <f>'data 2Q21-4Q21'!AO68+'data 1Q21 (2)'!AO68</f>
        <v>0</v>
      </c>
      <c r="AP68" s="184">
        <f>'data 2Q21-4Q21'!AP68+'data 1Q21 (2)'!AP68</f>
        <v>0</v>
      </c>
      <c r="AQ68" s="184">
        <f>'data 2Q21-4Q21'!AQ68+'data 1Q21 (2)'!AQ68</f>
        <v>0</v>
      </c>
      <c r="AR68" s="184">
        <f>'data 2Q21-4Q21'!AR68+'data 1Q21 (2)'!AR68</f>
        <v>0</v>
      </c>
      <c r="AS68" s="184">
        <f>'data 2Q21-4Q21'!AS68+'data 1Q21 (2)'!AS68</f>
        <v>0</v>
      </c>
      <c r="AT68" s="184">
        <f>'data 2Q21-4Q21'!AT68+'data 1Q21 (2)'!AT68</f>
        <v>0</v>
      </c>
      <c r="AU68" s="184">
        <f>'data 2Q21-4Q21'!AU68+'data 1Q21 (2)'!AU68</f>
        <v>0</v>
      </c>
      <c r="AV68" s="184">
        <f>'data 2Q21-4Q21'!AV68+'data 1Q21 (2)'!AV68</f>
        <v>12125.39</v>
      </c>
      <c r="AW68" s="184">
        <f>'data 2Q21-4Q21'!AW68+'data 1Q21 (2)'!AW68</f>
        <v>0</v>
      </c>
      <c r="AX68" s="184">
        <f>'data 2Q21-4Q21'!AX68+'data 1Q21 (2)'!AX68</f>
        <v>62356.78</v>
      </c>
      <c r="AY68" s="184">
        <f>'data 2Q21-4Q21'!AY68+'data 1Q21 (2)'!AY68</f>
        <v>0</v>
      </c>
      <c r="AZ68" s="184">
        <f>'data 2Q21-4Q21'!AZ68+'data 1Q21 (2)'!AZ68</f>
        <v>0</v>
      </c>
      <c r="BA68" s="184">
        <f>'data 2Q21-4Q21'!BA68+'data 1Q21 (2)'!BA68</f>
        <v>0</v>
      </c>
      <c r="BB68" s="184">
        <f>'data 2Q21-4Q21'!BB68+'data 1Q21 (2)'!BB68</f>
        <v>12</v>
      </c>
      <c r="BC68" s="184">
        <f>'data 2Q21-4Q21'!BC68+'data 1Q21 (2)'!BC68</f>
        <v>0</v>
      </c>
      <c r="BD68" s="184">
        <f>'data 2Q21-4Q21'!BD68+'data 1Q21 (2)'!BD68</f>
        <v>445.96</v>
      </c>
      <c r="BE68" s="184">
        <f>'data 2Q21-4Q21'!BE68+'data 1Q21 (2)'!BE68</f>
        <v>2804.2299999999996</v>
      </c>
      <c r="BF68" s="184">
        <f>'data 2Q21-4Q21'!BF68+'data 1Q21 (2)'!BF68</f>
        <v>0</v>
      </c>
      <c r="BG68" s="184">
        <f>'data 2Q21-4Q21'!BG68+'data 1Q21 (2)'!BG68</f>
        <v>0</v>
      </c>
      <c r="BH68" s="184">
        <f>'data 2Q21-4Q21'!BH68+'data 1Q21 (2)'!BH68</f>
        <v>0</v>
      </c>
      <c r="BI68" s="184">
        <f>'data 2Q21-4Q21'!BI68+'data 1Q21 (2)'!BI68</f>
        <v>0</v>
      </c>
      <c r="BJ68" s="184">
        <f>'data 2Q21-4Q21'!BJ68+'data 1Q21 (2)'!BJ68</f>
        <v>7</v>
      </c>
      <c r="BK68" s="184">
        <f>'data 2Q21-4Q21'!BK68+'data 1Q21 (2)'!BK68</f>
        <v>0</v>
      </c>
      <c r="BL68" s="184">
        <f>'data 2Q21-4Q21'!BL68+'data 1Q21 (2)'!BL68</f>
        <v>0</v>
      </c>
      <c r="BM68" s="184">
        <f>'data 2Q21-4Q21'!BM68+'data 1Q21 (2)'!BM68</f>
        <v>0</v>
      </c>
      <c r="BN68" s="184">
        <f>'data 2Q21-4Q21'!BN68+'data 1Q21 (2)'!BN68</f>
        <v>121716</v>
      </c>
      <c r="BO68" s="184">
        <f>'data 2Q21-4Q21'!BO68+'data 1Q21 (2)'!BO68</f>
        <v>0</v>
      </c>
      <c r="BP68" s="184">
        <f>'data 2Q21-4Q21'!BP68+'data 1Q21 (2)'!BP68</f>
        <v>0</v>
      </c>
      <c r="BQ68" s="184">
        <f>'data 2Q21-4Q21'!BQ68+'data 1Q21 (2)'!BQ68</f>
        <v>0</v>
      </c>
      <c r="BR68" s="184">
        <f>'data 2Q21-4Q21'!BR68+'data 1Q21 (2)'!BR68</f>
        <v>0</v>
      </c>
      <c r="BS68" s="184">
        <f>'data 2Q21-4Q21'!BS68+'data 1Q21 (2)'!BS68</f>
        <v>0</v>
      </c>
      <c r="BT68" s="184">
        <f>'data 2Q21-4Q21'!BT68+'data 1Q21 (2)'!BT68</f>
        <v>0</v>
      </c>
      <c r="BU68" s="184">
        <f>'data 2Q21-4Q21'!BU68+'data 1Q21 (2)'!BU68</f>
        <v>0</v>
      </c>
      <c r="BV68" s="184">
        <f>'data 2Q21-4Q21'!BV68+'data 1Q21 (2)'!BV68</f>
        <v>10243</v>
      </c>
      <c r="BW68" s="184">
        <f>'data 2Q21-4Q21'!BW68+'data 1Q21 (2)'!BW68</f>
        <v>237.72</v>
      </c>
      <c r="BX68" s="184">
        <f>'data 2Q21-4Q21'!BX68+'data 1Q21 (2)'!BX68</f>
        <v>0</v>
      </c>
      <c r="BY68" s="184">
        <f>'data 2Q21-4Q21'!BY68+'data 1Q21 (2)'!BY68</f>
        <v>119</v>
      </c>
      <c r="BZ68" s="184">
        <f>'data 2Q21-4Q21'!BZ68+'data 1Q21 (2)'!BZ68</f>
        <v>0</v>
      </c>
      <c r="CA68" s="184">
        <f>'data 2Q21-4Q21'!CA68+'data 1Q21 (2)'!CA68</f>
        <v>0</v>
      </c>
      <c r="CB68" s="184">
        <f>'data 2Q21-4Q21'!CB68+'data 1Q21 (2)'!CB68</f>
        <v>0</v>
      </c>
      <c r="CC68" s="184">
        <f>'data 2Q21-4Q21'!CC68+'data 1Q21 (2)'!CC68</f>
        <v>8657872.0199999996</v>
      </c>
      <c r="CD68" s="247" t="s">
        <v>221</v>
      </c>
      <c r="CE68" s="195">
        <f t="shared" si="1"/>
        <v>11308756.129999999</v>
      </c>
      <c r="CF68" s="373">
        <f>'data 2Q21-4Q21'!CE68</f>
        <v>10687310.129999999</v>
      </c>
      <c r="CG68" s="373">
        <f>'data 1Q21 (2)'!CE68</f>
        <v>621446</v>
      </c>
      <c r="CH68" s="180">
        <f t="shared" si="2"/>
        <v>0</v>
      </c>
    </row>
    <row r="69" spans="1:86" ht="12.65" customHeight="1">
      <c r="A69" s="171" t="s">
        <v>241</v>
      </c>
      <c r="B69" s="175"/>
      <c r="C69" s="184">
        <f>'data 2Q21-4Q21'!C69+'data 1Q21 (2)'!C69</f>
        <v>248497.27000000002</v>
      </c>
      <c r="D69" s="184">
        <f>'data 2Q21-4Q21'!D69+'data 1Q21 (2)'!D69</f>
        <v>0</v>
      </c>
      <c r="E69" s="184">
        <f>'data 2Q21-4Q21'!E69+'data 1Q21 (2)'!E69</f>
        <v>120770.26</v>
      </c>
      <c r="F69" s="184">
        <f>'data 2Q21-4Q21'!F69+'data 1Q21 (2)'!F69</f>
        <v>56560.98</v>
      </c>
      <c r="G69" s="184">
        <f>'data 2Q21-4Q21'!G69+'data 1Q21 (2)'!G69</f>
        <v>0</v>
      </c>
      <c r="H69" s="184">
        <f>'data 2Q21-4Q21'!H69+'data 1Q21 (2)'!H69</f>
        <v>0</v>
      </c>
      <c r="I69" s="184">
        <f>'data 2Q21-4Q21'!I69+'data 1Q21 (2)'!I69</f>
        <v>0</v>
      </c>
      <c r="J69" s="184">
        <f>'data 2Q21-4Q21'!J69+'data 1Q21 (2)'!J69</f>
        <v>357</v>
      </c>
      <c r="K69" s="184">
        <f>'data 2Q21-4Q21'!K69+'data 1Q21 (2)'!K69</f>
        <v>0</v>
      </c>
      <c r="L69" s="184">
        <f>'data 2Q21-4Q21'!L69+'data 1Q21 (2)'!L69</f>
        <v>0</v>
      </c>
      <c r="M69" s="184">
        <f>'data 2Q21-4Q21'!M69+'data 1Q21 (2)'!M69</f>
        <v>0</v>
      </c>
      <c r="N69" s="184">
        <f>'data 2Q21-4Q21'!N69+'data 1Q21 (2)'!N69</f>
        <v>0</v>
      </c>
      <c r="O69" s="184">
        <f>'data 2Q21-4Q21'!O69+'data 1Q21 (2)'!O69</f>
        <v>60236</v>
      </c>
      <c r="P69" s="184">
        <f>'data 2Q21-4Q21'!P69+'data 1Q21 (2)'!P69</f>
        <v>530718.11</v>
      </c>
      <c r="Q69" s="184">
        <f>'data 2Q21-4Q21'!Q69+'data 1Q21 (2)'!Q69</f>
        <v>863</v>
      </c>
      <c r="R69" s="184">
        <f>'data 2Q21-4Q21'!R69+'data 1Q21 (2)'!R69</f>
        <v>10411</v>
      </c>
      <c r="S69" s="184">
        <f>'data 2Q21-4Q21'!S69+'data 1Q21 (2)'!S69</f>
        <v>320771.74</v>
      </c>
      <c r="T69" s="184">
        <f>'data 2Q21-4Q21'!T69+'data 1Q21 (2)'!T69</f>
        <v>0</v>
      </c>
      <c r="U69" s="184">
        <f>'data 2Q21-4Q21'!U69+'data 1Q21 (2)'!U69</f>
        <v>84006.420000000013</v>
      </c>
      <c r="V69" s="184">
        <f>'data 2Q21-4Q21'!V69+'data 1Q21 (2)'!V69</f>
        <v>0</v>
      </c>
      <c r="W69" s="184">
        <f>'data 2Q21-4Q21'!W69+'data 1Q21 (2)'!W69</f>
        <v>22652.799999999999</v>
      </c>
      <c r="X69" s="184">
        <f>'data 2Q21-4Q21'!X69+'data 1Q21 (2)'!X69</f>
        <v>69170</v>
      </c>
      <c r="Y69" s="184">
        <f>'data 2Q21-4Q21'!Y69+'data 1Q21 (2)'!Y69</f>
        <v>619627.18999999994</v>
      </c>
      <c r="Z69" s="184">
        <f>'data 2Q21-4Q21'!Z69+'data 1Q21 (2)'!Z69</f>
        <v>88561.4</v>
      </c>
      <c r="AA69" s="184">
        <f>'data 2Q21-4Q21'!AA69+'data 1Q21 (2)'!AA69</f>
        <v>15185.42</v>
      </c>
      <c r="AB69" s="184">
        <f>'data 2Q21-4Q21'!AB69+'data 1Q21 (2)'!AB69</f>
        <v>40725.56</v>
      </c>
      <c r="AC69" s="184">
        <f>'data 2Q21-4Q21'!AC69+'data 1Q21 (2)'!AC69</f>
        <v>10931.99</v>
      </c>
      <c r="AD69" s="184">
        <f>'data 2Q21-4Q21'!AD69+'data 1Q21 (2)'!AD69</f>
        <v>0</v>
      </c>
      <c r="AE69" s="184">
        <f>'data 2Q21-4Q21'!AE69+'data 1Q21 (2)'!AE69</f>
        <v>32741.48</v>
      </c>
      <c r="AF69" s="184">
        <f>'data 2Q21-4Q21'!AF69+'data 1Q21 (2)'!AF69</f>
        <v>0</v>
      </c>
      <c r="AG69" s="184">
        <f>'data 2Q21-4Q21'!AG69+'data 1Q21 (2)'!AG69</f>
        <v>472346.12</v>
      </c>
      <c r="AH69" s="184">
        <f>'data 2Q21-4Q21'!AH69+'data 1Q21 (2)'!AH69</f>
        <v>0</v>
      </c>
      <c r="AI69" s="184">
        <f>'data 2Q21-4Q21'!AI69+'data 1Q21 (2)'!AI69</f>
        <v>54874.670000000006</v>
      </c>
      <c r="AJ69" s="184">
        <f>'data 2Q21-4Q21'!AJ69+'data 1Q21 (2)'!AJ69</f>
        <v>0</v>
      </c>
      <c r="AK69" s="184">
        <f>'data 2Q21-4Q21'!AK69+'data 1Q21 (2)'!AK69</f>
        <v>11471.51</v>
      </c>
      <c r="AL69" s="184">
        <f>'data 2Q21-4Q21'!AL69+'data 1Q21 (2)'!AL69</f>
        <v>0</v>
      </c>
      <c r="AM69" s="184">
        <f>'data 2Q21-4Q21'!AM69+'data 1Q21 (2)'!AM69</f>
        <v>0</v>
      </c>
      <c r="AN69" s="184">
        <f>'data 2Q21-4Q21'!AN69+'data 1Q21 (2)'!AN69</f>
        <v>0</v>
      </c>
      <c r="AO69" s="184">
        <f>'data 2Q21-4Q21'!AO69+'data 1Q21 (2)'!AO69</f>
        <v>0</v>
      </c>
      <c r="AP69" s="184">
        <f>'data 2Q21-4Q21'!AP69+'data 1Q21 (2)'!AP69</f>
        <v>0</v>
      </c>
      <c r="AQ69" s="184">
        <f>'data 2Q21-4Q21'!AQ69+'data 1Q21 (2)'!AQ69</f>
        <v>0</v>
      </c>
      <c r="AR69" s="184">
        <f>'data 2Q21-4Q21'!AR69+'data 1Q21 (2)'!AR69</f>
        <v>0</v>
      </c>
      <c r="AS69" s="184">
        <f>'data 2Q21-4Q21'!AS69+'data 1Q21 (2)'!AS69</f>
        <v>0</v>
      </c>
      <c r="AT69" s="184">
        <f>'data 2Q21-4Q21'!AT69+'data 1Q21 (2)'!AT69</f>
        <v>0</v>
      </c>
      <c r="AU69" s="184">
        <f>'data 2Q21-4Q21'!AU69+'data 1Q21 (2)'!AU69</f>
        <v>0</v>
      </c>
      <c r="AV69" s="184">
        <f>'data 2Q21-4Q21'!AV69+'data 1Q21 (2)'!AV69</f>
        <v>14702.77</v>
      </c>
      <c r="AW69" s="184">
        <f>'data 2Q21-4Q21'!AW69+'data 1Q21 (2)'!AW69</f>
        <v>0</v>
      </c>
      <c r="AX69" s="184">
        <f>'data 2Q21-4Q21'!AX69+'data 1Q21 (2)'!AX69</f>
        <v>13452.29</v>
      </c>
      <c r="AY69" s="184">
        <f>'data 2Q21-4Q21'!AY69+'data 1Q21 (2)'!AY69</f>
        <v>13968.46</v>
      </c>
      <c r="AZ69" s="184">
        <f>'data 2Q21-4Q21'!AZ69+'data 1Q21 (2)'!AZ69</f>
        <v>0</v>
      </c>
      <c r="BA69" s="184">
        <f>'data 2Q21-4Q21'!BA69+'data 1Q21 (2)'!BA69</f>
        <v>0</v>
      </c>
      <c r="BB69" s="184">
        <f>'data 2Q21-4Q21'!BB69+'data 1Q21 (2)'!BB69</f>
        <v>68726</v>
      </c>
      <c r="BC69" s="184">
        <f>'data 2Q21-4Q21'!BC69+'data 1Q21 (2)'!BC69</f>
        <v>0</v>
      </c>
      <c r="BD69" s="184">
        <f>'data 2Q21-4Q21'!BD69+'data 1Q21 (2)'!BD69</f>
        <v>79576.600000000006</v>
      </c>
      <c r="BE69" s="184">
        <f>'data 2Q21-4Q21'!BE69+'data 1Q21 (2)'!BE69</f>
        <v>323167.78000000003</v>
      </c>
      <c r="BF69" s="184">
        <f>'data 2Q21-4Q21'!BF69+'data 1Q21 (2)'!BF69</f>
        <v>6751.24</v>
      </c>
      <c r="BG69" s="184">
        <f>'data 2Q21-4Q21'!BG69+'data 1Q21 (2)'!BG69</f>
        <v>110497.26</v>
      </c>
      <c r="BH69" s="184">
        <f>'data 2Q21-4Q21'!BH69+'data 1Q21 (2)'!BH69</f>
        <v>75002</v>
      </c>
      <c r="BI69" s="184">
        <f>'data 2Q21-4Q21'!BI69+'data 1Q21 (2)'!BI69</f>
        <v>0</v>
      </c>
      <c r="BJ69" s="184">
        <f>'data 2Q21-4Q21'!BJ69+'data 1Q21 (2)'!BJ69</f>
        <v>36808.5</v>
      </c>
      <c r="BK69" s="184">
        <f>'data 2Q21-4Q21'!BK69+'data 1Q21 (2)'!BK69</f>
        <v>8.0099999999999909</v>
      </c>
      <c r="BL69" s="184">
        <f>'data 2Q21-4Q21'!BL69+'data 1Q21 (2)'!BL69</f>
        <v>0</v>
      </c>
      <c r="BM69" s="184">
        <f>'data 2Q21-4Q21'!BM69+'data 1Q21 (2)'!BM69</f>
        <v>60305</v>
      </c>
      <c r="BN69" s="184">
        <f>'data 2Q21-4Q21'!BN69+'data 1Q21 (2)'!BN69</f>
        <v>975088.62</v>
      </c>
      <c r="BO69" s="184">
        <f>'data 2Q21-4Q21'!BO69+'data 1Q21 (2)'!BO69</f>
        <v>0</v>
      </c>
      <c r="BP69" s="184">
        <f>'data 2Q21-4Q21'!BP69+'data 1Q21 (2)'!BP69</f>
        <v>45999</v>
      </c>
      <c r="BQ69" s="184">
        <f>'data 2Q21-4Q21'!BQ69+'data 1Q21 (2)'!BQ69</f>
        <v>0</v>
      </c>
      <c r="BR69" s="184">
        <f>'data 2Q21-4Q21'!BR69+'data 1Q21 (2)'!BR69</f>
        <v>47357</v>
      </c>
      <c r="BS69" s="184">
        <f>'data 2Q21-4Q21'!BS69+'data 1Q21 (2)'!BS69</f>
        <v>0</v>
      </c>
      <c r="BT69" s="184">
        <f>'data 2Q21-4Q21'!BT69+'data 1Q21 (2)'!BT69</f>
        <v>0</v>
      </c>
      <c r="BU69" s="184">
        <f>'data 2Q21-4Q21'!BU69+'data 1Q21 (2)'!BU69</f>
        <v>0</v>
      </c>
      <c r="BV69" s="184">
        <f>'data 2Q21-4Q21'!BV69+'data 1Q21 (2)'!BV69</f>
        <v>2018</v>
      </c>
      <c r="BW69" s="184">
        <f>'data 2Q21-4Q21'!BW69+'data 1Q21 (2)'!BW69</f>
        <v>-1382.0100000000002</v>
      </c>
      <c r="BX69" s="184">
        <f>'data 2Q21-4Q21'!BX69+'data 1Q21 (2)'!BX69</f>
        <v>83156.2</v>
      </c>
      <c r="BY69" s="184">
        <f>'data 2Q21-4Q21'!BY69+'data 1Q21 (2)'!BY69</f>
        <v>42705.869999999995</v>
      </c>
      <c r="BZ69" s="184">
        <f>'data 2Q21-4Q21'!BZ69+'data 1Q21 (2)'!BZ69</f>
        <v>0</v>
      </c>
      <c r="CA69" s="184">
        <f>'data 2Q21-4Q21'!CA69+'data 1Q21 (2)'!CA69</f>
        <v>20022</v>
      </c>
      <c r="CB69" s="184">
        <f>'data 2Q21-4Q21'!CB69+'data 1Q21 (2)'!CB69</f>
        <v>0</v>
      </c>
      <c r="CC69" s="184">
        <f>'data 2Q21-4Q21'!CC69+'data 1Q21 (2)'!CC69</f>
        <v>3198771.87</v>
      </c>
      <c r="CD69" s="375">
        <f>'data 2Q21-4Q21'!CD69+'data 1Q21 (2)'!CD69</f>
        <v>2106924.98</v>
      </c>
      <c r="CE69" s="195">
        <f t="shared" si="1"/>
        <v>10195107.359999999</v>
      </c>
      <c r="CF69" s="373">
        <f>'data 2Q21-4Q21'!CE69</f>
        <v>7098775.3600000013</v>
      </c>
      <c r="CG69" s="373">
        <f>'data 1Q21 (2)'!CE69</f>
        <v>3096332</v>
      </c>
      <c r="CH69" s="180">
        <f t="shared" si="2"/>
        <v>0</v>
      </c>
    </row>
    <row r="70" spans="1:86" ht="12.65" customHeight="1">
      <c r="A70" s="171" t="s">
        <v>242</v>
      </c>
      <c r="B70" s="175"/>
      <c r="C70" s="184">
        <f>'data 2Q21-4Q21'!C70+'data 1Q21 (2)'!C70</f>
        <v>30583.040000000005</v>
      </c>
      <c r="D70" s="184">
        <f>'data 2Q21-4Q21'!D70+'data 1Q21 (2)'!D70</f>
        <v>0</v>
      </c>
      <c r="E70" s="184">
        <f>'data 2Q21-4Q21'!E70+'data 1Q21 (2)'!E70</f>
        <v>0</v>
      </c>
      <c r="F70" s="184">
        <f>'data 2Q21-4Q21'!F70+'data 1Q21 (2)'!F70</f>
        <v>8845.7699999999986</v>
      </c>
      <c r="G70" s="184">
        <f>'data 2Q21-4Q21'!G70+'data 1Q21 (2)'!G70</f>
        <v>0</v>
      </c>
      <c r="H70" s="184">
        <f>'data 2Q21-4Q21'!H70+'data 1Q21 (2)'!H70</f>
        <v>0</v>
      </c>
      <c r="I70" s="184">
        <f>'data 2Q21-4Q21'!I70+'data 1Q21 (2)'!I70</f>
        <v>0</v>
      </c>
      <c r="J70" s="184">
        <f>'data 2Q21-4Q21'!J70+'data 1Q21 (2)'!J70</f>
        <v>0</v>
      </c>
      <c r="K70" s="184">
        <f>'data 2Q21-4Q21'!K70+'data 1Q21 (2)'!K70</f>
        <v>0</v>
      </c>
      <c r="L70" s="184">
        <f>'data 2Q21-4Q21'!L70+'data 1Q21 (2)'!L70</f>
        <v>0</v>
      </c>
      <c r="M70" s="184">
        <f>'data 2Q21-4Q21'!M70+'data 1Q21 (2)'!M70</f>
        <v>0</v>
      </c>
      <c r="N70" s="184">
        <f>'data 2Q21-4Q21'!N70+'data 1Q21 (2)'!N70</f>
        <v>0</v>
      </c>
      <c r="O70" s="184">
        <f>'data 2Q21-4Q21'!O70+'data 1Q21 (2)'!O70</f>
        <v>0</v>
      </c>
      <c r="P70" s="184">
        <f>'data 2Q21-4Q21'!P70+'data 1Q21 (2)'!P70</f>
        <v>23221.439999999999</v>
      </c>
      <c r="Q70" s="184">
        <f>'data 2Q21-4Q21'!Q70+'data 1Q21 (2)'!Q70</f>
        <v>0</v>
      </c>
      <c r="R70" s="184">
        <f>'data 2Q21-4Q21'!R70+'data 1Q21 (2)'!R70</f>
        <v>0</v>
      </c>
      <c r="S70" s="184">
        <f>'data 2Q21-4Q21'!S70+'data 1Q21 (2)'!S70</f>
        <v>0</v>
      </c>
      <c r="T70" s="184">
        <f>'data 2Q21-4Q21'!T70+'data 1Q21 (2)'!T70</f>
        <v>0</v>
      </c>
      <c r="U70" s="184">
        <f>'data 2Q21-4Q21'!U70+'data 1Q21 (2)'!U70</f>
        <v>19676.22</v>
      </c>
      <c r="V70" s="184">
        <f>'data 2Q21-4Q21'!V70+'data 1Q21 (2)'!V70</f>
        <v>0</v>
      </c>
      <c r="W70" s="184">
        <f>'data 2Q21-4Q21'!W70+'data 1Q21 (2)'!W70</f>
        <v>0</v>
      </c>
      <c r="X70" s="184">
        <f>'data 2Q21-4Q21'!X70+'data 1Q21 (2)'!X70</f>
        <v>0</v>
      </c>
      <c r="Y70" s="184">
        <f>'data 2Q21-4Q21'!Y70+'data 1Q21 (2)'!Y70</f>
        <v>12367.32</v>
      </c>
      <c r="Z70" s="184">
        <f>'data 2Q21-4Q21'!Z70+'data 1Q21 (2)'!Z70</f>
        <v>0</v>
      </c>
      <c r="AA70" s="184">
        <f>'data 2Q21-4Q21'!AA70+'data 1Q21 (2)'!AA70</f>
        <v>0</v>
      </c>
      <c r="AB70" s="184">
        <f>'data 2Q21-4Q21'!AB70+'data 1Q21 (2)'!AB70</f>
        <v>43959.71</v>
      </c>
      <c r="AC70" s="184">
        <f>'data 2Q21-4Q21'!AC70+'data 1Q21 (2)'!AC70</f>
        <v>9788.64</v>
      </c>
      <c r="AD70" s="184">
        <f>'data 2Q21-4Q21'!AD70+'data 1Q21 (2)'!AD70</f>
        <v>0</v>
      </c>
      <c r="AE70" s="184">
        <f>'data 2Q21-4Q21'!AE70+'data 1Q21 (2)'!AE70</f>
        <v>10269.219999999999</v>
      </c>
      <c r="AF70" s="184">
        <f>'data 2Q21-4Q21'!AF70+'data 1Q21 (2)'!AF70</f>
        <v>0</v>
      </c>
      <c r="AG70" s="184">
        <f>'data 2Q21-4Q21'!AG70+'data 1Q21 (2)'!AG70</f>
        <v>-13220</v>
      </c>
      <c r="AH70" s="184">
        <f>'data 2Q21-4Q21'!AH70+'data 1Q21 (2)'!AH70</f>
        <v>0</v>
      </c>
      <c r="AI70" s="184">
        <f>'data 2Q21-4Q21'!AI70+'data 1Q21 (2)'!AI70</f>
        <v>0</v>
      </c>
      <c r="AJ70" s="184">
        <f>'data 2Q21-4Q21'!AJ70+'data 1Q21 (2)'!AJ70</f>
        <v>0</v>
      </c>
      <c r="AK70" s="184">
        <f>'data 2Q21-4Q21'!AK70+'data 1Q21 (2)'!AK70</f>
        <v>0</v>
      </c>
      <c r="AL70" s="184">
        <f>'data 2Q21-4Q21'!AL70+'data 1Q21 (2)'!AL70</f>
        <v>0</v>
      </c>
      <c r="AM70" s="184">
        <f>'data 2Q21-4Q21'!AM70+'data 1Q21 (2)'!AM70</f>
        <v>0</v>
      </c>
      <c r="AN70" s="184">
        <f>'data 2Q21-4Q21'!AN70+'data 1Q21 (2)'!AN70</f>
        <v>0</v>
      </c>
      <c r="AO70" s="184">
        <f>'data 2Q21-4Q21'!AO70+'data 1Q21 (2)'!AO70</f>
        <v>0</v>
      </c>
      <c r="AP70" s="184">
        <f>'data 2Q21-4Q21'!AP70+'data 1Q21 (2)'!AP70</f>
        <v>0</v>
      </c>
      <c r="AQ70" s="184">
        <f>'data 2Q21-4Q21'!AQ70+'data 1Q21 (2)'!AQ70</f>
        <v>0</v>
      </c>
      <c r="AR70" s="184">
        <f>'data 2Q21-4Q21'!AR70+'data 1Q21 (2)'!AR70</f>
        <v>0</v>
      </c>
      <c r="AS70" s="184">
        <f>'data 2Q21-4Q21'!AS70+'data 1Q21 (2)'!AS70</f>
        <v>0</v>
      </c>
      <c r="AT70" s="184">
        <f>'data 2Q21-4Q21'!AT70+'data 1Q21 (2)'!AT70</f>
        <v>0</v>
      </c>
      <c r="AU70" s="184">
        <f>'data 2Q21-4Q21'!AU70+'data 1Q21 (2)'!AU70</f>
        <v>0</v>
      </c>
      <c r="AV70" s="184">
        <f>'data 2Q21-4Q21'!AV70+'data 1Q21 (2)'!AV70</f>
        <v>0</v>
      </c>
      <c r="AW70" s="184">
        <f>'data 2Q21-4Q21'!AW70+'data 1Q21 (2)'!AW70</f>
        <v>0</v>
      </c>
      <c r="AX70" s="184">
        <f>'data 2Q21-4Q21'!AX70+'data 1Q21 (2)'!AX70</f>
        <v>0</v>
      </c>
      <c r="AY70" s="184">
        <f>'data 2Q21-4Q21'!AY70+'data 1Q21 (2)'!AY70</f>
        <v>124439.33</v>
      </c>
      <c r="AZ70" s="184">
        <f>'data 2Q21-4Q21'!AZ70+'data 1Q21 (2)'!AZ70</f>
        <v>0</v>
      </c>
      <c r="BA70" s="184">
        <f>'data 2Q21-4Q21'!BA70+'data 1Q21 (2)'!BA70</f>
        <v>0</v>
      </c>
      <c r="BB70" s="184">
        <f>'data 2Q21-4Q21'!BB70+'data 1Q21 (2)'!BB70</f>
        <v>0</v>
      </c>
      <c r="BC70" s="184">
        <f>'data 2Q21-4Q21'!BC70+'data 1Q21 (2)'!BC70</f>
        <v>0</v>
      </c>
      <c r="BD70" s="184">
        <f>'data 2Q21-4Q21'!BD70+'data 1Q21 (2)'!BD70</f>
        <v>0</v>
      </c>
      <c r="BE70" s="184">
        <f>'data 2Q21-4Q21'!BE70+'data 1Q21 (2)'!BE70</f>
        <v>0</v>
      </c>
      <c r="BF70" s="184">
        <f>'data 2Q21-4Q21'!BF70+'data 1Q21 (2)'!BF70</f>
        <v>160</v>
      </c>
      <c r="BG70" s="184">
        <f>'data 2Q21-4Q21'!BG70+'data 1Q21 (2)'!BG70</f>
        <v>0</v>
      </c>
      <c r="BH70" s="184">
        <f>'data 2Q21-4Q21'!BH70+'data 1Q21 (2)'!BH70</f>
        <v>0</v>
      </c>
      <c r="BI70" s="184">
        <f>'data 2Q21-4Q21'!BI70+'data 1Q21 (2)'!BI70</f>
        <v>0</v>
      </c>
      <c r="BJ70" s="184">
        <f>'data 2Q21-4Q21'!BJ70+'data 1Q21 (2)'!BJ70</f>
        <v>0</v>
      </c>
      <c r="BK70" s="184">
        <f>'data 2Q21-4Q21'!BK70+'data 1Q21 (2)'!BK70</f>
        <v>0</v>
      </c>
      <c r="BL70" s="184">
        <f>'data 2Q21-4Q21'!BL70+'data 1Q21 (2)'!BL70</f>
        <v>0</v>
      </c>
      <c r="BM70" s="184">
        <f>'data 2Q21-4Q21'!BM70+'data 1Q21 (2)'!BM70</f>
        <v>0</v>
      </c>
      <c r="BN70" s="184">
        <f>'data 2Q21-4Q21'!BN70+'data 1Q21 (2)'!BN70</f>
        <v>2507029.81</v>
      </c>
      <c r="BO70" s="184">
        <f>'data 2Q21-4Q21'!BO70+'data 1Q21 (2)'!BO70</f>
        <v>0</v>
      </c>
      <c r="BP70" s="184">
        <f>'data 2Q21-4Q21'!BP70+'data 1Q21 (2)'!BP70</f>
        <v>0</v>
      </c>
      <c r="BQ70" s="184">
        <f>'data 2Q21-4Q21'!BQ70+'data 1Q21 (2)'!BQ70</f>
        <v>0</v>
      </c>
      <c r="BR70" s="184">
        <f>'data 2Q21-4Q21'!BR70+'data 1Q21 (2)'!BR70</f>
        <v>0</v>
      </c>
      <c r="BS70" s="184">
        <f>'data 2Q21-4Q21'!BS70+'data 1Q21 (2)'!BS70</f>
        <v>0</v>
      </c>
      <c r="BT70" s="184">
        <f>'data 2Q21-4Q21'!BT70+'data 1Q21 (2)'!BT70</f>
        <v>0</v>
      </c>
      <c r="BU70" s="184">
        <f>'data 2Q21-4Q21'!BU70+'data 1Q21 (2)'!BU70</f>
        <v>0</v>
      </c>
      <c r="BV70" s="184">
        <f>'data 2Q21-4Q21'!BV70+'data 1Q21 (2)'!BV70</f>
        <v>0</v>
      </c>
      <c r="BW70" s="184">
        <f>'data 2Q21-4Q21'!BW70+'data 1Q21 (2)'!BW70</f>
        <v>0</v>
      </c>
      <c r="BX70" s="184">
        <f>'data 2Q21-4Q21'!BX70+'data 1Q21 (2)'!BX70</f>
        <v>5845.7599999999984</v>
      </c>
      <c r="BY70" s="184">
        <f>'data 2Q21-4Q21'!BY70+'data 1Q21 (2)'!BY70</f>
        <v>0</v>
      </c>
      <c r="BZ70" s="184">
        <f>'data 2Q21-4Q21'!BZ70+'data 1Q21 (2)'!BZ70</f>
        <v>0</v>
      </c>
      <c r="CA70" s="184">
        <f>'data 2Q21-4Q21'!CA70+'data 1Q21 (2)'!CA70</f>
        <v>0</v>
      </c>
      <c r="CB70" s="184">
        <f>'data 2Q21-4Q21'!CB70+'data 1Q21 (2)'!CB70</f>
        <v>0</v>
      </c>
      <c r="CC70" s="184">
        <f>'data 2Q21-4Q21'!CC70+'data 1Q21 (2)'!CC70</f>
        <v>7247883.1600000001</v>
      </c>
      <c r="CD70" s="184">
        <f>'data 2Q21-4Q21'!CD70+'data 1Q21'!CV70</f>
        <v>0</v>
      </c>
      <c r="CE70" s="195">
        <f t="shared" si="1"/>
        <v>10030849.42</v>
      </c>
      <c r="CF70" s="373">
        <f>'data 2Q21-4Q21'!CE70</f>
        <v>10030849.42</v>
      </c>
      <c r="CG70" s="373">
        <f>'data 1Q21 (2)'!CE70</f>
        <v>0</v>
      </c>
      <c r="CH70" s="180">
        <f t="shared" si="2"/>
        <v>0</v>
      </c>
    </row>
    <row r="71" spans="1:86" ht="12.65" customHeight="1">
      <c r="A71" s="171" t="s">
        <v>243</v>
      </c>
      <c r="B71" s="175"/>
      <c r="C71" s="195">
        <f>SUM(C61:C68)+C69-C70</f>
        <v>8890757.4299999997</v>
      </c>
      <c r="D71" s="195">
        <f t="shared" ref="D71:AI71" si="7">SUM(D61:D69)-D70</f>
        <v>36839</v>
      </c>
      <c r="E71" s="195">
        <f t="shared" si="7"/>
        <v>9493755.6699999999</v>
      </c>
      <c r="F71" s="195">
        <f t="shared" si="7"/>
        <v>3079357.17</v>
      </c>
      <c r="G71" s="195">
        <f t="shared" si="7"/>
        <v>557650</v>
      </c>
      <c r="H71" s="195">
        <f t="shared" si="7"/>
        <v>7212</v>
      </c>
      <c r="I71" s="195">
        <f t="shared" si="7"/>
        <v>77251</v>
      </c>
      <c r="J71" s="195">
        <f t="shared" si="7"/>
        <v>194127</v>
      </c>
      <c r="K71" s="195">
        <f t="shared" si="7"/>
        <v>7040</v>
      </c>
      <c r="L71" s="195">
        <f t="shared" si="7"/>
        <v>0</v>
      </c>
      <c r="M71" s="195">
        <f t="shared" si="7"/>
        <v>85217</v>
      </c>
      <c r="N71" s="195">
        <f t="shared" si="7"/>
        <v>79866</v>
      </c>
      <c r="O71" s="195">
        <f t="shared" si="7"/>
        <v>1460423.8</v>
      </c>
      <c r="P71" s="195">
        <f t="shared" si="7"/>
        <v>7697886.04</v>
      </c>
      <c r="Q71" s="195">
        <f t="shared" si="7"/>
        <v>267382</v>
      </c>
      <c r="R71" s="195">
        <f t="shared" si="7"/>
        <v>2330826.2499999995</v>
      </c>
      <c r="S71" s="195">
        <f t="shared" si="7"/>
        <v>5269766.42</v>
      </c>
      <c r="T71" s="195">
        <f t="shared" si="7"/>
        <v>0</v>
      </c>
      <c r="U71" s="195">
        <f t="shared" si="7"/>
        <v>3960054.9299999997</v>
      </c>
      <c r="V71" s="195">
        <f t="shared" si="7"/>
        <v>0</v>
      </c>
      <c r="W71" s="195">
        <f t="shared" si="7"/>
        <v>304912.74</v>
      </c>
      <c r="X71" s="195">
        <f t="shared" si="7"/>
        <v>972324.91999999993</v>
      </c>
      <c r="Y71" s="195">
        <f t="shared" si="7"/>
        <v>5872155.0300000012</v>
      </c>
      <c r="Z71" s="195">
        <f t="shared" si="7"/>
        <v>1720319.9999999998</v>
      </c>
      <c r="AA71" s="195">
        <f t="shared" si="7"/>
        <v>678329.70000000007</v>
      </c>
      <c r="AB71" s="195">
        <f t="shared" si="7"/>
        <v>4254934.959999999</v>
      </c>
      <c r="AC71" s="195">
        <f t="shared" si="7"/>
        <v>1709589.7900000003</v>
      </c>
      <c r="AD71" s="195">
        <f t="shared" si="7"/>
        <v>8330</v>
      </c>
      <c r="AE71" s="195">
        <f t="shared" si="7"/>
        <v>885704.29</v>
      </c>
      <c r="AF71" s="195">
        <f t="shared" si="7"/>
        <v>0</v>
      </c>
      <c r="AG71" s="195">
        <f t="shared" si="7"/>
        <v>5291460.67</v>
      </c>
      <c r="AH71" s="195">
        <f t="shared" si="7"/>
        <v>0</v>
      </c>
      <c r="AI71" s="195">
        <f t="shared" si="7"/>
        <v>2564069.77</v>
      </c>
      <c r="AJ71" s="195">
        <f t="shared" ref="AJ71:BO71" si="8">SUM(AJ61:AJ69)-AJ70</f>
        <v>2984985.3400000003</v>
      </c>
      <c r="AK71" s="195">
        <f t="shared" si="8"/>
        <v>125082.45</v>
      </c>
      <c r="AL71" s="195">
        <f t="shared" si="8"/>
        <v>50145</v>
      </c>
      <c r="AM71" s="195">
        <f t="shared" si="8"/>
        <v>20669</v>
      </c>
      <c r="AN71" s="195">
        <f t="shared" si="8"/>
        <v>1217444</v>
      </c>
      <c r="AO71" s="195">
        <f t="shared" si="8"/>
        <v>0</v>
      </c>
      <c r="AP71" s="195">
        <f t="shared" si="8"/>
        <v>0</v>
      </c>
      <c r="AQ71" s="195">
        <f t="shared" si="8"/>
        <v>0</v>
      </c>
      <c r="AR71" s="195">
        <f t="shared" si="8"/>
        <v>0</v>
      </c>
      <c r="AS71" s="195">
        <f t="shared" si="8"/>
        <v>0</v>
      </c>
      <c r="AT71" s="195">
        <f t="shared" si="8"/>
        <v>0</v>
      </c>
      <c r="AU71" s="195">
        <f t="shared" si="8"/>
        <v>0</v>
      </c>
      <c r="AV71" s="195">
        <f t="shared" si="8"/>
        <v>3052800.44</v>
      </c>
      <c r="AW71" s="195">
        <f t="shared" si="8"/>
        <v>0</v>
      </c>
      <c r="AX71" s="195">
        <f t="shared" si="8"/>
        <v>75809.070000000007</v>
      </c>
      <c r="AY71" s="195">
        <f t="shared" si="8"/>
        <v>1662736.24</v>
      </c>
      <c r="AZ71" s="195">
        <f t="shared" si="8"/>
        <v>0</v>
      </c>
      <c r="BA71" s="195">
        <f t="shared" si="8"/>
        <v>306209.12</v>
      </c>
      <c r="BB71" s="195">
        <f t="shared" si="8"/>
        <v>276112</v>
      </c>
      <c r="BC71" s="195">
        <f t="shared" si="8"/>
        <v>0</v>
      </c>
      <c r="BD71" s="195">
        <f t="shared" si="8"/>
        <v>5165160.18</v>
      </c>
      <c r="BE71" s="195">
        <f t="shared" si="8"/>
        <v>3224975.76</v>
      </c>
      <c r="BF71" s="195">
        <f t="shared" si="8"/>
        <v>1353584.7900000003</v>
      </c>
      <c r="BG71" s="195">
        <f t="shared" si="8"/>
        <v>262026.27000000002</v>
      </c>
      <c r="BH71" s="195">
        <f t="shared" si="8"/>
        <v>677948</v>
      </c>
      <c r="BI71" s="195">
        <f t="shared" si="8"/>
        <v>0</v>
      </c>
      <c r="BJ71" s="195">
        <f t="shared" si="8"/>
        <v>623176.77</v>
      </c>
      <c r="BK71" s="195">
        <f t="shared" si="8"/>
        <v>2235069.6599999997</v>
      </c>
      <c r="BL71" s="195">
        <f t="shared" si="8"/>
        <v>197453.21999999997</v>
      </c>
      <c r="BM71" s="195">
        <f t="shared" si="8"/>
        <v>274160</v>
      </c>
      <c r="BN71" s="195">
        <f t="shared" si="8"/>
        <v>2124793.5699999998</v>
      </c>
      <c r="BO71" s="195">
        <f t="shared" si="8"/>
        <v>0</v>
      </c>
      <c r="BP71" s="195">
        <f t="shared" ref="BP71:CC71" si="9">SUM(BP61:BP69)-BP70</f>
        <v>67462</v>
      </c>
      <c r="BQ71" s="195">
        <f t="shared" si="9"/>
        <v>0</v>
      </c>
      <c r="BR71" s="195">
        <f t="shared" si="9"/>
        <v>1327395</v>
      </c>
      <c r="BS71" s="195">
        <f t="shared" si="9"/>
        <v>0</v>
      </c>
      <c r="BT71" s="195">
        <f t="shared" si="9"/>
        <v>0</v>
      </c>
      <c r="BU71" s="195">
        <f t="shared" si="9"/>
        <v>0</v>
      </c>
      <c r="BV71" s="195">
        <f t="shared" si="9"/>
        <v>257103</v>
      </c>
      <c r="BW71" s="195">
        <f t="shared" si="9"/>
        <v>205734.09999999998</v>
      </c>
      <c r="BX71" s="195">
        <f t="shared" si="9"/>
        <v>973829.73</v>
      </c>
      <c r="BY71" s="195">
        <f t="shared" si="9"/>
        <v>1153351.92</v>
      </c>
      <c r="BZ71" s="195">
        <f t="shared" si="9"/>
        <v>0</v>
      </c>
      <c r="CA71" s="195">
        <f t="shared" si="9"/>
        <v>91310</v>
      </c>
      <c r="CB71" s="195">
        <f t="shared" si="9"/>
        <v>0</v>
      </c>
      <c r="CC71" s="195">
        <f t="shared" si="9"/>
        <v>14276087.359999999</v>
      </c>
      <c r="CD71" s="243">
        <f>CD69-CD70</f>
        <v>2106924.98</v>
      </c>
      <c r="CE71" s="195">
        <f>SUM(CE61:CE69)-CE70</f>
        <v>114127082.55000001</v>
      </c>
      <c r="CF71" s="373">
        <f>'data 2Q21-4Q21'!CE71</f>
        <v>90652005.549999997</v>
      </c>
      <c r="CG71" s="373">
        <f>'data 1Q21 (2)'!CE71</f>
        <v>23475082</v>
      </c>
      <c r="CH71" s="180">
        <f t="shared" si="2"/>
        <v>4.9999999850988388</v>
      </c>
    </row>
    <row r="72" spans="1:86" ht="12.65" customHeight="1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373">
        <f>'data 2Q21-4Q21'!CE72</f>
        <v>0</v>
      </c>
      <c r="CG72" s="373">
        <f>'data 1Q21 (2)'!CE72</f>
        <v>0</v>
      </c>
      <c r="CH72" s="180">
        <f t="shared" si="2"/>
        <v>0</v>
      </c>
    </row>
    <row r="73" spans="1:86" ht="12.65" customHeight="1">
      <c r="A73" s="171" t="s">
        <v>245</v>
      </c>
      <c r="B73" s="175"/>
      <c r="C73" s="184">
        <f>'data 2Q21-4Q21'!C73+'data 1Q21 (2)'!C73</f>
        <v>38984567.939999998</v>
      </c>
      <c r="D73" s="184">
        <f>'data 2Q21-4Q21'!D73+'data 1Q21 (2)'!D73</f>
        <v>32456352.789999995</v>
      </c>
      <c r="E73" s="184">
        <f>'data 2Q21-4Q21'!E73+'data 1Q21 (2)'!E73</f>
        <v>17579720.129999999</v>
      </c>
      <c r="F73" s="184">
        <f>'data 2Q21-4Q21'!F73+'data 1Q21 (2)'!F73</f>
        <v>2213339</v>
      </c>
      <c r="G73" s="184">
        <f>'data 2Q21-4Q21'!G73+'data 1Q21 (2)'!G73</f>
        <v>23213770.040000003</v>
      </c>
      <c r="H73" s="184">
        <f>'data 2Q21-4Q21'!H73+'data 1Q21 (2)'!H73</f>
        <v>9219773</v>
      </c>
      <c r="I73" s="184">
        <f>'data 2Q21-4Q21'!I73+'data 1Q21 (2)'!I73</f>
        <v>0</v>
      </c>
      <c r="J73" s="184">
        <f>'data 2Q21-4Q21'!J73+'data 1Q21 (2)'!J73</f>
        <v>21634639</v>
      </c>
      <c r="K73" s="184">
        <f>'data 2Q21-4Q21'!K73+'data 1Q21 (2)'!K73</f>
        <v>1085184.1500000001</v>
      </c>
      <c r="L73" s="184">
        <f>'data 2Q21-4Q21'!L73+'data 1Q21 (2)'!L73</f>
        <v>11012817.66</v>
      </c>
      <c r="M73" s="184">
        <f>'data 2Q21-4Q21'!M73+'data 1Q21 (2)'!M73</f>
        <v>10736203.630000001</v>
      </c>
      <c r="N73" s="184">
        <f>'data 2Q21-4Q21'!N73+'data 1Q21 (2)'!N73</f>
        <v>1602715.55</v>
      </c>
      <c r="O73" s="184">
        <f>'data 2Q21-4Q21'!O73+'data 1Q21 (2)'!O73</f>
        <v>5617774</v>
      </c>
      <c r="P73" s="184">
        <f>'data 2Q21-4Q21'!P73+'data 1Q21 (2)'!P73</f>
        <v>17424055.57</v>
      </c>
      <c r="Q73" s="184">
        <f>'data 2Q21-4Q21'!Q73+'data 1Q21 (2)'!Q73</f>
        <v>8381385</v>
      </c>
      <c r="R73" s="184">
        <f>'data 2Q21-4Q21'!R73+'data 1Q21 (2)'!R73</f>
        <v>2731852</v>
      </c>
      <c r="S73" s="184">
        <f>'data 2Q21-4Q21'!S73+'data 1Q21 (2)'!S73</f>
        <v>9865455.4700000007</v>
      </c>
      <c r="T73" s="184">
        <f>'data 2Q21-4Q21'!T73+'data 1Q21 (2)'!T73</f>
        <v>111101</v>
      </c>
      <c r="U73" s="184">
        <f>'data 2Q21-4Q21'!U73+'data 1Q21 (2)'!U73</f>
        <v>5628077</v>
      </c>
      <c r="V73" s="184">
        <f>'data 2Q21-4Q21'!V73+'data 1Q21 (2)'!V73</f>
        <v>401084</v>
      </c>
      <c r="W73" s="184">
        <f>'data 2Q21-4Q21'!W73+'data 1Q21 (2)'!W73</f>
        <v>453094</v>
      </c>
      <c r="X73" s="184">
        <f>'data 2Q21-4Q21'!X73+'data 1Q21 (2)'!X73</f>
        <v>4245533</v>
      </c>
      <c r="Y73" s="184">
        <f>'data 2Q21-4Q21'!Y73+'data 1Q21 (2)'!Y73</f>
        <v>4076745</v>
      </c>
      <c r="Z73" s="184">
        <f>'data 2Q21-4Q21'!Z73+'data 1Q21 (2)'!Z73</f>
        <v>29791</v>
      </c>
      <c r="AA73" s="184">
        <f>'data 2Q21-4Q21'!AA73+'data 1Q21 (2)'!AA73</f>
        <v>214324</v>
      </c>
      <c r="AB73" s="184">
        <f>'data 2Q21-4Q21'!AB73+'data 1Q21 (2)'!AB73</f>
        <v>2822175</v>
      </c>
      <c r="AC73" s="184">
        <f>'data 2Q21-4Q21'!AC73+'data 1Q21 (2)'!AC73</f>
        <v>1490751</v>
      </c>
      <c r="AD73" s="184">
        <f>'data 2Q21-4Q21'!AD73+'data 1Q21 (2)'!AD73</f>
        <v>0</v>
      </c>
      <c r="AE73" s="184">
        <f>'data 2Q21-4Q21'!AE73+'data 1Q21 (2)'!AE73</f>
        <v>365644</v>
      </c>
      <c r="AF73" s="184">
        <f>'data 2Q21-4Q21'!AF73+'data 1Q21 (2)'!AF73</f>
        <v>0</v>
      </c>
      <c r="AG73" s="184">
        <f>'data 2Q21-4Q21'!AG73+'data 1Q21 (2)'!AG73</f>
        <v>2335409</v>
      </c>
      <c r="AH73" s="184">
        <f>'data 2Q21-4Q21'!AH73+'data 1Q21 (2)'!AH73</f>
        <v>0</v>
      </c>
      <c r="AI73" s="184">
        <f>'data 2Q21-4Q21'!AI73+'data 1Q21 (2)'!AI73</f>
        <v>353987</v>
      </c>
      <c r="AJ73" s="184">
        <f>'data 2Q21-4Q21'!AJ73+'data 1Q21 (2)'!AJ73</f>
        <v>0</v>
      </c>
      <c r="AK73" s="184">
        <f>'data 2Q21-4Q21'!AK73+'data 1Q21 (2)'!AK73</f>
        <v>97840</v>
      </c>
      <c r="AL73" s="184">
        <f>'data 2Q21-4Q21'!AL73+'data 1Q21 (2)'!AL73</f>
        <v>0</v>
      </c>
      <c r="AM73" s="184">
        <f>'data 2Q21-4Q21'!AM73+'data 1Q21 (2)'!AM73</f>
        <v>0</v>
      </c>
      <c r="AN73" s="184">
        <f>'data 2Q21-4Q21'!AN73+'data 1Q21 (2)'!AN73</f>
        <v>0.04</v>
      </c>
      <c r="AO73" s="184">
        <f>'data 2Q21-4Q21'!AO73+'data 1Q21 (2)'!AO73</f>
        <v>0</v>
      </c>
      <c r="AP73" s="184">
        <f>'data 2Q21-4Q21'!AP73+'data 1Q21 (2)'!AP73</f>
        <v>0</v>
      </c>
      <c r="AQ73" s="184">
        <f>'data 2Q21-4Q21'!AQ73+'data 1Q21 (2)'!AQ73</f>
        <v>0</v>
      </c>
      <c r="AR73" s="184">
        <f>'data 2Q21-4Q21'!AR73+'data 1Q21 (2)'!AR73</f>
        <v>0</v>
      </c>
      <c r="AS73" s="184">
        <f>'data 2Q21-4Q21'!AS73+'data 1Q21 (2)'!AS73</f>
        <v>0</v>
      </c>
      <c r="AT73" s="184">
        <f>'data 2Q21-4Q21'!AT73+'data 1Q21 (2)'!AT73</f>
        <v>0</v>
      </c>
      <c r="AU73" s="184">
        <f>'data 2Q21-4Q21'!AU73+'data 1Q21 (2)'!AU73</f>
        <v>0</v>
      </c>
      <c r="AV73" s="184">
        <f>'data 2Q21-4Q21'!AV73+'data 1Q21 (2)'!AV73</f>
        <v>7186636</v>
      </c>
      <c r="AW73" s="184">
        <f>'data 2Q21-4Q21'!AW73+'data 1Q21 (2)'!AW73</f>
        <v>0</v>
      </c>
      <c r="AX73" s="184">
        <f>'data 2Q21-4Q21'!AX73+'data 1Q21 (2)'!AX73</f>
        <v>0</v>
      </c>
      <c r="AY73" s="184">
        <f>'data 2Q21-4Q21'!AY73+'data 1Q21 (2)'!AY73</f>
        <v>0</v>
      </c>
      <c r="AZ73" s="184">
        <f>'data 2Q21-4Q21'!AZ73+'data 1Q21 (2)'!AZ73</f>
        <v>0</v>
      </c>
      <c r="BA73" s="184">
        <f>'data 2Q21-4Q21'!BA73+'data 1Q21 (2)'!BA73</f>
        <v>0</v>
      </c>
      <c r="BB73" s="184">
        <f>'data 2Q21-4Q21'!BB73+'data 1Q21 (2)'!BB73</f>
        <v>0</v>
      </c>
      <c r="BC73" s="184">
        <f>'data 2Q21-4Q21'!BC73+'data 1Q21 (2)'!BC73</f>
        <v>0</v>
      </c>
      <c r="BD73" s="184">
        <f>'data 2Q21-4Q21'!BD73+'data 1Q21 (2)'!BD73</f>
        <v>0</v>
      </c>
      <c r="BE73" s="184">
        <f>'data 2Q21-4Q21'!BE73+'data 1Q21 (2)'!BE73</f>
        <v>0</v>
      </c>
      <c r="BF73" s="184">
        <f>'data 2Q21-4Q21'!BF73+'data 1Q21 (2)'!BF73</f>
        <v>0</v>
      </c>
      <c r="BG73" s="184">
        <f>'data 2Q21-4Q21'!BG73+'data 1Q21 (2)'!BG73</f>
        <v>0</v>
      </c>
      <c r="BH73" s="184">
        <f>'data 2Q21-4Q21'!BH73+'data 1Q21 (2)'!BH73</f>
        <v>0</v>
      </c>
      <c r="BI73" s="184">
        <f>'data 2Q21-4Q21'!BI73+'data 1Q21 (2)'!BI73</f>
        <v>0</v>
      </c>
      <c r="BJ73" s="184">
        <f>'data 2Q21-4Q21'!BJ73+'data 1Q21 (2)'!BJ73</f>
        <v>0</v>
      </c>
      <c r="BK73" s="184">
        <f>'data 2Q21-4Q21'!BK73+'data 1Q21 (2)'!BK73</f>
        <v>0</v>
      </c>
      <c r="BL73" s="184">
        <f>'data 2Q21-4Q21'!BL73+'data 1Q21 (2)'!BL73</f>
        <v>0</v>
      </c>
      <c r="BM73" s="184">
        <f>'data 2Q21-4Q21'!BM73+'data 1Q21 (2)'!BM73</f>
        <v>0</v>
      </c>
      <c r="BN73" s="184">
        <f>'data 2Q21-4Q21'!BN73+'data 1Q21 (2)'!BN73</f>
        <v>0</v>
      </c>
      <c r="BO73" s="184">
        <f>'data 2Q21-4Q21'!BO73+'data 1Q21 (2)'!BO73</f>
        <v>0</v>
      </c>
      <c r="BP73" s="184">
        <f>'data 2Q21-4Q21'!BP73+'data 1Q21 (2)'!BP73</f>
        <v>0</v>
      </c>
      <c r="BQ73" s="184">
        <f>'data 2Q21-4Q21'!BQ73+'data 1Q21 (2)'!BQ73</f>
        <v>0</v>
      </c>
      <c r="BR73" s="184">
        <f>'data 2Q21-4Q21'!BR73+'data 1Q21 (2)'!BR73</f>
        <v>0</v>
      </c>
      <c r="BS73" s="184">
        <f>'data 2Q21-4Q21'!BS73+'data 1Q21 (2)'!BS73</f>
        <v>0</v>
      </c>
      <c r="BT73" s="184">
        <f>'data 2Q21-4Q21'!BT73+'data 1Q21 (2)'!BT73</f>
        <v>0</v>
      </c>
      <c r="BU73" s="184">
        <f>'data 2Q21-4Q21'!BU73+'data 1Q21 (2)'!BU73</f>
        <v>0</v>
      </c>
      <c r="BV73" s="184">
        <f>'data 2Q21-4Q21'!BV73+'data 1Q21 (2)'!BV73</f>
        <v>0</v>
      </c>
      <c r="BW73" s="184">
        <f>'data 2Q21-4Q21'!BW73+'data 1Q21 (2)'!BW73</f>
        <v>0</v>
      </c>
      <c r="BX73" s="184">
        <f>'data 2Q21-4Q21'!BX73+'data 1Q21 (2)'!BX73</f>
        <v>0</v>
      </c>
      <c r="BY73" s="184">
        <f>'data 2Q21-4Q21'!BY73+'data 1Q21 (2)'!BY73</f>
        <v>0</v>
      </c>
      <c r="BZ73" s="184">
        <f>'data 2Q21-4Q21'!BZ73+'data 1Q21 (2)'!BZ73</f>
        <v>0</v>
      </c>
      <c r="CA73" s="184">
        <f>'data 2Q21-4Q21'!CA73+'data 1Q21 (2)'!CA73</f>
        <v>0</v>
      </c>
      <c r="CB73" s="184">
        <f>'data 2Q21-4Q21'!CB73+'data 1Q21 (2)'!CB73</f>
        <v>0</v>
      </c>
      <c r="CC73" s="184">
        <f>'data 2Q21-4Q21'!CC73+'data 1Q21 (2)'!CC73</f>
        <v>0</v>
      </c>
      <c r="CD73" s="247" t="s">
        <v>221</v>
      </c>
      <c r="CE73" s="195">
        <f t="shared" ref="CE73:CE80" si="10">SUM(C73:CD73)</f>
        <v>243571795.96999997</v>
      </c>
      <c r="CF73" s="373">
        <f>'data 2Q21-4Q21'!CE73</f>
        <v>189689856.97</v>
      </c>
      <c r="CG73" s="373">
        <f>'data 1Q21 (2)'!CE73</f>
        <v>53881939</v>
      </c>
      <c r="CH73" s="270">
        <f t="shared" si="2"/>
        <v>0</v>
      </c>
    </row>
    <row r="74" spans="1:86" ht="12.65" customHeight="1">
      <c r="A74" s="171" t="s">
        <v>246</v>
      </c>
      <c r="B74" s="175"/>
      <c r="C74" s="184">
        <f>'data 2Q21-4Q21'!C74+'data 1Q21 (2)'!C74</f>
        <v>2406804.0300000003</v>
      </c>
      <c r="D74" s="184">
        <f>'data 2Q21-4Q21'!D74+'data 1Q21 (2)'!D74</f>
        <v>19457760.800000001</v>
      </c>
      <c r="E74" s="184">
        <f>'data 2Q21-4Q21'!E74+'data 1Q21 (2)'!E74</f>
        <v>2370726</v>
      </c>
      <c r="F74" s="184">
        <f>'data 2Q21-4Q21'!F74+'data 1Q21 (2)'!F74</f>
        <v>250053</v>
      </c>
      <c r="G74" s="184">
        <f>'data 2Q21-4Q21'!G74+'data 1Q21 (2)'!G74</f>
        <v>34588172.810000002</v>
      </c>
      <c r="H74" s="184">
        <f>'data 2Q21-4Q21'!H74+'data 1Q21 (2)'!H74</f>
        <v>17562324</v>
      </c>
      <c r="I74" s="184">
        <f>'data 2Q21-4Q21'!I74+'data 1Q21 (2)'!I74</f>
        <v>0</v>
      </c>
      <c r="J74" s="184">
        <f>'data 2Q21-4Q21'!J74+'data 1Q21 (2)'!J74</f>
        <v>18562264.809999999</v>
      </c>
      <c r="K74" s="184">
        <f>'data 2Q21-4Q21'!K74+'data 1Q21 (2)'!K74</f>
        <v>1943239.24</v>
      </c>
      <c r="L74" s="184">
        <f>'data 2Q21-4Q21'!L74+'data 1Q21 (2)'!L74</f>
        <v>29283283.07</v>
      </c>
      <c r="M74" s="184">
        <f>'data 2Q21-4Q21'!M74+'data 1Q21 (2)'!M74</f>
        <v>21905985.879999999</v>
      </c>
      <c r="N74" s="184">
        <f>'data 2Q21-4Q21'!N74+'data 1Q21 (2)'!N74</f>
        <v>31386407.43</v>
      </c>
      <c r="O74" s="184">
        <f>'data 2Q21-4Q21'!O74+'data 1Q21 (2)'!O74</f>
        <v>7171121.0500000007</v>
      </c>
      <c r="P74" s="184">
        <f>'data 2Q21-4Q21'!P74+'data 1Q21 (2)'!P74</f>
        <v>19091570.920000002</v>
      </c>
      <c r="Q74" s="184">
        <f>'data 2Q21-4Q21'!Q74+'data 1Q21 (2)'!Q74</f>
        <v>6918690</v>
      </c>
      <c r="R74" s="184">
        <f>'data 2Q21-4Q21'!R74+'data 1Q21 (2)'!R74</f>
        <v>4302740</v>
      </c>
      <c r="S74" s="184">
        <f>'data 2Q21-4Q21'!S74+'data 1Q21 (2)'!S74</f>
        <v>38012001.399999999</v>
      </c>
      <c r="T74" s="184">
        <f>'data 2Q21-4Q21'!T74+'data 1Q21 (2)'!T74</f>
        <v>3446450.2100000004</v>
      </c>
      <c r="U74" s="184">
        <f>'data 2Q21-4Q21'!U74+'data 1Q21 (2)'!U74</f>
        <v>25751465.379999999</v>
      </c>
      <c r="V74" s="184">
        <f>'data 2Q21-4Q21'!V74+'data 1Q21 (2)'!V74</f>
        <v>267941</v>
      </c>
      <c r="W74" s="184">
        <f>'data 2Q21-4Q21'!W74+'data 1Q21 (2)'!W74</f>
        <v>797738</v>
      </c>
      <c r="X74" s="184">
        <f>'data 2Q21-4Q21'!X74+'data 1Q21 (2)'!X74</f>
        <v>26131419.800000001</v>
      </c>
      <c r="Y74" s="184">
        <f>'data 2Q21-4Q21'!Y74+'data 1Q21 (2)'!Y74</f>
        <v>8666802</v>
      </c>
      <c r="Z74" s="184">
        <f>'data 2Q21-4Q21'!Z74+'data 1Q21 (2)'!Z74</f>
        <v>9898409</v>
      </c>
      <c r="AA74" s="184">
        <f>'data 2Q21-4Q21'!AA74+'data 1Q21 (2)'!AA74</f>
        <v>719151</v>
      </c>
      <c r="AB74" s="184">
        <f>'data 2Q21-4Q21'!AB74+'data 1Q21 (2)'!AB74</f>
        <v>2065009</v>
      </c>
      <c r="AC74" s="184">
        <f>'data 2Q21-4Q21'!AC74+'data 1Q21 (2)'!AC74</f>
        <v>1117497</v>
      </c>
      <c r="AD74" s="184">
        <f>'data 2Q21-4Q21'!AD74+'data 1Q21 (2)'!AD74</f>
        <v>0</v>
      </c>
      <c r="AE74" s="184">
        <f>'data 2Q21-4Q21'!AE74+'data 1Q21 (2)'!AE74</f>
        <v>573771</v>
      </c>
      <c r="AF74" s="184">
        <f>'data 2Q21-4Q21'!AF74+'data 1Q21 (2)'!AF74</f>
        <v>0</v>
      </c>
      <c r="AG74" s="184">
        <f>'data 2Q21-4Q21'!AG74+'data 1Q21 (2)'!AG74</f>
        <v>9352011</v>
      </c>
      <c r="AH74" s="184">
        <f>'data 2Q21-4Q21'!AH74+'data 1Q21 (2)'!AH74</f>
        <v>0</v>
      </c>
      <c r="AI74" s="184">
        <f>'data 2Q21-4Q21'!AI74+'data 1Q21 (2)'!AI74</f>
        <v>1899216</v>
      </c>
      <c r="AJ74" s="184">
        <f>'data 2Q21-4Q21'!AJ74+'data 1Q21 (2)'!AJ74</f>
        <v>0</v>
      </c>
      <c r="AK74" s="184">
        <f>'data 2Q21-4Q21'!AK74+'data 1Q21 (2)'!AK74</f>
        <v>166673</v>
      </c>
      <c r="AL74" s="184">
        <f>'data 2Q21-4Q21'!AL74+'data 1Q21 (2)'!AL74</f>
        <v>0</v>
      </c>
      <c r="AM74" s="184">
        <f>'data 2Q21-4Q21'!AM74+'data 1Q21 (2)'!AM74</f>
        <v>0</v>
      </c>
      <c r="AN74" s="184">
        <f>'data 2Q21-4Q21'!AN74+'data 1Q21 (2)'!AN74</f>
        <v>0</v>
      </c>
      <c r="AO74" s="184">
        <f>'data 2Q21-4Q21'!AO74+'data 1Q21 (2)'!AO74</f>
        <v>0</v>
      </c>
      <c r="AP74" s="184">
        <f>'data 2Q21-4Q21'!AP74+'data 1Q21 (2)'!AP74</f>
        <v>0</v>
      </c>
      <c r="AQ74" s="184">
        <f>'data 2Q21-4Q21'!AQ74+'data 1Q21 (2)'!AQ74</f>
        <v>0</v>
      </c>
      <c r="AR74" s="184">
        <f>'data 2Q21-4Q21'!AR74+'data 1Q21 (2)'!AR74</f>
        <v>0</v>
      </c>
      <c r="AS74" s="184">
        <f>'data 2Q21-4Q21'!AS74+'data 1Q21 (2)'!AS74</f>
        <v>0</v>
      </c>
      <c r="AT74" s="184">
        <f>'data 2Q21-4Q21'!AT74+'data 1Q21 (2)'!AT74</f>
        <v>0</v>
      </c>
      <c r="AU74" s="184">
        <f>'data 2Q21-4Q21'!AU74+'data 1Q21 (2)'!AU74</f>
        <v>0</v>
      </c>
      <c r="AV74" s="184">
        <f>'data 2Q21-4Q21'!AV74+'data 1Q21 (2)'!AV74</f>
        <v>9926148</v>
      </c>
      <c r="AW74" s="184">
        <f>'data 2Q21-4Q21'!AW74+'data 1Q21 (2)'!AW74</f>
        <v>0</v>
      </c>
      <c r="AX74" s="184">
        <f>'data 2Q21-4Q21'!AX74+'data 1Q21 (2)'!AX74</f>
        <v>0</v>
      </c>
      <c r="AY74" s="184">
        <f>'data 2Q21-4Q21'!AY74+'data 1Q21 (2)'!AY74</f>
        <v>0</v>
      </c>
      <c r="AZ74" s="184">
        <f>'data 2Q21-4Q21'!AZ74+'data 1Q21 (2)'!AZ74</f>
        <v>0</v>
      </c>
      <c r="BA74" s="184">
        <f>'data 2Q21-4Q21'!BA74+'data 1Q21 (2)'!BA74</f>
        <v>0</v>
      </c>
      <c r="BB74" s="184">
        <f>'data 2Q21-4Q21'!BB74+'data 1Q21 (2)'!BB74</f>
        <v>0</v>
      </c>
      <c r="BC74" s="184">
        <f>'data 2Q21-4Q21'!BC74+'data 1Q21 (2)'!BC74</f>
        <v>0</v>
      </c>
      <c r="BD74" s="184">
        <f>'data 2Q21-4Q21'!BD74+'data 1Q21 (2)'!BD74</f>
        <v>0</v>
      </c>
      <c r="BE74" s="184">
        <f>'data 2Q21-4Q21'!BE74+'data 1Q21 (2)'!BE74</f>
        <v>0</v>
      </c>
      <c r="BF74" s="184">
        <f>'data 2Q21-4Q21'!BF74+'data 1Q21 (2)'!BF74</f>
        <v>0</v>
      </c>
      <c r="BG74" s="184">
        <f>'data 2Q21-4Q21'!BG74+'data 1Q21 (2)'!BG74</f>
        <v>0</v>
      </c>
      <c r="BH74" s="184">
        <f>'data 2Q21-4Q21'!BH74+'data 1Q21 (2)'!BH74</f>
        <v>0</v>
      </c>
      <c r="BI74" s="184">
        <f>'data 2Q21-4Q21'!BI74+'data 1Q21 (2)'!BI74</f>
        <v>0</v>
      </c>
      <c r="BJ74" s="184">
        <f>'data 2Q21-4Q21'!BJ74+'data 1Q21 (2)'!BJ74</f>
        <v>0</v>
      </c>
      <c r="BK74" s="184">
        <f>'data 2Q21-4Q21'!BK74+'data 1Q21 (2)'!BK74</f>
        <v>0</v>
      </c>
      <c r="BL74" s="184">
        <f>'data 2Q21-4Q21'!BL74+'data 1Q21 (2)'!BL74</f>
        <v>0</v>
      </c>
      <c r="BM74" s="184">
        <f>'data 2Q21-4Q21'!BM74+'data 1Q21 (2)'!BM74</f>
        <v>0</v>
      </c>
      <c r="BN74" s="184">
        <f>'data 2Q21-4Q21'!BN74+'data 1Q21 (2)'!BN74</f>
        <v>0</v>
      </c>
      <c r="BO74" s="184">
        <f>'data 2Q21-4Q21'!BO74+'data 1Q21 (2)'!BO74</f>
        <v>0</v>
      </c>
      <c r="BP74" s="184">
        <f>'data 2Q21-4Q21'!BP74+'data 1Q21 (2)'!BP74</f>
        <v>0</v>
      </c>
      <c r="BQ74" s="184">
        <f>'data 2Q21-4Q21'!BQ74+'data 1Q21 (2)'!BQ74</f>
        <v>0</v>
      </c>
      <c r="BR74" s="184">
        <f>'data 2Q21-4Q21'!BR74+'data 1Q21 (2)'!BR74</f>
        <v>0</v>
      </c>
      <c r="BS74" s="184">
        <f>'data 2Q21-4Q21'!BS74+'data 1Q21 (2)'!BS74</f>
        <v>0</v>
      </c>
      <c r="BT74" s="184">
        <f>'data 2Q21-4Q21'!BT74+'data 1Q21 (2)'!BT74</f>
        <v>0</v>
      </c>
      <c r="BU74" s="184">
        <f>'data 2Q21-4Q21'!BU74+'data 1Q21 (2)'!BU74</f>
        <v>0</v>
      </c>
      <c r="BV74" s="184">
        <f>'data 2Q21-4Q21'!BV74+'data 1Q21 (2)'!BV74</f>
        <v>0</v>
      </c>
      <c r="BW74" s="184">
        <f>'data 2Q21-4Q21'!BW74+'data 1Q21 (2)'!BW74</f>
        <v>0</v>
      </c>
      <c r="BX74" s="184">
        <f>'data 2Q21-4Q21'!BX74+'data 1Q21 (2)'!BX74</f>
        <v>0</v>
      </c>
      <c r="BY74" s="184">
        <f>'data 2Q21-4Q21'!BY74+'data 1Q21 (2)'!BY74</f>
        <v>0</v>
      </c>
      <c r="BZ74" s="184">
        <f>'data 2Q21-4Q21'!BZ74+'data 1Q21 (2)'!BZ74</f>
        <v>0</v>
      </c>
      <c r="CA74" s="184">
        <f>'data 2Q21-4Q21'!CA74+'data 1Q21 (2)'!CA74</f>
        <v>0</v>
      </c>
      <c r="CB74" s="184">
        <f>'data 2Q21-4Q21'!CB74+'data 1Q21 (2)'!CB74</f>
        <v>0</v>
      </c>
      <c r="CC74" s="184">
        <f>'data 2Q21-4Q21'!CC74+'data 1Q21 (2)'!CC74</f>
        <v>0</v>
      </c>
      <c r="CD74" s="247" t="s">
        <v>221</v>
      </c>
      <c r="CE74" s="195">
        <f t="shared" si="10"/>
        <v>355992845.83000004</v>
      </c>
      <c r="CF74" s="373">
        <f>'data 2Q21-4Q21'!CE74</f>
        <v>268643728.82999998</v>
      </c>
      <c r="CG74" s="373">
        <f>'data 1Q21 (2)'!CE74</f>
        <v>87349117</v>
      </c>
      <c r="CH74" s="270">
        <f t="shared" si="2"/>
        <v>0</v>
      </c>
    </row>
    <row r="75" spans="1:86" ht="12.65" customHeight="1">
      <c r="A75" s="171" t="s">
        <v>247</v>
      </c>
      <c r="B75" s="175"/>
      <c r="C75" s="195">
        <f t="shared" ref="C75:BN75" si="11">SUM(C73:C74)</f>
        <v>41391371.969999999</v>
      </c>
      <c r="D75" s="195">
        <f t="shared" si="11"/>
        <v>51914113.589999996</v>
      </c>
      <c r="E75" s="195">
        <f t="shared" si="11"/>
        <v>19950446.129999999</v>
      </c>
      <c r="F75" s="195">
        <f t="shared" si="11"/>
        <v>2463392</v>
      </c>
      <c r="G75" s="195">
        <f t="shared" si="11"/>
        <v>57801942.850000009</v>
      </c>
      <c r="H75" s="195">
        <f t="shared" si="11"/>
        <v>26782097</v>
      </c>
      <c r="I75" s="195">
        <f t="shared" si="11"/>
        <v>0</v>
      </c>
      <c r="J75" s="195">
        <f t="shared" si="11"/>
        <v>40196903.810000002</v>
      </c>
      <c r="K75" s="195">
        <f t="shared" si="11"/>
        <v>3028423.39</v>
      </c>
      <c r="L75" s="195">
        <f t="shared" si="11"/>
        <v>40296100.730000004</v>
      </c>
      <c r="M75" s="195">
        <f t="shared" si="11"/>
        <v>32642189.509999998</v>
      </c>
      <c r="N75" s="195">
        <f t="shared" si="11"/>
        <v>32989122.98</v>
      </c>
      <c r="O75" s="195">
        <f t="shared" si="11"/>
        <v>12788895.050000001</v>
      </c>
      <c r="P75" s="195">
        <f t="shared" si="11"/>
        <v>36515626.490000002</v>
      </c>
      <c r="Q75" s="195">
        <f t="shared" si="11"/>
        <v>15300075</v>
      </c>
      <c r="R75" s="195">
        <f t="shared" si="11"/>
        <v>7034592</v>
      </c>
      <c r="S75" s="195">
        <f t="shared" si="11"/>
        <v>47877456.869999997</v>
      </c>
      <c r="T75" s="195">
        <f t="shared" si="11"/>
        <v>3557551.2100000004</v>
      </c>
      <c r="U75" s="195">
        <f t="shared" si="11"/>
        <v>31379542.379999999</v>
      </c>
      <c r="V75" s="195">
        <f t="shared" si="11"/>
        <v>669025</v>
      </c>
      <c r="W75" s="195">
        <f t="shared" si="11"/>
        <v>1250832</v>
      </c>
      <c r="X75" s="195">
        <f t="shared" si="11"/>
        <v>30376952.800000001</v>
      </c>
      <c r="Y75" s="195">
        <f t="shared" si="11"/>
        <v>12743547</v>
      </c>
      <c r="Z75" s="195">
        <f t="shared" si="11"/>
        <v>9928200</v>
      </c>
      <c r="AA75" s="195">
        <f t="shared" si="11"/>
        <v>933475</v>
      </c>
      <c r="AB75" s="195">
        <f t="shared" si="11"/>
        <v>4887184</v>
      </c>
      <c r="AC75" s="195">
        <f t="shared" si="11"/>
        <v>2608248</v>
      </c>
      <c r="AD75" s="195">
        <f t="shared" si="11"/>
        <v>0</v>
      </c>
      <c r="AE75" s="195">
        <f t="shared" si="11"/>
        <v>939415</v>
      </c>
      <c r="AF75" s="195">
        <f t="shared" si="11"/>
        <v>0</v>
      </c>
      <c r="AG75" s="195">
        <f t="shared" si="11"/>
        <v>11687420</v>
      </c>
      <c r="AH75" s="195">
        <f t="shared" si="11"/>
        <v>0</v>
      </c>
      <c r="AI75" s="195">
        <f t="shared" si="11"/>
        <v>2253203</v>
      </c>
      <c r="AJ75" s="195">
        <f t="shared" si="11"/>
        <v>0</v>
      </c>
      <c r="AK75" s="195">
        <f t="shared" si="11"/>
        <v>264513</v>
      </c>
      <c r="AL75" s="195">
        <f t="shared" si="11"/>
        <v>0</v>
      </c>
      <c r="AM75" s="195">
        <f t="shared" si="11"/>
        <v>0</v>
      </c>
      <c r="AN75" s="195">
        <f t="shared" si="11"/>
        <v>0.04</v>
      </c>
      <c r="AO75" s="195">
        <f t="shared" si="11"/>
        <v>0</v>
      </c>
      <c r="AP75" s="195">
        <f t="shared" si="11"/>
        <v>0</v>
      </c>
      <c r="AQ75" s="195">
        <f t="shared" si="11"/>
        <v>0</v>
      </c>
      <c r="AR75" s="195">
        <f t="shared" si="11"/>
        <v>0</v>
      </c>
      <c r="AS75" s="195">
        <f t="shared" si="11"/>
        <v>0</v>
      </c>
      <c r="AT75" s="195">
        <f t="shared" si="11"/>
        <v>0</v>
      </c>
      <c r="AU75" s="195">
        <f t="shared" si="11"/>
        <v>0</v>
      </c>
      <c r="AV75" s="195">
        <f t="shared" si="11"/>
        <v>17112784</v>
      </c>
      <c r="AW75" s="195">
        <f t="shared" si="11"/>
        <v>0</v>
      </c>
      <c r="AX75" s="195">
        <f t="shared" si="11"/>
        <v>0</v>
      </c>
      <c r="AY75" s="195">
        <f t="shared" si="11"/>
        <v>0</v>
      </c>
      <c r="AZ75" s="195">
        <f t="shared" si="11"/>
        <v>0</v>
      </c>
      <c r="BA75" s="195">
        <f t="shared" si="11"/>
        <v>0</v>
      </c>
      <c r="BB75" s="195">
        <f t="shared" si="11"/>
        <v>0</v>
      </c>
      <c r="BC75" s="195">
        <f t="shared" si="11"/>
        <v>0</v>
      </c>
      <c r="BD75" s="195">
        <f t="shared" si="11"/>
        <v>0</v>
      </c>
      <c r="BE75" s="195">
        <f t="shared" si="11"/>
        <v>0</v>
      </c>
      <c r="BF75" s="195">
        <f t="shared" si="11"/>
        <v>0</v>
      </c>
      <c r="BG75" s="195">
        <f t="shared" si="11"/>
        <v>0</v>
      </c>
      <c r="BH75" s="195">
        <f t="shared" si="11"/>
        <v>0</v>
      </c>
      <c r="BI75" s="195">
        <f t="shared" si="11"/>
        <v>0</v>
      </c>
      <c r="BJ75" s="195">
        <f t="shared" si="11"/>
        <v>0</v>
      </c>
      <c r="BK75" s="195">
        <f t="shared" si="11"/>
        <v>0</v>
      </c>
      <c r="BL75" s="195">
        <f t="shared" si="11"/>
        <v>0</v>
      </c>
      <c r="BM75" s="195">
        <f t="shared" si="11"/>
        <v>0</v>
      </c>
      <c r="BN75" s="195">
        <f t="shared" si="11"/>
        <v>0</v>
      </c>
      <c r="BO75" s="195">
        <f t="shared" ref="BO75:CC75" si="12">SUM(BO73:BO74)</f>
        <v>0</v>
      </c>
      <c r="BP75" s="195">
        <f t="shared" si="12"/>
        <v>0</v>
      </c>
      <c r="BQ75" s="195">
        <f t="shared" si="12"/>
        <v>0</v>
      </c>
      <c r="BR75" s="195">
        <f t="shared" si="12"/>
        <v>0</v>
      </c>
      <c r="BS75" s="195">
        <f t="shared" si="12"/>
        <v>0</v>
      </c>
      <c r="BT75" s="195">
        <f t="shared" si="12"/>
        <v>0</v>
      </c>
      <c r="BU75" s="195">
        <f t="shared" si="12"/>
        <v>0</v>
      </c>
      <c r="BV75" s="195">
        <f t="shared" si="12"/>
        <v>0</v>
      </c>
      <c r="BW75" s="195">
        <f t="shared" si="12"/>
        <v>0</v>
      </c>
      <c r="BX75" s="195">
        <f t="shared" si="12"/>
        <v>0</v>
      </c>
      <c r="BY75" s="195">
        <f t="shared" si="12"/>
        <v>0</v>
      </c>
      <c r="BZ75" s="195">
        <f t="shared" si="12"/>
        <v>0</v>
      </c>
      <c r="CA75" s="195">
        <f t="shared" si="12"/>
        <v>0</v>
      </c>
      <c r="CB75" s="195">
        <f t="shared" si="12"/>
        <v>0</v>
      </c>
      <c r="CC75" s="195">
        <f t="shared" si="12"/>
        <v>0</v>
      </c>
      <c r="CD75" s="247" t="s">
        <v>221</v>
      </c>
      <c r="CE75" s="195">
        <f t="shared" si="10"/>
        <v>599564641.79999995</v>
      </c>
      <c r="CF75" s="373">
        <f>'data 2Q21-4Q21'!CE75</f>
        <v>458333585.80000007</v>
      </c>
      <c r="CG75" s="373">
        <f>'data 1Q21 (2)'!CE75</f>
        <v>141231056</v>
      </c>
      <c r="CH75" s="270">
        <f t="shared" si="2"/>
        <v>0</v>
      </c>
    </row>
    <row r="76" spans="1:86" ht="12.65" customHeight="1">
      <c r="A76" s="171" t="s">
        <v>248</v>
      </c>
      <c r="B76" s="175"/>
      <c r="C76" s="284">
        <v>8412.0400000000009</v>
      </c>
      <c r="D76" s="284">
        <v>0</v>
      </c>
      <c r="E76" s="369">
        <v>0</v>
      </c>
      <c r="F76" s="369">
        <v>23269.23</v>
      </c>
      <c r="G76" s="284">
        <v>0</v>
      </c>
      <c r="H76" s="284">
        <v>0</v>
      </c>
      <c r="I76" s="369">
        <v>0</v>
      </c>
      <c r="J76" s="369">
        <v>0</v>
      </c>
      <c r="K76" s="369">
        <v>0</v>
      </c>
      <c r="L76" s="369">
        <v>0</v>
      </c>
      <c r="M76" s="369">
        <v>0</v>
      </c>
      <c r="N76" s="369">
        <v>0</v>
      </c>
      <c r="O76" s="369">
        <v>0</v>
      </c>
      <c r="P76" s="369">
        <v>18197.259999999998</v>
      </c>
      <c r="Q76" s="369">
        <v>0</v>
      </c>
      <c r="R76" s="369">
        <v>2950.5</v>
      </c>
      <c r="S76" s="369">
        <v>0</v>
      </c>
      <c r="T76" s="369">
        <v>0</v>
      </c>
      <c r="U76" s="369">
        <v>2744</v>
      </c>
      <c r="V76" s="369">
        <v>0</v>
      </c>
      <c r="W76" s="369">
        <v>882.23</v>
      </c>
      <c r="X76" s="369">
        <v>949.5</v>
      </c>
      <c r="Y76" s="369">
        <v>19407</v>
      </c>
      <c r="Z76" s="369">
        <v>364</v>
      </c>
      <c r="AA76" s="369">
        <v>5034</v>
      </c>
      <c r="AB76" s="369">
        <v>1257.58</v>
      </c>
      <c r="AC76" s="369">
        <v>1701</v>
      </c>
      <c r="AD76" s="369">
        <v>0</v>
      </c>
      <c r="AE76" s="369">
        <v>4212.51</v>
      </c>
      <c r="AF76" s="369">
        <v>0</v>
      </c>
      <c r="AG76" s="369">
        <v>6486.31</v>
      </c>
      <c r="AH76" s="369">
        <v>0</v>
      </c>
      <c r="AI76" s="369">
        <v>0</v>
      </c>
      <c r="AJ76" s="369">
        <v>0</v>
      </c>
      <c r="AK76" s="369">
        <v>0</v>
      </c>
      <c r="AL76" s="369">
        <v>0</v>
      </c>
      <c r="AM76" s="369">
        <v>0</v>
      </c>
      <c r="AN76" s="369">
        <v>0</v>
      </c>
      <c r="AO76" s="369">
        <v>0</v>
      </c>
      <c r="AP76" s="369">
        <v>0</v>
      </c>
      <c r="AQ76" s="369">
        <v>0</v>
      </c>
      <c r="AR76" s="369">
        <v>0</v>
      </c>
      <c r="AS76" s="369">
        <v>0</v>
      </c>
      <c r="AT76" s="369">
        <v>0</v>
      </c>
      <c r="AU76" s="369">
        <v>0</v>
      </c>
      <c r="AV76" s="369">
        <v>2190.9700000000003</v>
      </c>
      <c r="AW76" s="369">
        <v>0</v>
      </c>
      <c r="AX76" s="369">
        <v>0</v>
      </c>
      <c r="AY76" s="369">
        <v>5478.8099999999995</v>
      </c>
      <c r="AZ76" s="369">
        <v>0</v>
      </c>
      <c r="BA76" s="369">
        <v>0</v>
      </c>
      <c r="BB76" s="369">
        <v>0</v>
      </c>
      <c r="BC76" s="369">
        <v>0</v>
      </c>
      <c r="BD76" s="369">
        <v>2564.81</v>
      </c>
      <c r="BE76" s="369">
        <v>45772.18</v>
      </c>
      <c r="BF76" s="369">
        <v>2289.46</v>
      </c>
      <c r="BG76" s="369">
        <v>0</v>
      </c>
      <c r="BH76" s="369">
        <v>0</v>
      </c>
      <c r="BI76" s="369">
        <v>0</v>
      </c>
      <c r="BJ76" s="369">
        <v>0</v>
      </c>
      <c r="BK76" s="369">
        <v>0</v>
      </c>
      <c r="BL76" s="369">
        <v>0</v>
      </c>
      <c r="BM76" s="369">
        <v>0</v>
      </c>
      <c r="BN76" s="369">
        <v>10381</v>
      </c>
      <c r="BO76" s="369">
        <v>0</v>
      </c>
      <c r="BP76" s="369">
        <v>0</v>
      </c>
      <c r="BQ76" s="369">
        <v>0</v>
      </c>
      <c r="BR76" s="369">
        <v>0</v>
      </c>
      <c r="BS76" s="369">
        <v>0</v>
      </c>
      <c r="BT76" s="369">
        <v>0</v>
      </c>
      <c r="BU76" s="369">
        <v>0</v>
      </c>
      <c r="BV76" s="369">
        <v>0</v>
      </c>
      <c r="BW76" s="369">
        <v>1901</v>
      </c>
      <c r="BX76" s="369">
        <v>0</v>
      </c>
      <c r="BY76" s="369">
        <v>1165.04</v>
      </c>
      <c r="BZ76" s="369">
        <v>0</v>
      </c>
      <c r="CA76" s="369">
        <v>0</v>
      </c>
      <c r="CB76" s="369">
        <v>0</v>
      </c>
      <c r="CC76" s="369">
        <v>42093.94</v>
      </c>
      <c r="CD76" s="247" t="s">
        <v>221</v>
      </c>
      <c r="CE76" s="195">
        <f>SUM(C76:CD76)</f>
        <v>209704.37</v>
      </c>
      <c r="CF76" s="195">
        <f>BE59-CE76</f>
        <v>0</v>
      </c>
    </row>
    <row r="77" spans="1:86" ht="12.65" customHeight="1">
      <c r="A77" s="171" t="s">
        <v>249</v>
      </c>
      <c r="B77" s="175"/>
      <c r="C77" s="284">
        <v>4193.2556893203891</v>
      </c>
      <c r="D77" s="184">
        <v>0</v>
      </c>
      <c r="E77" s="184">
        <v>16151.192198489753</v>
      </c>
      <c r="F77" s="184">
        <v>0</v>
      </c>
      <c r="G77" s="184">
        <v>0</v>
      </c>
      <c r="H77" s="184">
        <v>0</v>
      </c>
      <c r="I77" s="184">
        <v>0</v>
      </c>
      <c r="J77" s="184">
        <v>3137.6746235167202</v>
      </c>
      <c r="K77" s="184">
        <v>0</v>
      </c>
      <c r="L77" s="184">
        <v>0</v>
      </c>
      <c r="M77" s="184">
        <v>0</v>
      </c>
      <c r="N77" s="184">
        <v>0</v>
      </c>
      <c r="O77" s="184">
        <v>18753.877488673137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7" t="s">
        <v>221</v>
      </c>
      <c r="AY77" s="247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7" t="s">
        <v>221</v>
      </c>
      <c r="BE77" s="247" t="s">
        <v>221</v>
      </c>
      <c r="BF77" s="184">
        <v>0</v>
      </c>
      <c r="BG77" s="247" t="s">
        <v>221</v>
      </c>
      <c r="BH77" s="184">
        <v>0</v>
      </c>
      <c r="BI77" s="184">
        <v>0</v>
      </c>
      <c r="BJ77" s="247" t="s">
        <v>221</v>
      </c>
      <c r="BK77" s="184">
        <v>0</v>
      </c>
      <c r="BL77" s="184">
        <v>0</v>
      </c>
      <c r="BM77" s="184">
        <v>0</v>
      </c>
      <c r="BN77" s="247" t="s">
        <v>221</v>
      </c>
      <c r="BO77" s="247" t="s">
        <v>221</v>
      </c>
      <c r="BP77" s="247" t="s">
        <v>221</v>
      </c>
      <c r="BQ77" s="247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7" t="s">
        <v>221</v>
      </c>
      <c r="CD77" s="247" t="s">
        <v>221</v>
      </c>
      <c r="CE77" s="195">
        <f>SUM(C77:CD77)</f>
        <v>42236</v>
      </c>
      <c r="CF77" s="195">
        <f>AY59-CE77</f>
        <v>0</v>
      </c>
    </row>
    <row r="78" spans="1:86" ht="12.65" customHeight="1">
      <c r="A78" s="171" t="s">
        <v>250</v>
      </c>
      <c r="B78" s="175"/>
      <c r="C78" s="370">
        <v>2144</v>
      </c>
      <c r="D78" s="184"/>
      <c r="E78" s="184">
        <v>3046</v>
      </c>
      <c r="F78" s="184"/>
      <c r="G78" s="184"/>
      <c r="H78" s="184"/>
      <c r="I78" s="184"/>
      <c r="J78" s="184">
        <v>182</v>
      </c>
      <c r="K78" s="184"/>
      <c r="L78" s="184"/>
      <c r="M78" s="184"/>
      <c r="N78" s="184"/>
      <c r="O78" s="184">
        <v>5749</v>
      </c>
      <c r="P78" s="184">
        <v>576</v>
      </c>
      <c r="Q78" s="184">
        <v>732</v>
      </c>
      <c r="R78" s="184">
        <v>87</v>
      </c>
      <c r="S78" s="184">
        <v>736</v>
      </c>
      <c r="T78" s="184"/>
      <c r="U78" s="184">
        <v>699</v>
      </c>
      <c r="V78" s="184"/>
      <c r="W78" s="184">
        <v>225</v>
      </c>
      <c r="X78" s="184">
        <v>1525</v>
      </c>
      <c r="Y78" s="184">
        <v>3584</v>
      </c>
      <c r="Z78" s="184">
        <v>1283</v>
      </c>
      <c r="AA78" s="184">
        <v>93</v>
      </c>
      <c r="AB78" s="184">
        <v>321</v>
      </c>
      <c r="AC78" s="184">
        <v>1079</v>
      </c>
      <c r="AD78" s="184"/>
      <c r="AE78" s="184">
        <v>1074</v>
      </c>
      <c r="AF78" s="184"/>
      <c r="AG78" s="184">
        <v>1083</v>
      </c>
      <c r="AH78" s="184"/>
      <c r="AI78" s="184">
        <v>1269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11460</v>
      </c>
      <c r="AW78" s="184"/>
      <c r="AX78" s="247" t="s">
        <v>221</v>
      </c>
      <c r="AY78" s="247" t="s">
        <v>221</v>
      </c>
      <c r="AZ78" s="247" t="s">
        <v>221</v>
      </c>
      <c r="BA78" s="184"/>
      <c r="BB78" s="184">
        <v>189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192</v>
      </c>
      <c r="BI78" s="184"/>
      <c r="BJ78" s="247" t="s">
        <v>221</v>
      </c>
      <c r="BK78" s="184"/>
      <c r="BL78" s="184">
        <v>459</v>
      </c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73</v>
      </c>
      <c r="BT78" s="184"/>
      <c r="BU78" s="184"/>
      <c r="BV78" s="184">
        <v>855</v>
      </c>
      <c r="BW78" s="184"/>
      <c r="BX78" s="184">
        <v>21</v>
      </c>
      <c r="BY78" s="184">
        <v>297</v>
      </c>
      <c r="BZ78" s="184"/>
      <c r="CA78" s="184">
        <v>571</v>
      </c>
      <c r="CB78" s="184"/>
      <c r="CC78" s="247" t="s">
        <v>221</v>
      </c>
      <c r="CD78" s="247" t="s">
        <v>221</v>
      </c>
      <c r="CE78" s="195">
        <f t="shared" si="10"/>
        <v>39604</v>
      </c>
      <c r="CF78" s="195"/>
    </row>
    <row r="79" spans="1:86" ht="12.65" customHeight="1">
      <c r="A79" s="171" t="s">
        <v>251</v>
      </c>
      <c r="B79" s="175"/>
      <c r="C79" s="225">
        <v>69876.105830478467</v>
      </c>
      <c r="D79" s="225">
        <v>0</v>
      </c>
      <c r="E79" s="184">
        <v>129025.31172354239</v>
      </c>
      <c r="F79" s="184">
        <v>0</v>
      </c>
      <c r="G79" s="184">
        <v>0</v>
      </c>
      <c r="H79" s="184">
        <v>0</v>
      </c>
      <c r="I79" s="184">
        <v>0</v>
      </c>
      <c r="J79" s="184">
        <v>460.71687822876618</v>
      </c>
      <c r="K79" s="184">
        <v>0</v>
      </c>
      <c r="L79" s="184">
        <v>0</v>
      </c>
      <c r="M79" s="184">
        <v>0</v>
      </c>
      <c r="N79" s="184">
        <v>0</v>
      </c>
      <c r="O79" s="184">
        <v>57002.756956907622</v>
      </c>
      <c r="P79" s="184">
        <v>81551.163241185161</v>
      </c>
      <c r="Q79" s="184">
        <v>0</v>
      </c>
      <c r="R79" s="184">
        <v>0</v>
      </c>
      <c r="S79" s="184">
        <v>0</v>
      </c>
      <c r="T79" s="184">
        <v>0</v>
      </c>
      <c r="U79" s="180">
        <v>2569.7526108165985</v>
      </c>
      <c r="V79" s="184">
        <v>0</v>
      </c>
      <c r="W79" s="184">
        <v>4205.2440810950493</v>
      </c>
      <c r="X79" s="184">
        <v>6317.486659703035</v>
      </c>
      <c r="Y79" s="184">
        <v>37030.519943389598</v>
      </c>
      <c r="Z79" s="184">
        <v>0</v>
      </c>
      <c r="AA79" s="184">
        <v>1244.2562558196842</v>
      </c>
      <c r="AB79" s="184">
        <v>11405.682345013771</v>
      </c>
      <c r="AC79" s="184">
        <v>2553.7183807158294</v>
      </c>
      <c r="AD79" s="184">
        <v>0</v>
      </c>
      <c r="AE79" s="184">
        <v>5533.947282112118</v>
      </c>
      <c r="AF79" s="184">
        <v>0</v>
      </c>
      <c r="AG79" s="184">
        <v>46823.158740265993</v>
      </c>
      <c r="AH79" s="184">
        <v>0</v>
      </c>
      <c r="AI79" s="184">
        <v>33223.993717467012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1367.1853532589141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0</v>
      </c>
      <c r="CD79" s="247" t="s">
        <v>221</v>
      </c>
      <c r="CE79" s="195">
        <f t="shared" si="10"/>
        <v>490191</v>
      </c>
      <c r="CF79" s="195">
        <f>BA59</f>
        <v>0</v>
      </c>
    </row>
    <row r="80" spans="1:86" ht="14">
      <c r="A80" s="171" t="s">
        <v>252</v>
      </c>
      <c r="B80" s="175"/>
      <c r="C80" s="187">
        <f>'data 2Q21-4Q21'!C80+'data 1Q21'!C80</f>
        <v>44.38</v>
      </c>
      <c r="D80" s="187">
        <f>'data 2Q21-4Q21'!D80+'data 1Q21'!D80</f>
        <v>0</v>
      </c>
      <c r="E80" s="187">
        <f>'data 2Q21-4Q21'!E80+'data 1Q21'!E80</f>
        <v>31.68</v>
      </c>
      <c r="F80" s="187">
        <f>'data 2Q21-4Q21'!F80+'data 1Q21'!F80</f>
        <v>0</v>
      </c>
      <c r="G80" s="187">
        <f>'data 2Q21-4Q21'!G80+'data 1Q21'!G80</f>
        <v>0</v>
      </c>
      <c r="H80" s="187">
        <f>'data 2Q21-4Q21'!H80+'data 1Q21'!H80</f>
        <v>0</v>
      </c>
      <c r="I80" s="187">
        <f>'data 2Q21-4Q21'!I80+'data 1Q21'!I80</f>
        <v>0</v>
      </c>
      <c r="J80" s="187">
        <f>'data 2Q21-4Q21'!J80+'data 1Q21'!J80</f>
        <v>0</v>
      </c>
      <c r="K80" s="187">
        <f>'data 2Q21-4Q21'!K80+'data 1Q21'!K80</f>
        <v>0</v>
      </c>
      <c r="L80" s="187">
        <f>'data 2Q21-4Q21'!L80+'data 1Q21'!L80</f>
        <v>0</v>
      </c>
      <c r="M80" s="187">
        <f>'data 2Q21-4Q21'!M80+'data 1Q21'!M80</f>
        <v>0</v>
      </c>
      <c r="N80" s="187">
        <f>'data 2Q21-4Q21'!N80+'data 1Q21'!N80</f>
        <v>0</v>
      </c>
      <c r="O80" s="187">
        <f>'data 2Q21-4Q21'!O80+'data 1Q21'!O80</f>
        <v>19.5</v>
      </c>
      <c r="P80" s="187">
        <f>'data 2Q21-4Q21'!P80+'data 1Q21'!P80</f>
        <v>11.66</v>
      </c>
      <c r="Q80" s="187">
        <f>'data 2Q21-4Q21'!Q80+'data 1Q21'!Q80</f>
        <v>5.38</v>
      </c>
      <c r="R80" s="187">
        <f>'data 2Q21-4Q21'!R80+'data 1Q21'!R80</f>
        <v>1.61</v>
      </c>
      <c r="S80" s="187">
        <f>'data 2Q21-4Q21'!S80+'data 1Q21'!S80</f>
        <v>7.88</v>
      </c>
      <c r="T80" s="187">
        <f>'data 2Q21-4Q21'!T80+'data 1Q21'!T80</f>
        <v>0</v>
      </c>
      <c r="U80" s="187">
        <f>'data 2Q21-4Q21'!U80+'data 1Q21'!U80</f>
        <v>16.97</v>
      </c>
      <c r="V80" s="187">
        <f>'data 2Q21-4Q21'!V80+'data 1Q21'!V80</f>
        <v>0</v>
      </c>
      <c r="W80" s="187">
        <f>'data 2Q21-4Q21'!W80+'data 1Q21'!W80</f>
        <v>1.17</v>
      </c>
      <c r="X80" s="187">
        <f>'data 2Q21-4Q21'!X80+'data 1Q21'!X80</f>
        <v>5.26</v>
      </c>
      <c r="Y80" s="187">
        <f>'data 2Q21-4Q21'!Y80+'data 1Q21'!Y80</f>
        <v>21.88</v>
      </c>
      <c r="Z80" s="187">
        <f>'data 2Q21-4Q21'!Z80+'data 1Q21'!Z80</f>
        <v>5.54</v>
      </c>
      <c r="AA80" s="187">
        <f>'data 2Q21-4Q21'!AA80+'data 1Q21'!AA80</f>
        <v>1.1299999999999999</v>
      </c>
      <c r="AB80" s="187">
        <f>'data 2Q21-4Q21'!AB80+'data 1Q21'!AB80</f>
        <v>10.87</v>
      </c>
      <c r="AC80" s="187">
        <f>'data 2Q21-4Q21'!AC80+'data 1Q21'!AC80</f>
        <v>10.07</v>
      </c>
      <c r="AD80" s="187">
        <f>'data 2Q21-4Q21'!AD80+'data 1Q21'!AD80</f>
        <v>0</v>
      </c>
      <c r="AE80" s="187">
        <f>'data 2Q21-4Q21'!AE80+'data 1Q21'!AE80</f>
        <v>6.88</v>
      </c>
      <c r="AF80" s="187">
        <f>'data 2Q21-4Q21'!AF80+'data 1Q21'!AF80</f>
        <v>0</v>
      </c>
      <c r="AG80" s="187">
        <f>'data 2Q21-4Q21'!AG80+'data 1Q21'!AG80</f>
        <v>16.079999999999998</v>
      </c>
      <c r="AH80" s="187">
        <f>'data 2Q21-4Q21'!AH80+'data 1Q21'!AH80</f>
        <v>0</v>
      </c>
      <c r="AI80" s="187">
        <f>'data 2Q21-4Q21'!AI80+'data 1Q21'!AI80</f>
        <v>16.579999999999998</v>
      </c>
      <c r="AJ80" s="187">
        <f>'data 2Q21-4Q21'!AJ80+'data 1Q21'!AJ80</f>
        <v>0</v>
      </c>
      <c r="AK80" s="187">
        <f>'data 2Q21-4Q21'!AK80+'data 1Q21'!AK80</f>
        <v>0.67</v>
      </c>
      <c r="AL80" s="187">
        <f>'data 2Q21-4Q21'!AL80+'data 1Q21'!AL80</f>
        <v>0</v>
      </c>
      <c r="AM80" s="187">
        <f>'data 2Q21-4Q21'!AM80+'data 1Q21'!AM80</f>
        <v>0</v>
      </c>
      <c r="AN80" s="187">
        <f>'data 2Q21-4Q21'!AN80+'data 1Q21'!AN80</f>
        <v>0</v>
      </c>
      <c r="AO80" s="187">
        <f>'data 2Q21-4Q21'!AO80+'data 1Q21'!AO80</f>
        <v>0</v>
      </c>
      <c r="AP80" s="187">
        <f>'data 2Q21-4Q21'!AP80+'data 1Q21'!AP80</f>
        <v>0</v>
      </c>
      <c r="AQ80" s="187">
        <f>'data 2Q21-4Q21'!AQ80+'data 1Q21'!AQ80</f>
        <v>0</v>
      </c>
      <c r="AR80" s="187">
        <f>'data 2Q21-4Q21'!AR80+'data 1Q21'!AR80</f>
        <v>0</v>
      </c>
      <c r="AS80" s="187">
        <f>'data 2Q21-4Q21'!AS80+'data 1Q21'!AS80</f>
        <v>0</v>
      </c>
      <c r="AT80" s="187">
        <f>'data 2Q21-4Q21'!AT80+'data 1Q21'!AT80</f>
        <v>0</v>
      </c>
      <c r="AU80" s="187">
        <f>'data 2Q21-4Q21'!AU80+'data 1Q21'!AU80</f>
        <v>0</v>
      </c>
      <c r="AV80" s="187">
        <f>'data 2Q21-4Q21'!AV80+'data 1Q21'!AV80</f>
        <v>131.51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187">
        <f>'data 2Q21-4Q21'!BN80+'data 1Q21'!BN80</f>
        <v>0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187">
        <f>'data 2Q21-4Q21'!CC80+'data 1Q21'!CC80</f>
        <v>0</v>
      </c>
      <c r="CD80" s="247" t="s">
        <v>221</v>
      </c>
      <c r="CE80" s="253">
        <f t="shared" si="10"/>
        <v>366.69999999999993</v>
      </c>
      <c r="CF80" s="253"/>
    </row>
    <row r="81" spans="1:5" ht="12.65" customHeight="1">
      <c r="A81" s="208" t="s">
        <v>253</v>
      </c>
      <c r="B81" s="208"/>
      <c r="C81" s="208"/>
      <c r="D81" s="208"/>
      <c r="E81" s="208"/>
    </row>
    <row r="82" spans="1:5" ht="12.65" customHeight="1">
      <c r="A82" s="171" t="s">
        <v>254</v>
      </c>
      <c r="B82" s="172"/>
      <c r="C82" s="279" t="s">
        <v>1298</v>
      </c>
      <c r="D82" s="254"/>
      <c r="E82" s="175"/>
    </row>
    <row r="83" spans="1:5" ht="12.65" customHeight="1">
      <c r="A83" s="173" t="s">
        <v>255</v>
      </c>
      <c r="B83" s="172" t="s">
        <v>256</v>
      </c>
      <c r="C83" s="331" t="s">
        <v>1271</v>
      </c>
      <c r="D83" s="254"/>
      <c r="E83" s="175"/>
    </row>
    <row r="84" spans="1:5" ht="12.65" customHeight="1">
      <c r="A84" s="173" t="s">
        <v>257</v>
      </c>
      <c r="B84" s="172" t="s">
        <v>256</v>
      </c>
      <c r="C84" s="228" t="s">
        <v>1272</v>
      </c>
      <c r="D84" s="205"/>
      <c r="E84" s="204"/>
    </row>
    <row r="85" spans="1:5" ht="12.65" customHeight="1">
      <c r="A85" s="173" t="s">
        <v>1251</v>
      </c>
      <c r="B85" s="172"/>
      <c r="C85" s="268" t="s">
        <v>1273</v>
      </c>
      <c r="D85" s="205"/>
      <c r="E85" s="204"/>
    </row>
    <row r="86" spans="1:5" ht="12.65" customHeight="1">
      <c r="A86" s="173" t="s">
        <v>1252</v>
      </c>
      <c r="B86" s="172" t="s">
        <v>256</v>
      </c>
      <c r="C86" s="229"/>
      <c r="D86" s="205"/>
      <c r="E86" s="204"/>
    </row>
    <row r="87" spans="1:5" ht="12.65" customHeight="1">
      <c r="A87" s="173" t="s">
        <v>258</v>
      </c>
      <c r="B87" s="172" t="s">
        <v>256</v>
      </c>
      <c r="C87" s="228" t="s">
        <v>1274</v>
      </c>
      <c r="D87" s="205"/>
      <c r="E87" s="204"/>
    </row>
    <row r="88" spans="1:5" ht="12.65" customHeight="1">
      <c r="A88" s="173" t="s">
        <v>259</v>
      </c>
      <c r="B88" s="172" t="s">
        <v>256</v>
      </c>
      <c r="C88" s="228" t="s">
        <v>1275</v>
      </c>
      <c r="D88" s="205"/>
      <c r="E88" s="204"/>
    </row>
    <row r="89" spans="1:5" ht="12.65" customHeight="1">
      <c r="A89" s="173" t="s">
        <v>260</v>
      </c>
      <c r="B89" s="172" t="s">
        <v>256</v>
      </c>
      <c r="C89" s="228" t="s">
        <v>1283</v>
      </c>
      <c r="D89" s="205"/>
      <c r="E89" s="204"/>
    </row>
    <row r="90" spans="1:5" ht="12.65" customHeight="1">
      <c r="A90" s="173" t="s">
        <v>261</v>
      </c>
      <c r="B90" s="172" t="s">
        <v>256</v>
      </c>
      <c r="C90" s="228" t="s">
        <v>1284</v>
      </c>
      <c r="D90" s="205"/>
      <c r="E90" s="204"/>
    </row>
    <row r="91" spans="1:5" ht="12.65" customHeight="1">
      <c r="A91" s="173" t="s">
        <v>262</v>
      </c>
      <c r="B91" s="172" t="s">
        <v>256</v>
      </c>
      <c r="C91" s="228" t="s">
        <v>1277</v>
      </c>
      <c r="D91" s="205"/>
      <c r="E91" s="204"/>
    </row>
    <row r="92" spans="1:5" ht="12.65" customHeight="1">
      <c r="A92" s="173" t="s">
        <v>263</v>
      </c>
      <c r="B92" s="172" t="s">
        <v>256</v>
      </c>
      <c r="C92" s="333" t="s">
        <v>1281</v>
      </c>
      <c r="D92" s="254"/>
      <c r="E92" s="175"/>
    </row>
    <row r="93" spans="1:5" ht="12.65" customHeight="1">
      <c r="A93" s="173" t="s">
        <v>264</v>
      </c>
      <c r="B93" s="172" t="s">
        <v>256</v>
      </c>
      <c r="C93" s="334" t="s">
        <v>1279</v>
      </c>
      <c r="D93" s="254"/>
      <c r="E93" s="175"/>
    </row>
    <row r="94" spans="1:5" ht="12.65" customHeight="1">
      <c r="A94" s="173"/>
      <c r="B94" s="173"/>
      <c r="C94" s="191"/>
      <c r="D94" s="175"/>
      <c r="E94" s="175"/>
    </row>
    <row r="95" spans="1:5" ht="12.65" customHeight="1">
      <c r="A95" s="208" t="s">
        <v>265</v>
      </c>
      <c r="B95" s="208"/>
      <c r="C95" s="208"/>
      <c r="D95" s="208"/>
      <c r="E95" s="208"/>
    </row>
    <row r="96" spans="1:5" ht="12.65" customHeight="1">
      <c r="A96" s="255" t="s">
        <v>266</v>
      </c>
      <c r="B96" s="255"/>
      <c r="C96" s="255"/>
      <c r="D96" s="255"/>
      <c r="E96" s="255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5" t="s">
        <v>269</v>
      </c>
      <c r="B100" s="255"/>
      <c r="C100" s="255"/>
      <c r="D100" s="255"/>
      <c r="E100" s="255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5" t="s">
        <v>271</v>
      </c>
      <c r="B103" s="255"/>
      <c r="C103" s="255"/>
      <c r="D103" s="255"/>
      <c r="E103" s="255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377">
        <f>'data 2Q21-4Q21'!C111+'data 1Q21 (2)'!C111</f>
        <v>3684</v>
      </c>
      <c r="D111" s="378">
        <f>'data 2Q21-4Q21'!D111+'data 1Q21 (2)'!D111</f>
        <v>16715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377">
        <f>'data 2Q21-4Q21'!C114+'data 1Q21 (2)'!C114</f>
        <v>629</v>
      </c>
      <c r="D114" s="377">
        <f>'data 2Q21-4Q21'!D114+'data 1Q21 (2)'!D114</f>
        <v>878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>
        <v>41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>
      <c r="A124" s="173" t="s">
        <v>289</v>
      </c>
      <c r="B124" s="172"/>
      <c r="C124" s="189">
        <v>0</v>
      </c>
      <c r="D124" s="175"/>
      <c r="E124" s="175"/>
    </row>
    <row r="125" spans="1:5" ht="12.65" customHeight="1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88</v>
      </c>
    </row>
    <row r="128" spans="1:5" ht="12.65" customHeight="1">
      <c r="A128" s="173" t="s">
        <v>292</v>
      </c>
      <c r="B128" s="172" t="s">
        <v>256</v>
      </c>
      <c r="C128" s="189">
        <v>107</v>
      </c>
      <c r="D128" s="175"/>
      <c r="E128" s="175"/>
    </row>
    <row r="129" spans="1:16" ht="12.65" customHeight="1">
      <c r="A129" s="173" t="s">
        <v>293</v>
      </c>
      <c r="B129" s="172" t="s">
        <v>256</v>
      </c>
      <c r="C129" s="285">
        <v>7</v>
      </c>
      <c r="D129" s="175"/>
      <c r="E129" s="175"/>
    </row>
    <row r="130" spans="1:16" ht="12.65" customHeight="1">
      <c r="A130" s="173"/>
      <c r="B130" s="175"/>
      <c r="C130" s="191"/>
      <c r="D130" s="175"/>
      <c r="E130" s="175"/>
    </row>
    <row r="131" spans="1:16" ht="12.65" customHeight="1">
      <c r="A131" s="173" t="s">
        <v>294</v>
      </c>
      <c r="B131" s="172" t="s">
        <v>256</v>
      </c>
      <c r="C131" s="189">
        <v>0</v>
      </c>
      <c r="D131" s="175"/>
      <c r="E131" s="175"/>
    </row>
    <row r="132" spans="1:16" ht="12.65" customHeight="1">
      <c r="A132" s="173"/>
      <c r="B132" s="173"/>
      <c r="C132" s="191"/>
      <c r="D132" s="175"/>
      <c r="E132" s="175"/>
    </row>
    <row r="133" spans="1:16" ht="12.65" customHeight="1">
      <c r="A133" s="173"/>
      <c r="B133" s="173"/>
      <c r="C133" s="191"/>
      <c r="D133" s="175"/>
      <c r="E133" s="175"/>
      <c r="J133" s="387" t="s">
        <v>1295</v>
      </c>
    </row>
    <row r="134" spans="1:16" ht="12.65" customHeight="1">
      <c r="A134" s="173"/>
      <c r="B134" s="173"/>
      <c r="C134" s="191"/>
      <c r="D134" s="175"/>
      <c r="E134" s="175"/>
    </row>
    <row r="135" spans="1:16" ht="18" customHeight="1">
      <c r="A135" s="173"/>
      <c r="B135" s="173"/>
      <c r="C135" s="191"/>
      <c r="D135" s="175"/>
      <c r="E135" s="175"/>
    </row>
    <row r="136" spans="1:16" ht="12.65" customHeight="1">
      <c r="A136" s="208" t="s">
        <v>1240</v>
      </c>
      <c r="B136" s="207"/>
      <c r="C136" s="207"/>
      <c r="D136" s="207"/>
      <c r="E136" s="207"/>
      <c r="H136" s="387" t="s">
        <v>1286</v>
      </c>
      <c r="L136" s="387" t="s">
        <v>1287</v>
      </c>
    </row>
    <row r="137" spans="1:16" ht="12.65" customHeight="1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  <c r="H137" s="176" t="s">
        <v>296</v>
      </c>
      <c r="I137" s="192" t="s">
        <v>297</v>
      </c>
      <c r="J137" s="176" t="s">
        <v>132</v>
      </c>
      <c r="K137" s="176" t="s">
        <v>203</v>
      </c>
      <c r="L137" s="176" t="s">
        <v>296</v>
      </c>
      <c r="M137" s="192" t="s">
        <v>297</v>
      </c>
      <c r="N137" s="176" t="s">
        <v>132</v>
      </c>
      <c r="O137" s="176" t="s">
        <v>203</v>
      </c>
    </row>
    <row r="138" spans="1:16" ht="12.65" customHeight="1">
      <c r="A138" s="173" t="s">
        <v>277</v>
      </c>
      <c r="B138" s="378">
        <f>'data 2Q21-4Q21'!B138+'data 1Q21 (2)'!B138</f>
        <v>1227.5281466512702</v>
      </c>
      <c r="C138" s="378">
        <f>'data 2Q21-4Q21'!C138+'data 1Q21 (2)'!C138</f>
        <v>100.95482101616628</v>
      </c>
      <c r="D138" s="378">
        <f>'data 2Q21-4Q21'!D138+'data 1Q21 (2)'!D138</f>
        <v>2355.0170323325638</v>
      </c>
      <c r="E138" s="175">
        <f>SUM(B138:D138)</f>
        <v>3683.5</v>
      </c>
      <c r="H138" s="378">
        <f>'data 2Q21-4Q21'!B138</f>
        <v>961.52814665127016</v>
      </c>
      <c r="I138" s="378">
        <f>'data 2Q21-4Q21'!C138</f>
        <v>72.954821016166278</v>
      </c>
      <c r="J138" s="378">
        <f>'data 2Q21-4Q21'!D138</f>
        <v>1805.0170323325635</v>
      </c>
      <c r="K138" s="175">
        <f>SUM(H138:J138)</f>
        <v>2839.5</v>
      </c>
      <c r="L138" s="378">
        <f>'data 1Q21'!B138</f>
        <v>266</v>
      </c>
      <c r="M138" s="378">
        <f>'data 1Q21'!C138</f>
        <v>28</v>
      </c>
      <c r="N138" s="378">
        <f>'data 1Q21'!D138</f>
        <v>550</v>
      </c>
      <c r="O138" s="175">
        <f>SUM(L138:N138)</f>
        <v>844</v>
      </c>
      <c r="P138" s="180">
        <f>O138+K138-E138</f>
        <v>0</v>
      </c>
    </row>
    <row r="139" spans="1:16" ht="12.65" customHeight="1">
      <c r="A139" s="173" t="s">
        <v>215</v>
      </c>
      <c r="B139" s="378">
        <f>'data 2Q21-4Q21'!B139+'data 1Q21 (2)'!B139</f>
        <v>6791.1875256126541</v>
      </c>
      <c r="C139" s="378">
        <f>'data 2Q21-4Q21'!C139+'data 1Q21 (2)'!C139</f>
        <v>333.56519957380544</v>
      </c>
      <c r="D139" s="378">
        <f>'data 2Q21-4Q21'!D139+'data 1Q21 (2)'!D139</f>
        <v>9590.2472748135406</v>
      </c>
      <c r="E139" s="175">
        <f>SUM(B139:D139)</f>
        <v>16715</v>
      </c>
      <c r="H139" s="378">
        <f>'data 2Q21-4Q21'!B139</f>
        <v>5745.1875256126541</v>
      </c>
      <c r="I139" s="378">
        <f>'data 2Q21-4Q21'!C139</f>
        <v>267.56519957380544</v>
      </c>
      <c r="J139" s="378">
        <f>'data 2Q21-4Q21'!D139</f>
        <v>7998.2472748135397</v>
      </c>
      <c r="K139" s="175">
        <f>SUM(H139:J139)</f>
        <v>14011</v>
      </c>
      <c r="L139" s="378">
        <f>'data 1Q21'!B139</f>
        <v>1046</v>
      </c>
      <c r="M139" s="378">
        <f>'data 1Q21'!C139</f>
        <v>66</v>
      </c>
      <c r="N139" s="378">
        <f>'data 1Q21'!D139</f>
        <v>1592</v>
      </c>
      <c r="O139" s="175">
        <f>SUM(L139:N139)</f>
        <v>2704</v>
      </c>
      <c r="P139" s="180">
        <f t="shared" ref="P139:P142" si="13">O139+K139-E139</f>
        <v>0</v>
      </c>
    </row>
    <row r="140" spans="1:16" ht="12.65" customHeight="1">
      <c r="A140" s="173" t="s">
        <v>298</v>
      </c>
      <c r="B140" s="378">
        <f>'data 2Q21-4Q21'!B140+'data 1Q21 (2)'!B140</f>
        <v>9364.0598641539109</v>
      </c>
      <c r="C140" s="378">
        <f>'data 2Q21-4Q21'!C140+'data 1Q21 (2)'!C140</f>
        <v>385.26264951138762</v>
      </c>
      <c r="D140" s="378">
        <f>'data 2Q21-4Q21'!D140+'data 1Q21 (2)'!D140</f>
        <v>19791.677486334702</v>
      </c>
      <c r="E140" s="175">
        <f>SUM(B140:D140)</f>
        <v>29541</v>
      </c>
      <c r="F140" s="384" t="s">
        <v>1292</v>
      </c>
      <c r="G140" s="384" t="s">
        <v>1291</v>
      </c>
      <c r="H140" s="378">
        <f>'data 2Q21-4Q21'!B140</f>
        <v>4374.0598641539118</v>
      </c>
      <c r="I140" s="378">
        <f>'data 2Q21-4Q21'!C140</f>
        <v>177.26264951138765</v>
      </c>
      <c r="J140" s="378">
        <f>'data 2Q21-4Q21'!D140</f>
        <v>9042.6774863347018</v>
      </c>
      <c r="K140" s="175">
        <f>SUM(H140:J140)</f>
        <v>13594</v>
      </c>
      <c r="L140" s="378">
        <f>'data 1Q21'!B140</f>
        <v>4990</v>
      </c>
      <c r="M140" s="378">
        <f>'data 1Q21'!C140</f>
        <v>208</v>
      </c>
      <c r="N140" s="378">
        <f>'data 1Q21'!D140</f>
        <v>10749</v>
      </c>
      <c r="O140" s="175">
        <f>SUM(L140:N140)</f>
        <v>15947</v>
      </c>
      <c r="P140" s="180">
        <f t="shared" si="13"/>
        <v>0</v>
      </c>
    </row>
    <row r="141" spans="1:16" ht="12.65" customHeight="1">
      <c r="A141" s="173" t="s">
        <v>245</v>
      </c>
      <c r="B141" s="378">
        <f>'data 2Q21-4Q21'!B141+'data 1Q21 (2)'!B141</f>
        <v>95081138.744104743</v>
      </c>
      <c r="C141" s="378">
        <f>'data 2Q21-4Q21'!C141+'data 1Q21 (2)'!C141</f>
        <v>4502911.5393794235</v>
      </c>
      <c r="D141" s="378">
        <f>'data 2Q21-4Q21'!D141+'data 1Q21 (2)'!D141</f>
        <v>143987745.68651584</v>
      </c>
      <c r="E141" s="175">
        <f>SUM(B141:D141)</f>
        <v>243571795.97</v>
      </c>
      <c r="F141" s="199">
        <f>C359-E141</f>
        <v>0</v>
      </c>
      <c r="G141" s="180">
        <f>CE73-E141</f>
        <v>0</v>
      </c>
      <c r="H141" s="378">
        <f>'data 2Q21-4Q21'!B141</f>
        <v>74145571.744104743</v>
      </c>
      <c r="I141" s="378">
        <f>'data 2Q21-4Q21'!C141</f>
        <v>3321770.5393794239</v>
      </c>
      <c r="J141" s="378">
        <f>'data 2Q21-4Q21'!D141</f>
        <v>112222514.68651584</v>
      </c>
      <c r="K141" s="175">
        <f>SUM(H141:J141)</f>
        <v>189689856.97</v>
      </c>
      <c r="L141" s="378">
        <f>'data 1Q21'!B141</f>
        <v>20935567</v>
      </c>
      <c r="M141" s="378">
        <f>'data 1Q21'!C141</f>
        <v>1181141</v>
      </c>
      <c r="N141" s="378">
        <f>'data 1Q21'!D141</f>
        <v>31765231</v>
      </c>
      <c r="O141" s="175">
        <f>SUM(L141:N141)</f>
        <v>53881939</v>
      </c>
      <c r="P141" s="180">
        <f t="shared" si="13"/>
        <v>0</v>
      </c>
    </row>
    <row r="142" spans="1:16" ht="12.65" customHeight="1">
      <c r="A142" s="173" t="s">
        <v>246</v>
      </c>
      <c r="B142" s="378">
        <f>'data 2Q21-4Q21'!B142+'data 1Q21 (2)'!B142</f>
        <v>112745712.71487053</v>
      </c>
      <c r="C142" s="378">
        <f>'data 2Q21-4Q21'!C142+'data 1Q21 (2)'!C142</f>
        <v>4983575.7546729855</v>
      </c>
      <c r="D142" s="378">
        <f>'data 2Q21-4Q21'!D142+'data 1Q21 (2)'!D142</f>
        <v>238263557.36045647</v>
      </c>
      <c r="E142" s="175">
        <f>SUM(B142:D142)</f>
        <v>355992845.82999998</v>
      </c>
      <c r="F142" s="199">
        <f>C360-E142</f>
        <v>0</v>
      </c>
      <c r="G142" s="180">
        <f>CE74-E142</f>
        <v>0</v>
      </c>
      <c r="H142" s="378">
        <f>'data 2Q21-4Q21'!B142</f>
        <v>86439881.714870527</v>
      </c>
      <c r="I142" s="378">
        <f>'data 2Q21-4Q21'!C142</f>
        <v>3503052.7546729851</v>
      </c>
      <c r="J142" s="378">
        <f>'data 2Q21-4Q21'!D142</f>
        <v>178700794.36045647</v>
      </c>
      <c r="K142" s="175">
        <f>SUM(H142:J142)</f>
        <v>268643728.82999998</v>
      </c>
      <c r="L142" s="378">
        <f>'data 1Q21'!B142</f>
        <v>26305831</v>
      </c>
      <c r="M142" s="378">
        <f>'data 1Q21'!C142</f>
        <v>1480523</v>
      </c>
      <c r="N142" s="378">
        <f>'data 1Q21'!D142</f>
        <v>59562763</v>
      </c>
      <c r="O142" s="175">
        <f>SUM(L142:N142)</f>
        <v>87349117</v>
      </c>
      <c r="P142" s="180">
        <f t="shared" si="13"/>
        <v>0</v>
      </c>
    </row>
    <row r="143" spans="1:16" ht="12.65" customHeight="1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16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7" ht="12.65" customHeight="1">
      <c r="A145" s="173" t="s">
        <v>215</v>
      </c>
      <c r="B145" s="174"/>
      <c r="C145" s="189"/>
      <c r="D145" s="174"/>
      <c r="E145" s="175">
        <f>SUM(B145:D145)</f>
        <v>0</v>
      </c>
      <c r="G145" s="180" t="s">
        <v>1297</v>
      </c>
    </row>
    <row r="146" spans="1:7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7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7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7" ht="12.65" customHeight="1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7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7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7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7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7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7" ht="12.65" customHeight="1">
      <c r="A155" s="177"/>
      <c r="B155" s="177"/>
      <c r="C155" s="193"/>
      <c r="D155" s="178"/>
      <c r="E155" s="175"/>
    </row>
    <row r="156" spans="1:7" ht="12.65" customHeight="1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7" ht="12.65" customHeight="1">
      <c r="A157" s="177" t="s">
        <v>304</v>
      </c>
      <c r="B157" s="174"/>
      <c r="C157" s="174"/>
      <c r="D157" s="175"/>
      <c r="E157" s="175"/>
    </row>
    <row r="158" spans="1:7" ht="12.65" customHeight="1">
      <c r="A158" s="177"/>
      <c r="B158" s="178"/>
      <c r="C158" s="193"/>
      <c r="D158" s="175"/>
      <c r="E158" s="175"/>
    </row>
    <row r="159" spans="1:7" ht="12.65" customHeight="1">
      <c r="A159" s="177"/>
      <c r="B159" s="177"/>
      <c r="C159" s="193"/>
      <c r="D159" s="178"/>
      <c r="E159" s="175"/>
    </row>
    <row r="160" spans="1:7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5" t="s">
        <v>306</v>
      </c>
      <c r="B164" s="255"/>
      <c r="C164" s="255"/>
      <c r="D164" s="255"/>
      <c r="E164" s="255"/>
    </row>
    <row r="165" spans="1:5" ht="14">
      <c r="A165" s="173" t="s">
        <v>307</v>
      </c>
      <c r="B165" s="172" t="s">
        <v>256</v>
      </c>
      <c r="C165" s="189">
        <f>'data 2Q21-4Q21'!C165+'data 1Q21 (2)'!C165</f>
        <v>2834219.24</v>
      </c>
      <c r="D165" s="175"/>
      <c r="E165" s="175"/>
    </row>
    <row r="166" spans="1:5" ht="14">
      <c r="A166" s="173" t="s">
        <v>308</v>
      </c>
      <c r="B166" s="172" t="s">
        <v>256</v>
      </c>
      <c r="C166" s="189">
        <f>'data 2Q21-4Q21'!C166+'data 1Q21 (2)'!C166</f>
        <v>138664</v>
      </c>
      <c r="D166" s="175"/>
      <c r="E166" s="175"/>
    </row>
    <row r="167" spans="1:5" ht="14">
      <c r="A167" s="177" t="s">
        <v>309</v>
      </c>
      <c r="B167" s="172" t="s">
        <v>256</v>
      </c>
      <c r="C167" s="189">
        <f>'data 2Q21-4Q21'!C167+'data 1Q21 (2)'!C167</f>
        <v>135943</v>
      </c>
      <c r="D167" s="175"/>
      <c r="E167" s="175"/>
    </row>
    <row r="168" spans="1:5" ht="14">
      <c r="A168" s="173" t="s">
        <v>310</v>
      </c>
      <c r="B168" s="172" t="s">
        <v>256</v>
      </c>
      <c r="C168" s="189">
        <f>'data 2Q21-4Q21'!C168+'data 1Q21 (2)'!C168</f>
        <v>2673468.2399999998</v>
      </c>
      <c r="D168" s="175"/>
      <c r="E168" s="175"/>
    </row>
    <row r="169" spans="1:5" ht="14">
      <c r="A169" s="173" t="s">
        <v>311</v>
      </c>
      <c r="B169" s="172" t="s">
        <v>256</v>
      </c>
      <c r="C169" s="189">
        <f>'data 2Q21-4Q21'!C169+'data 1Q21 (2)'!C169</f>
        <v>14031</v>
      </c>
      <c r="D169" s="175"/>
      <c r="E169" s="175"/>
    </row>
    <row r="170" spans="1:5" ht="14">
      <c r="A170" s="173" t="s">
        <v>312</v>
      </c>
      <c r="B170" s="172" t="s">
        <v>256</v>
      </c>
      <c r="C170" s="189">
        <f>'data 2Q21-4Q21'!C170+'data 1Q21 (2)'!C170</f>
        <v>0</v>
      </c>
      <c r="D170" s="175"/>
      <c r="E170" s="175"/>
    </row>
    <row r="171" spans="1:5" ht="14">
      <c r="A171" s="173" t="s">
        <v>313</v>
      </c>
      <c r="B171" s="172" t="s">
        <v>256</v>
      </c>
      <c r="C171" s="189">
        <f>'data 2Q21-4Q21'!C171+'data 1Q21 (2)'!C171</f>
        <v>800140.30999999994</v>
      </c>
      <c r="D171" s="175"/>
      <c r="E171" s="175"/>
    </row>
    <row r="172" spans="1:5" ht="14">
      <c r="A172" s="173" t="s">
        <v>313</v>
      </c>
      <c r="B172" s="172" t="s">
        <v>256</v>
      </c>
      <c r="C172" s="189">
        <f>'data 2Q21-4Q21'!C172+'data 1Q21 (2)'!C172</f>
        <v>108165.08</v>
      </c>
      <c r="D172" s="175"/>
      <c r="E172" s="175"/>
    </row>
    <row r="173" spans="1:5" ht="14">
      <c r="A173" s="173" t="s">
        <v>203</v>
      </c>
      <c r="B173" s="175"/>
      <c r="C173" s="191"/>
      <c r="D173" s="195">
        <f>SUM(C165:C172)</f>
        <v>6704630.8700000001</v>
      </c>
      <c r="E173" s="175"/>
    </row>
    <row r="174" spans="1:5" ht="14">
      <c r="A174" s="255" t="s">
        <v>314</v>
      </c>
      <c r="B174" s="255"/>
      <c r="C174" s="255"/>
      <c r="D174" s="255"/>
      <c r="E174" s="255"/>
    </row>
    <row r="175" spans="1:5" ht="14">
      <c r="A175" s="173" t="s">
        <v>315</v>
      </c>
      <c r="B175" s="172" t="s">
        <v>256</v>
      </c>
      <c r="C175" s="189">
        <f>'data 2Q21-4Q21'!C175+'data 1Q21 (2)'!C175</f>
        <v>8828028.7399999984</v>
      </c>
      <c r="D175" s="175"/>
      <c r="E175" s="175"/>
    </row>
    <row r="176" spans="1:5" ht="14">
      <c r="A176" s="173" t="s">
        <v>316</v>
      </c>
      <c r="B176" s="172" t="s">
        <v>256</v>
      </c>
      <c r="C176" s="189">
        <f>'data 2Q21-4Q21'!C176+'data 1Q21 (2)'!C176</f>
        <v>2480724.39</v>
      </c>
      <c r="D176" s="175"/>
      <c r="E176" s="175"/>
    </row>
    <row r="177" spans="1:5" ht="14">
      <c r="A177" s="173" t="s">
        <v>203</v>
      </c>
      <c r="B177" s="175"/>
      <c r="C177" s="191"/>
      <c r="D177" s="175">
        <f>SUM(C175:C176)</f>
        <v>11308753.129999999</v>
      </c>
      <c r="E177" s="175"/>
    </row>
    <row r="178" spans="1:5" ht="14">
      <c r="A178" s="255" t="s">
        <v>317</v>
      </c>
      <c r="B178" s="255"/>
      <c r="C178" s="255"/>
      <c r="D178" s="255"/>
      <c r="E178" s="255"/>
    </row>
    <row r="179" spans="1:5" ht="14">
      <c r="A179" s="173" t="s">
        <v>318</v>
      </c>
      <c r="B179" s="172" t="s">
        <v>256</v>
      </c>
      <c r="C179" s="189">
        <f>'data 2Q21-4Q21'!C179+'data 1Q21 (2)'!C179</f>
        <v>125963.33</v>
      </c>
      <c r="D179" s="175"/>
      <c r="E179" s="175"/>
    </row>
    <row r="180" spans="1:5" ht="14">
      <c r="A180" s="173" t="s">
        <v>319</v>
      </c>
      <c r="B180" s="172" t="s">
        <v>256</v>
      </c>
      <c r="C180" s="189">
        <f>'data 2Q21-4Q21'!C180+'data 1Q21 (2)'!C180</f>
        <v>25330</v>
      </c>
      <c r="D180" s="175"/>
      <c r="E180" s="175"/>
    </row>
    <row r="181" spans="1:5" ht="14">
      <c r="A181" s="173" t="s">
        <v>203</v>
      </c>
      <c r="B181" s="175"/>
      <c r="C181" s="191"/>
      <c r="D181" s="175">
        <f>SUM(C179:C180)</f>
        <v>151293.33000000002</v>
      </c>
      <c r="E181" s="175"/>
    </row>
    <row r="182" spans="1:5" ht="14">
      <c r="A182" s="255" t="s">
        <v>320</v>
      </c>
      <c r="B182" s="255"/>
      <c r="C182" s="255"/>
      <c r="D182" s="255"/>
      <c r="E182" s="255"/>
    </row>
    <row r="183" spans="1:5" ht="14">
      <c r="A183" s="173" t="s">
        <v>321</v>
      </c>
      <c r="B183" s="172" t="s">
        <v>256</v>
      </c>
      <c r="C183" s="189">
        <f>'data 2Q21-4Q21'!C183+'data 1Q21 (2)'!C183</f>
        <v>141081.07999999999</v>
      </c>
      <c r="D183" s="175"/>
      <c r="E183" s="175"/>
    </row>
    <row r="184" spans="1:5" ht="14">
      <c r="A184" s="173" t="s">
        <v>322</v>
      </c>
      <c r="B184" s="172" t="s">
        <v>256</v>
      </c>
      <c r="C184" s="189">
        <f>'data 2Q21-4Q21'!C184+'data 1Q21 (2)'!C184</f>
        <v>2184476.1700000004</v>
      </c>
      <c r="D184" s="175"/>
      <c r="E184" s="175"/>
    </row>
    <row r="185" spans="1:5" ht="14">
      <c r="A185" s="173" t="s">
        <v>132</v>
      </c>
      <c r="B185" s="172" t="s">
        <v>256</v>
      </c>
      <c r="C185" s="189">
        <f>'data 2Q21-4Q21'!C185+'data 1Q21 (2)'!C185</f>
        <v>976371.27</v>
      </c>
      <c r="D185" s="175"/>
      <c r="E185" s="175"/>
    </row>
    <row r="186" spans="1:5" ht="14">
      <c r="A186" s="173" t="s">
        <v>203</v>
      </c>
      <c r="B186" s="175"/>
      <c r="C186" s="191"/>
      <c r="D186" s="175">
        <f>SUM(C183:C185)</f>
        <v>3301928.5200000005</v>
      </c>
      <c r="E186" s="175"/>
    </row>
    <row r="187" spans="1:5" ht="14">
      <c r="A187" s="255" t="s">
        <v>323</v>
      </c>
      <c r="B187" s="255"/>
      <c r="C187" s="255"/>
      <c r="D187" s="255"/>
      <c r="E187" s="255"/>
    </row>
    <row r="188" spans="1:5" ht="14">
      <c r="A188" s="173" t="s">
        <v>324</v>
      </c>
      <c r="B188" s="172" t="s">
        <v>256</v>
      </c>
      <c r="C188" s="189">
        <f>'data 2Q21-4Q21'!C188+'data 1Q21 (2)'!C188</f>
        <v>0</v>
      </c>
      <c r="D188" s="175"/>
      <c r="E188" s="175"/>
    </row>
    <row r="189" spans="1:5" ht="14">
      <c r="A189" s="173" t="s">
        <v>325</v>
      </c>
      <c r="B189" s="172" t="s">
        <v>256</v>
      </c>
      <c r="C189" s="189">
        <f>'data 2Q21-4Q21'!C189+'data 1Q21 (2)'!C189</f>
        <v>2513722</v>
      </c>
      <c r="D189" s="175"/>
      <c r="E189" s="175"/>
    </row>
    <row r="190" spans="1:5" ht="14">
      <c r="A190" s="173" t="s">
        <v>203</v>
      </c>
      <c r="B190" s="175"/>
      <c r="C190" s="191"/>
      <c r="D190" s="175">
        <f>SUM(C188:C189)</f>
        <v>2513722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7" ht="12.65" customHeight="1">
      <c r="A193" s="207" t="s">
        <v>327</v>
      </c>
      <c r="B193" s="208"/>
      <c r="C193" s="208"/>
      <c r="D193" s="208"/>
      <c r="E193" s="208"/>
    </row>
    <row r="194" spans="1:7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7" ht="12.65" customHeight="1">
      <c r="A195" s="173" t="s">
        <v>332</v>
      </c>
      <c r="B195" s="379">
        <f>'PRIOR YEAR'!B195</f>
        <v>3160000</v>
      </c>
      <c r="C195" s="189">
        <v>2014183.2800000003</v>
      </c>
      <c r="D195" s="174"/>
      <c r="E195" s="175">
        <f t="shared" ref="E195:E203" si="14">SUM(B195:C195)-D195</f>
        <v>5174183.28</v>
      </c>
    </row>
    <row r="196" spans="1:7" ht="12.65" customHeight="1">
      <c r="A196" s="173" t="s">
        <v>333</v>
      </c>
      <c r="B196" s="379">
        <f>'PRIOR YEAR'!B196</f>
        <v>710000</v>
      </c>
      <c r="C196" s="189"/>
      <c r="D196" s="174">
        <v>710000</v>
      </c>
      <c r="E196" s="175">
        <f t="shared" si="14"/>
        <v>0</v>
      </c>
    </row>
    <row r="197" spans="1:7" ht="12.65" customHeight="1">
      <c r="A197" s="173" t="s">
        <v>334</v>
      </c>
      <c r="B197" s="379">
        <f>'PRIOR YEAR'!B197</f>
        <v>38437221</v>
      </c>
      <c r="C197" s="189">
        <v>112105454.78999999</v>
      </c>
      <c r="D197" s="174"/>
      <c r="E197" s="175">
        <f t="shared" si="14"/>
        <v>150542675.78999999</v>
      </c>
    </row>
    <row r="198" spans="1:7" ht="12.65" customHeight="1">
      <c r="A198" s="173" t="s">
        <v>335</v>
      </c>
      <c r="B198" s="379">
        <f>'PRIOR YEAR'!B198</f>
        <v>0</v>
      </c>
      <c r="C198" s="189"/>
      <c r="D198" s="174"/>
      <c r="E198" s="175">
        <f t="shared" si="14"/>
        <v>0</v>
      </c>
    </row>
    <row r="199" spans="1:7" ht="12.65" customHeight="1">
      <c r="A199" s="173" t="s">
        <v>336</v>
      </c>
      <c r="B199" s="379">
        <f>'PRIOR YEAR'!B199</f>
        <v>21106338</v>
      </c>
      <c r="C199" s="189"/>
      <c r="D199" s="174">
        <v>19636290.48</v>
      </c>
      <c r="E199" s="175">
        <f t="shared" si="14"/>
        <v>1470047.5199999996</v>
      </c>
    </row>
    <row r="200" spans="1:7" ht="12.65" customHeight="1">
      <c r="A200" s="173" t="s">
        <v>337</v>
      </c>
      <c r="B200" s="379">
        <f>'PRIOR YEAR'!B200</f>
        <v>13488264</v>
      </c>
      <c r="C200" s="189"/>
      <c r="D200" s="174">
        <v>1209691.3400000001</v>
      </c>
      <c r="E200" s="175">
        <f t="shared" si="14"/>
        <v>12278572.66</v>
      </c>
    </row>
    <row r="201" spans="1:7" ht="12.65" customHeight="1">
      <c r="A201" s="173" t="s">
        <v>338</v>
      </c>
      <c r="B201" s="379">
        <f>'PRIOR YEAR'!B201</f>
        <v>7501032</v>
      </c>
      <c r="C201" s="189"/>
      <c r="D201" s="174">
        <v>7501032</v>
      </c>
      <c r="E201" s="175">
        <f t="shared" si="14"/>
        <v>0</v>
      </c>
    </row>
    <row r="202" spans="1:7" ht="12.65" customHeight="1">
      <c r="A202" s="173" t="s">
        <v>339</v>
      </c>
      <c r="B202" s="379">
        <f>'PRIOR YEAR'!B202</f>
        <v>4521546</v>
      </c>
      <c r="C202" s="189"/>
      <c r="D202" s="174">
        <v>3228690.5</v>
      </c>
      <c r="E202" s="175">
        <f t="shared" si="14"/>
        <v>1292855.5</v>
      </c>
    </row>
    <row r="203" spans="1:7" ht="12.65" customHeight="1">
      <c r="A203" s="173" t="s">
        <v>340</v>
      </c>
      <c r="B203" s="379">
        <f>'PRIOR YEAR'!B203</f>
        <v>716299</v>
      </c>
      <c r="C203" s="189"/>
      <c r="D203" s="174">
        <v>716299</v>
      </c>
      <c r="E203" s="175">
        <f t="shared" si="14"/>
        <v>0</v>
      </c>
    </row>
    <row r="204" spans="1:7" ht="12.65" customHeight="1">
      <c r="A204" s="173" t="s">
        <v>203</v>
      </c>
      <c r="B204" s="304">
        <f>SUM(B195:B203)</f>
        <v>89640700</v>
      </c>
      <c r="C204" s="191">
        <f>SUM(C195:C203)</f>
        <v>114119638.06999999</v>
      </c>
      <c r="D204" s="175">
        <f>SUM(D195:D203)</f>
        <v>33002003.32</v>
      </c>
      <c r="E204" s="175">
        <f>SUM(E195:E203)</f>
        <v>170758334.75</v>
      </c>
      <c r="F204" s="180">
        <v>170758334.75</v>
      </c>
      <c r="G204" s="180" t="s">
        <v>1290</v>
      </c>
    </row>
    <row r="205" spans="1:7" ht="12.65" customHeight="1">
      <c r="A205" s="173"/>
      <c r="B205" s="304"/>
      <c r="C205" s="191"/>
      <c r="D205" s="175"/>
      <c r="E205" s="175"/>
    </row>
    <row r="206" spans="1:7" ht="12.65" customHeight="1">
      <c r="A206" s="207" t="s">
        <v>341</v>
      </c>
      <c r="B206" s="339"/>
      <c r="C206" s="207"/>
      <c r="D206" s="207"/>
      <c r="E206" s="207"/>
    </row>
    <row r="207" spans="1:7" ht="12.65" customHeight="1">
      <c r="A207" s="171"/>
      <c r="B207" s="306" t="s">
        <v>328</v>
      </c>
      <c r="C207" s="182" t="s">
        <v>329</v>
      </c>
      <c r="D207" s="170" t="s">
        <v>330</v>
      </c>
      <c r="E207" s="170" t="s">
        <v>331</v>
      </c>
    </row>
    <row r="208" spans="1:7" ht="12.65" customHeight="1">
      <c r="A208" s="173" t="s">
        <v>332</v>
      </c>
      <c r="B208" s="345"/>
      <c r="C208" s="193"/>
      <c r="D208" s="178"/>
      <c r="E208" s="175"/>
    </row>
    <row r="209" spans="1:7" ht="12.65" customHeight="1">
      <c r="A209" s="173" t="s">
        <v>333</v>
      </c>
      <c r="B209" s="379">
        <f>'PRIOR YEAR'!E209</f>
        <v>414165.67000000004</v>
      </c>
      <c r="C209" s="189">
        <v>0</v>
      </c>
      <c r="D209" s="174">
        <v>414165.67</v>
      </c>
      <c r="E209" s="175">
        <f t="shared" ref="E209:E216" si="15">SUM(B209:C209)-D209</f>
        <v>0</v>
      </c>
    </row>
    <row r="210" spans="1:7" ht="12.65" customHeight="1">
      <c r="A210" s="173" t="s">
        <v>334</v>
      </c>
      <c r="B210" s="379">
        <f>'PRIOR YEAR'!E210</f>
        <v>7719190.0199999996</v>
      </c>
      <c r="C210" s="189">
        <v>0</v>
      </c>
      <c r="D210" s="174">
        <v>6994824.1299999999</v>
      </c>
      <c r="E210" s="175">
        <f t="shared" si="15"/>
        <v>724365.88999999966</v>
      </c>
    </row>
    <row r="211" spans="1:7" ht="12.65" customHeight="1">
      <c r="A211" s="173" t="s">
        <v>335</v>
      </c>
      <c r="B211" s="379">
        <f>'PRIOR YEAR'!E211</f>
        <v>0</v>
      </c>
      <c r="C211" s="189">
        <v>0</v>
      </c>
      <c r="D211" s="174">
        <v>0</v>
      </c>
      <c r="E211" s="175">
        <f t="shared" si="15"/>
        <v>0</v>
      </c>
    </row>
    <row r="212" spans="1:7" ht="12.65" customHeight="1">
      <c r="A212" s="173" t="s">
        <v>336</v>
      </c>
      <c r="B212" s="379">
        <f>'PRIOR YEAR'!E212</f>
        <v>3539791</v>
      </c>
      <c r="C212" s="189">
        <v>0</v>
      </c>
      <c r="D212" s="174">
        <v>3433557.94</v>
      </c>
      <c r="E212" s="175">
        <f t="shared" si="15"/>
        <v>106233.06000000006</v>
      </c>
    </row>
    <row r="213" spans="1:7" ht="12.65" customHeight="1">
      <c r="A213" s="173" t="s">
        <v>337</v>
      </c>
      <c r="B213" s="379">
        <f>'PRIOR YEAR'!E213</f>
        <v>7763942.6699999999</v>
      </c>
      <c r="C213" s="189">
        <v>0</v>
      </c>
      <c r="D213" s="174">
        <v>6189515.1399999997</v>
      </c>
      <c r="E213" s="175">
        <f t="shared" si="15"/>
        <v>1574427.5300000003</v>
      </c>
    </row>
    <row r="214" spans="1:7" ht="12.65" customHeight="1">
      <c r="A214" s="173" t="s">
        <v>338</v>
      </c>
      <c r="B214" s="379">
        <f>'PRIOR YEAR'!E214</f>
        <v>3130334</v>
      </c>
      <c r="C214" s="189">
        <v>0</v>
      </c>
      <c r="D214" s="174">
        <v>3130334</v>
      </c>
      <c r="E214" s="175">
        <f t="shared" si="15"/>
        <v>0</v>
      </c>
    </row>
    <row r="215" spans="1:7" ht="12.65" customHeight="1">
      <c r="A215" s="173" t="s">
        <v>339</v>
      </c>
      <c r="B215" s="379">
        <f>'PRIOR YEAR'!E215</f>
        <v>1553082</v>
      </c>
      <c r="C215" s="189">
        <v>0</v>
      </c>
      <c r="D215" s="174">
        <v>1423796.46</v>
      </c>
      <c r="E215" s="175">
        <f t="shared" si="15"/>
        <v>129285.54000000004</v>
      </c>
    </row>
    <row r="216" spans="1:7" ht="12.65" customHeight="1">
      <c r="A216" s="173" t="s">
        <v>340</v>
      </c>
      <c r="B216" s="379">
        <f>'PRIOR YEAR'!E216</f>
        <v>0</v>
      </c>
      <c r="C216" s="189">
        <v>0</v>
      </c>
      <c r="D216" s="174">
        <v>0</v>
      </c>
      <c r="E216" s="175">
        <f t="shared" si="15"/>
        <v>0</v>
      </c>
    </row>
    <row r="217" spans="1:7" ht="12.65" customHeight="1">
      <c r="A217" s="173" t="s">
        <v>203</v>
      </c>
      <c r="B217" s="175">
        <f>SUM(B208:B216)</f>
        <v>24120505.359999999</v>
      </c>
      <c r="C217" s="191">
        <f>SUM(C208:C216)</f>
        <v>0</v>
      </c>
      <c r="D217" s="175">
        <f>SUM(D208:D216)</f>
        <v>21586193.34</v>
      </c>
      <c r="E217" s="175">
        <f>SUM(E208:E216)</f>
        <v>2534312.02</v>
      </c>
      <c r="F217" s="180">
        <v>-2534312.02</v>
      </c>
      <c r="G217" s="180" t="s">
        <v>1290</v>
      </c>
    </row>
    <row r="218" spans="1:7" ht="21.75" customHeight="1">
      <c r="A218" s="173"/>
      <c r="B218" s="175"/>
      <c r="C218" s="191"/>
      <c r="D218" s="175"/>
      <c r="E218" s="175"/>
    </row>
    <row r="219" spans="1:7" ht="12.65" customHeight="1">
      <c r="A219" s="208" t="s">
        <v>342</v>
      </c>
      <c r="B219" s="208"/>
      <c r="C219" s="208"/>
      <c r="D219" s="208"/>
      <c r="E219" s="208"/>
    </row>
    <row r="220" spans="1:7" ht="12.65" customHeight="1">
      <c r="A220" s="208"/>
      <c r="B220" s="389" t="s">
        <v>1255</v>
      </c>
      <c r="C220" s="389"/>
      <c r="D220" s="208"/>
      <c r="E220" s="208"/>
    </row>
    <row r="221" spans="1:7" ht="12.65" customHeight="1">
      <c r="A221" s="269" t="s">
        <v>1255</v>
      </c>
      <c r="B221" s="208"/>
      <c r="C221" s="285">
        <f>'data 2Q21-4Q21'!C221+'data 1Q21 (2)'!C221</f>
        <v>4902043.6500000004</v>
      </c>
      <c r="D221" s="172">
        <f>C221</f>
        <v>4902043.6500000004</v>
      </c>
      <c r="E221" s="208"/>
    </row>
    <row r="222" spans="1:7" ht="12.65" customHeight="1">
      <c r="A222" s="255" t="s">
        <v>343</v>
      </c>
      <c r="B222" s="255"/>
      <c r="C222" s="255"/>
      <c r="D222" s="255"/>
      <c r="E222" s="255"/>
    </row>
    <row r="223" spans="1:7" ht="12.65" customHeight="1">
      <c r="A223" s="173" t="s">
        <v>344</v>
      </c>
      <c r="B223" s="172" t="s">
        <v>256</v>
      </c>
      <c r="C223" s="189">
        <f>'data 2Q21-4Q21'!C223+'data 1Q21 (2)'!C223</f>
        <v>170423052.1359084</v>
      </c>
      <c r="D223" s="175"/>
      <c r="E223" s="175"/>
    </row>
    <row r="224" spans="1:7" ht="12.65" customHeight="1">
      <c r="A224" s="173" t="s">
        <v>345</v>
      </c>
      <c r="B224" s="172" t="s">
        <v>256</v>
      </c>
      <c r="C224" s="189">
        <f>'data 2Q21-4Q21'!C224+'data 1Q21 (2)'!C224</f>
        <v>4846566.148989819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f>'data 2Q21-4Q21'!C225+'data 1Q21 (2)'!C225</f>
        <v>5167929.2078360971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f>'data 2Q21-4Q21'!C226+'data 1Q21 (2)'!C226</f>
        <v>15820984.272230003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>
        <f>'data 2Q21-4Q21'!C227+'data 1Q21 (2)'!C227</f>
        <v>0</v>
      </c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f>'data 2Q21-4Q21'!C228+'data 1Q21 (2)'!C228+21503839.3799999</f>
        <v>297296786.57503557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493555318.33999991</v>
      </c>
      <c r="E229" s="175"/>
    </row>
    <row r="230" spans="1:5" ht="12.65" customHeight="1">
      <c r="A230" s="255" t="s">
        <v>351</v>
      </c>
      <c r="B230" s="255"/>
      <c r="C230" s="255"/>
      <c r="D230" s="255"/>
      <c r="E230" s="255"/>
    </row>
    <row r="231" spans="1:5" ht="12.65" customHeight="1">
      <c r="A231" s="171" t="s">
        <v>352</v>
      </c>
      <c r="B231" s="172" t="s">
        <v>256</v>
      </c>
      <c r="C231" s="189">
        <v>5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f>'data 2Q21-4Q21'!C233+'data 1Q21 (2)'!C233</f>
        <v>900507.90630873991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f>'data 2Q21-4Q21'!C234+'data 1Q21 (2)'!C234</f>
        <v>1438549.6136912601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2339057.52</v>
      </c>
      <c r="E236" s="175"/>
    </row>
    <row r="237" spans="1:5" ht="12.65" customHeight="1">
      <c r="A237" s="255" t="s">
        <v>356</v>
      </c>
      <c r="B237" s="255"/>
      <c r="C237" s="255"/>
      <c r="D237" s="255"/>
      <c r="E237" s="255"/>
    </row>
    <row r="238" spans="1:5" ht="12.65" customHeight="1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500796419.50999987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4">
      <c r="A249" s="255" t="s">
        <v>361</v>
      </c>
      <c r="B249" s="255"/>
      <c r="C249" s="255"/>
      <c r="D249" s="255"/>
      <c r="E249" s="255"/>
    </row>
    <row r="250" spans="1:5" ht="14">
      <c r="A250" s="173" t="s">
        <v>362</v>
      </c>
      <c r="B250" s="172" t="s">
        <v>256</v>
      </c>
      <c r="C250" s="371">
        <f>-215457091.77+218338493.76</f>
        <v>2881401.9899999797</v>
      </c>
      <c r="D250" s="175"/>
      <c r="E250" s="175"/>
    </row>
    <row r="251" spans="1:5" ht="14">
      <c r="A251" s="173" t="s">
        <v>363</v>
      </c>
      <c r="B251" s="172" t="s">
        <v>256</v>
      </c>
      <c r="C251" s="189"/>
      <c r="D251" s="175"/>
      <c r="E251" s="175"/>
    </row>
    <row r="252" spans="1:5" ht="14">
      <c r="A252" s="173" t="s">
        <v>364</v>
      </c>
      <c r="B252" s="172" t="s">
        <v>256</v>
      </c>
      <c r="C252" s="189">
        <v>29162693.359999992</v>
      </c>
      <c r="D252" s="175"/>
      <c r="E252" s="175"/>
    </row>
    <row r="253" spans="1:5" ht="14">
      <c r="A253" s="173" t="s">
        <v>365</v>
      </c>
      <c r="B253" s="172" t="s">
        <v>256</v>
      </c>
      <c r="C253" s="189">
        <v>7900653.3399999989</v>
      </c>
      <c r="D253" s="175"/>
      <c r="E253" s="175"/>
    </row>
    <row r="254" spans="1:5" ht="14">
      <c r="A254" s="173" t="s">
        <v>1241</v>
      </c>
      <c r="B254" s="172" t="s">
        <v>256</v>
      </c>
      <c r="C254" s="189"/>
      <c r="D254" s="175"/>
      <c r="E254" s="175"/>
    </row>
    <row r="255" spans="1:5" ht="14">
      <c r="A255" s="173" t="s">
        <v>366</v>
      </c>
      <c r="B255" s="172" t="s">
        <v>256</v>
      </c>
      <c r="C255" s="189">
        <v>1297974.71</v>
      </c>
      <c r="D255" s="175"/>
      <c r="E255" s="175"/>
    </row>
    <row r="256" spans="1:5" ht="14">
      <c r="A256" s="173" t="s">
        <v>367</v>
      </c>
      <c r="B256" s="172" t="s">
        <v>256</v>
      </c>
      <c r="C256" s="189"/>
      <c r="D256" s="175"/>
      <c r="E256" s="175"/>
    </row>
    <row r="257" spans="1:5" ht="14">
      <c r="A257" s="173" t="s">
        <v>368</v>
      </c>
      <c r="B257" s="172" t="s">
        <v>256</v>
      </c>
      <c r="C257" s="189">
        <v>3541588.44</v>
      </c>
      <c r="D257" s="175"/>
      <c r="E257" s="175"/>
    </row>
    <row r="258" spans="1:5" ht="14">
      <c r="A258" s="173" t="s">
        <v>369</v>
      </c>
      <c r="B258" s="172" t="s">
        <v>256</v>
      </c>
      <c r="C258" s="189">
        <v>437795.58999999997</v>
      </c>
      <c r="D258" s="175"/>
      <c r="E258" s="175"/>
    </row>
    <row r="259" spans="1:5" ht="14">
      <c r="A259" s="173" t="s">
        <v>370</v>
      </c>
      <c r="B259" s="172" t="s">
        <v>256</v>
      </c>
      <c r="C259" s="189"/>
      <c r="D259" s="175"/>
      <c r="E259" s="175"/>
    </row>
    <row r="260" spans="1:5" ht="14">
      <c r="A260" s="173" t="s">
        <v>371</v>
      </c>
      <c r="B260" s="175"/>
      <c r="C260" s="191"/>
      <c r="D260" s="175">
        <f>SUM(C250:C252)-C253+SUM(C254:C259)</f>
        <v>29420800.74999997</v>
      </c>
      <c r="E260" s="175"/>
    </row>
    <row r="261" spans="1:5" ht="14">
      <c r="A261" s="255" t="s">
        <v>372</v>
      </c>
      <c r="B261" s="255"/>
      <c r="C261" s="176"/>
      <c r="D261" s="255"/>
      <c r="E261" s="255"/>
    </row>
    <row r="262" spans="1:5" ht="14">
      <c r="A262" s="173" t="s">
        <v>362</v>
      </c>
      <c r="B262" s="172" t="s">
        <v>256</v>
      </c>
      <c r="C262" s="189"/>
      <c r="D262" s="175"/>
      <c r="E262" s="175"/>
    </row>
    <row r="263" spans="1:5" ht="14">
      <c r="A263" s="173" t="s">
        <v>363</v>
      </c>
      <c r="B263" s="172" t="s">
        <v>256</v>
      </c>
      <c r="C263" s="189"/>
      <c r="D263" s="175"/>
      <c r="E263" s="175"/>
    </row>
    <row r="264" spans="1:5" ht="14">
      <c r="A264" s="173" t="s">
        <v>373</v>
      </c>
      <c r="B264" s="172" t="s">
        <v>256</v>
      </c>
      <c r="C264" s="189"/>
      <c r="D264" s="175"/>
      <c r="E264" s="175"/>
    </row>
    <row r="265" spans="1:5" ht="14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4">
      <c r="A266" s="255" t="s">
        <v>375</v>
      </c>
      <c r="B266" s="255"/>
      <c r="C266" s="176"/>
      <c r="D266" s="255"/>
      <c r="E266" s="255"/>
    </row>
    <row r="267" spans="1:5" ht="14">
      <c r="A267" s="173" t="s">
        <v>332</v>
      </c>
      <c r="B267" s="172" t="s">
        <v>256</v>
      </c>
      <c r="C267" s="189">
        <v>5174183.28</v>
      </c>
      <c r="D267" s="175"/>
      <c r="E267" s="175"/>
    </row>
    <row r="268" spans="1:5" ht="14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4">
      <c r="A269" s="173" t="s">
        <v>334</v>
      </c>
      <c r="B269" s="172" t="s">
        <v>256</v>
      </c>
      <c r="C269" s="189">
        <v>150542675.78999999</v>
      </c>
      <c r="D269" s="175"/>
      <c r="E269" s="175"/>
    </row>
    <row r="270" spans="1:5" ht="14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4">
      <c r="A271" s="173" t="s">
        <v>377</v>
      </c>
      <c r="B271" s="172" t="s">
        <v>256</v>
      </c>
      <c r="C271" s="189">
        <v>1470047.5200000033</v>
      </c>
      <c r="D271" s="175"/>
      <c r="E271" s="175"/>
    </row>
    <row r="272" spans="1:5" ht="14">
      <c r="A272" s="173" t="s">
        <v>378</v>
      </c>
      <c r="B272" s="172" t="s">
        <v>256</v>
      </c>
      <c r="C272" s="189">
        <v>12278572.659999996</v>
      </c>
      <c r="D272" s="175"/>
      <c r="E272" s="175"/>
    </row>
    <row r="273" spans="1:5" ht="14">
      <c r="A273" s="173" t="s">
        <v>339</v>
      </c>
      <c r="B273" s="172" t="s">
        <v>256</v>
      </c>
      <c r="C273" s="189">
        <v>1292855.5</v>
      </c>
      <c r="D273" s="175"/>
      <c r="E273" s="175"/>
    </row>
    <row r="274" spans="1:5" ht="14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4">
      <c r="A275" s="173" t="s">
        <v>379</v>
      </c>
      <c r="B275" s="175"/>
      <c r="C275" s="191"/>
      <c r="D275" s="175">
        <f>SUM(C267:C274)</f>
        <v>170758334.75</v>
      </c>
      <c r="E275" s="175"/>
    </row>
    <row r="276" spans="1:5" ht="14">
      <c r="A276" s="173" t="s">
        <v>380</v>
      </c>
      <c r="B276" s="172" t="s">
        <v>256</v>
      </c>
      <c r="C276" s="189">
        <v>2534312.0199999982</v>
      </c>
      <c r="D276" s="175"/>
      <c r="E276" s="175"/>
    </row>
    <row r="277" spans="1:5" ht="14">
      <c r="A277" s="173" t="s">
        <v>381</v>
      </c>
      <c r="B277" s="175"/>
      <c r="C277" s="191"/>
      <c r="D277" s="175">
        <f>D275-C276</f>
        <v>168224022.72999999</v>
      </c>
      <c r="E277" s="175"/>
    </row>
    <row r="278" spans="1:5" ht="14">
      <c r="A278" s="255" t="s">
        <v>382</v>
      </c>
      <c r="B278" s="255"/>
      <c r="C278" s="176"/>
      <c r="D278" s="255"/>
      <c r="E278" s="255"/>
    </row>
    <row r="279" spans="1:5" ht="14">
      <c r="A279" s="173" t="s">
        <v>383</v>
      </c>
      <c r="B279" s="172" t="s">
        <v>256</v>
      </c>
      <c r="C279" s="189"/>
      <c r="D279" s="175"/>
      <c r="E279" s="175"/>
    </row>
    <row r="280" spans="1:5" ht="14">
      <c r="A280" s="173" t="s">
        <v>384</v>
      </c>
      <c r="B280" s="172" t="s">
        <v>256</v>
      </c>
      <c r="C280" s="189"/>
      <c r="D280" s="175"/>
      <c r="E280" s="175"/>
    </row>
    <row r="281" spans="1:5" ht="14">
      <c r="A281" s="173" t="s">
        <v>385</v>
      </c>
      <c r="B281" s="172" t="s">
        <v>256</v>
      </c>
      <c r="C281" s="189"/>
      <c r="D281" s="175"/>
      <c r="E281" s="175"/>
    </row>
    <row r="282" spans="1:5" ht="14">
      <c r="A282" s="173" t="s">
        <v>373</v>
      </c>
      <c r="B282" s="172" t="s">
        <v>256</v>
      </c>
      <c r="C282" s="189">
        <v>10573252.270000007</v>
      </c>
      <c r="D282" s="175"/>
      <c r="E282" s="175"/>
    </row>
    <row r="283" spans="1:5" ht="14">
      <c r="A283" s="173" t="s">
        <v>386</v>
      </c>
      <c r="B283" s="175"/>
      <c r="C283" s="191"/>
      <c r="D283" s="175">
        <f>C279-C280+C281+C282</f>
        <v>10573252.270000007</v>
      </c>
      <c r="E283" s="175"/>
    </row>
    <row r="284" spans="1:5" ht="14">
      <c r="A284" s="173"/>
      <c r="B284" s="175"/>
      <c r="C284" s="191"/>
      <c r="D284" s="175"/>
      <c r="E284" s="175"/>
    </row>
    <row r="285" spans="1:5" ht="14">
      <c r="A285" s="255" t="s">
        <v>387</v>
      </c>
      <c r="B285" s="255"/>
      <c r="C285" s="176"/>
      <c r="D285" s="255"/>
      <c r="E285" s="255"/>
    </row>
    <row r="286" spans="1:5" ht="14">
      <c r="A286" s="173" t="s">
        <v>388</v>
      </c>
      <c r="B286" s="172" t="s">
        <v>256</v>
      </c>
      <c r="C286" s="189"/>
      <c r="D286" s="175"/>
      <c r="E286" s="175"/>
    </row>
    <row r="287" spans="1:5" ht="14">
      <c r="A287" s="173" t="s">
        <v>389</v>
      </c>
      <c r="B287" s="172" t="s">
        <v>256</v>
      </c>
      <c r="C287" s="189"/>
      <c r="D287" s="175"/>
      <c r="E287" s="175"/>
    </row>
    <row r="288" spans="1:5" ht="14">
      <c r="A288" s="173" t="s">
        <v>390</v>
      </c>
      <c r="B288" s="172" t="s">
        <v>256</v>
      </c>
      <c r="C288" s="189"/>
      <c r="D288" s="175"/>
      <c r="E288" s="175"/>
    </row>
    <row r="289" spans="1:5" ht="14">
      <c r="A289" s="173" t="s">
        <v>391</v>
      </c>
      <c r="B289" s="172" t="s">
        <v>256</v>
      </c>
      <c r="C289" s="189"/>
      <c r="D289" s="175"/>
      <c r="E289" s="175"/>
    </row>
    <row r="290" spans="1:5" ht="14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4">
      <c r="A291" s="173"/>
      <c r="B291" s="175"/>
      <c r="C291" s="191"/>
      <c r="D291" s="175"/>
      <c r="E291" s="175"/>
    </row>
    <row r="292" spans="1:5" ht="14">
      <c r="A292" s="173" t="s">
        <v>393</v>
      </c>
      <c r="B292" s="175"/>
      <c r="C292" s="191"/>
      <c r="D292" s="175">
        <f>D260+D265+D277+D283+D290</f>
        <v>208218075.74999997</v>
      </c>
      <c r="E292" s="175"/>
    </row>
    <row r="293" spans="1:5" ht="14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5" t="s">
        <v>395</v>
      </c>
      <c r="B303" s="255"/>
      <c r="C303" s="255"/>
      <c r="D303" s="255"/>
      <c r="E303" s="255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285">
        <f>-3762816.29+5013335.43</f>
        <v>1250519.1399999997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251377.74999999994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112500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251198.40999999995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235984.79999999897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2101580.0999999987</v>
      </c>
      <c r="E314" s="175"/>
    </row>
    <row r="315" spans="1:5" ht="12.65" customHeight="1">
      <c r="A315" s="255" t="s">
        <v>406</v>
      </c>
      <c r="B315" s="255"/>
      <c r="C315" s="255"/>
      <c r="D315" s="255"/>
      <c r="E315" s="255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5" t="s">
        <v>411</v>
      </c>
      <c r="B320" s="255"/>
      <c r="C320" s="255"/>
      <c r="D320" s="255"/>
      <c r="E320" s="255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285">
        <f>6829981.21-5013335.43+218338493.76</f>
        <v>220155139.53999999</v>
      </c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220155139.53999999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235984.79999999897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219919154.73999998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-13802659.09</v>
      </c>
      <c r="D332" s="175"/>
      <c r="E332" s="175"/>
    </row>
    <row r="333" spans="1:5" ht="12.65" customHeight="1">
      <c r="A333" s="173"/>
      <c r="B333" s="172"/>
      <c r="C333" s="230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208218075.74999997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208218075.74999997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9" ht="12.65" customHeight="1">
      <c r="A353" s="173"/>
      <c r="B353" s="173"/>
      <c r="C353" s="191"/>
      <c r="D353" s="175"/>
      <c r="E353" s="175"/>
    </row>
    <row r="354" spans="1:9" ht="12.65" customHeight="1">
      <c r="A354" s="173"/>
      <c r="B354" s="173"/>
      <c r="C354" s="191"/>
      <c r="D354" s="175"/>
      <c r="E354" s="175"/>
    </row>
    <row r="355" spans="1:9" ht="12.65" customHeight="1">
      <c r="A355" s="173"/>
      <c r="B355" s="173"/>
      <c r="C355" s="191"/>
      <c r="D355" s="175"/>
      <c r="E355" s="175"/>
    </row>
    <row r="356" spans="1:9" ht="20.25" customHeight="1">
      <c r="A356" s="173"/>
      <c r="B356" s="173"/>
      <c r="C356" s="191"/>
      <c r="D356" s="175"/>
      <c r="E356" s="175"/>
    </row>
    <row r="357" spans="1:9" ht="12.65" customHeight="1">
      <c r="A357" s="208" t="s">
        <v>426</v>
      </c>
      <c r="B357" s="208"/>
      <c r="C357" s="208"/>
      <c r="D357" s="208"/>
      <c r="E357" s="208"/>
    </row>
    <row r="358" spans="1:9" ht="14">
      <c r="A358" s="255" t="s">
        <v>427</v>
      </c>
      <c r="B358" s="255"/>
      <c r="C358" s="255"/>
      <c r="D358" s="255"/>
      <c r="E358" s="255"/>
      <c r="G358" s="387" t="s">
        <v>1286</v>
      </c>
      <c r="H358" s="387" t="s">
        <v>1287</v>
      </c>
    </row>
    <row r="359" spans="1:9" ht="12.65" customHeight="1">
      <c r="A359" s="173" t="s">
        <v>428</v>
      </c>
      <c r="B359" s="172" t="s">
        <v>256</v>
      </c>
      <c r="C359" s="189">
        <f>'data 2Q21-4Q21'!C359+'data 1Q21'!C359</f>
        <v>243571795.97</v>
      </c>
      <c r="D359" s="175"/>
      <c r="E359" s="175"/>
      <c r="G359" s="189">
        <f>'data 2Q21-4Q21'!C359</f>
        <v>189689856.97</v>
      </c>
      <c r="H359" s="189">
        <f>'data 1Q21 (2)'!C359</f>
        <v>53881939</v>
      </c>
      <c r="I359" s="180">
        <f>G359+H359-C359</f>
        <v>0</v>
      </c>
    </row>
    <row r="360" spans="1:9" ht="12.65" customHeight="1">
      <c r="A360" s="173" t="s">
        <v>429</v>
      </c>
      <c r="B360" s="172" t="s">
        <v>256</v>
      </c>
      <c r="C360" s="189">
        <f>'data 2Q21-4Q21'!C360+'data 1Q21'!C360</f>
        <v>355992845.82999998</v>
      </c>
      <c r="D360" s="175"/>
      <c r="E360" s="175"/>
      <c r="G360" s="189">
        <f>'data 2Q21-4Q21'!C360</f>
        <v>268643728.82999998</v>
      </c>
      <c r="H360" s="189">
        <f>'data 1Q21 (2)'!C360</f>
        <v>87349117</v>
      </c>
      <c r="I360" s="180">
        <f>G360+H360-C360</f>
        <v>0</v>
      </c>
    </row>
    <row r="361" spans="1:9" ht="12.65" customHeight="1">
      <c r="A361" s="173" t="s">
        <v>430</v>
      </c>
      <c r="B361" s="175"/>
      <c r="C361" s="191"/>
      <c r="D361" s="175">
        <f>SUM(C359:C360)</f>
        <v>599564641.79999995</v>
      </c>
      <c r="E361" s="175"/>
    </row>
    <row r="362" spans="1:9" ht="12.65" customHeight="1">
      <c r="A362" s="255" t="s">
        <v>431</v>
      </c>
      <c r="B362" s="255"/>
      <c r="C362" s="255"/>
      <c r="D362" s="255"/>
      <c r="E362" s="255"/>
    </row>
    <row r="363" spans="1:9" ht="12.65" customHeight="1">
      <c r="A363" s="173" t="s">
        <v>1255</v>
      </c>
      <c r="B363" s="255"/>
      <c r="C363" s="189">
        <f>'data 2Q21-4Q21'!C363+'data 1Q21'!C363</f>
        <v>4902043.6500000004</v>
      </c>
      <c r="D363" s="175"/>
      <c r="E363" s="255"/>
    </row>
    <row r="364" spans="1:9" ht="12.65" customHeight="1">
      <c r="A364" s="173" t="s">
        <v>432</v>
      </c>
      <c r="B364" s="172" t="s">
        <v>256</v>
      </c>
      <c r="C364" s="189">
        <f>'data 2Q21-4Q21'!C364+'data 1Q21'!C364</f>
        <v>493095978.98999995</v>
      </c>
      <c r="D364" s="175"/>
      <c r="E364" s="175"/>
    </row>
    <row r="365" spans="1:9" ht="12.65" customHeight="1">
      <c r="A365" s="173" t="s">
        <v>433</v>
      </c>
      <c r="B365" s="172" t="s">
        <v>256</v>
      </c>
      <c r="C365" s="189">
        <f>'data 2Q21-4Q21'!C365+'data 1Q21'!C365</f>
        <v>2793040.54</v>
      </c>
      <c r="D365" s="175"/>
      <c r="E365" s="175"/>
    </row>
    <row r="366" spans="1:9" ht="12.65" customHeight="1">
      <c r="A366" s="173" t="s">
        <v>434</v>
      </c>
      <c r="B366" s="172" t="s">
        <v>256</v>
      </c>
      <c r="C366" s="189">
        <f>'data 2Q21-4Q21'!C366+'data 1Q21'!C366</f>
        <v>5356.33</v>
      </c>
      <c r="D366" s="175"/>
      <c r="E366" s="175"/>
    </row>
    <row r="367" spans="1:9" ht="12.65" customHeight="1">
      <c r="A367" s="173" t="s">
        <v>359</v>
      </c>
      <c r="B367" s="175"/>
      <c r="C367" s="191"/>
      <c r="D367" s="175">
        <f>SUM(C363:C366)</f>
        <v>500796419.50999993</v>
      </c>
      <c r="E367" s="175"/>
      <c r="F367" s="180">
        <f>D367-D242</f>
        <v>0</v>
      </c>
    </row>
    <row r="368" spans="1:9" ht="12.65" customHeight="1">
      <c r="A368" s="173" t="s">
        <v>435</v>
      </c>
      <c r="B368" s="175"/>
      <c r="C368" s="191"/>
      <c r="D368" s="175">
        <f>D361-D367</f>
        <v>98768222.290000021</v>
      </c>
      <c r="E368" s="175"/>
    </row>
    <row r="369" spans="1:7" ht="12.65" customHeight="1">
      <c r="A369" s="255" t="s">
        <v>436</v>
      </c>
      <c r="B369" s="255"/>
      <c r="C369" s="255"/>
      <c r="D369" s="255"/>
      <c r="E369" s="255"/>
    </row>
    <row r="370" spans="1:7" ht="12.65" customHeight="1">
      <c r="A370" s="173" t="s">
        <v>437</v>
      </c>
      <c r="B370" s="172" t="s">
        <v>256</v>
      </c>
      <c r="C370" s="189">
        <f>'data 2Q21-4Q21'!C370+'data 1Q21'!C370</f>
        <v>10079234.42</v>
      </c>
      <c r="D370" s="175"/>
      <c r="E370" s="175"/>
    </row>
    <row r="371" spans="1:7" ht="12.65" customHeight="1">
      <c r="A371" s="173" t="s">
        <v>438</v>
      </c>
      <c r="B371" s="172" t="s">
        <v>256</v>
      </c>
      <c r="C371" s="189">
        <f>'data 2Q21-4Q21'!C371+'data 1Q21'!C371</f>
        <v>0</v>
      </c>
      <c r="D371" s="175"/>
      <c r="E371" s="175"/>
    </row>
    <row r="372" spans="1:7" ht="12.65" customHeight="1">
      <c r="A372" s="173" t="s">
        <v>439</v>
      </c>
      <c r="B372" s="175"/>
      <c r="C372" s="191"/>
      <c r="D372" s="175">
        <f>SUM(C370:C371)</f>
        <v>10079234.42</v>
      </c>
      <c r="E372" s="175"/>
    </row>
    <row r="373" spans="1:7" ht="12.65" customHeight="1">
      <c r="A373" s="173" t="s">
        <v>440</v>
      </c>
      <c r="B373" s="175"/>
      <c r="C373" s="191"/>
      <c r="D373" s="175">
        <f>D368+D372</f>
        <v>108847456.71000002</v>
      </c>
      <c r="E373" s="175"/>
    </row>
    <row r="374" spans="1:7" ht="12.65" customHeight="1">
      <c r="A374" s="173"/>
      <c r="B374" s="175"/>
      <c r="C374" s="191"/>
      <c r="D374" s="175"/>
      <c r="E374" s="175"/>
    </row>
    <row r="375" spans="1:7" ht="12.65" customHeight="1">
      <c r="A375" s="173"/>
      <c r="B375" s="175"/>
      <c r="C375" s="191"/>
      <c r="D375" s="175"/>
      <c r="E375" s="175"/>
    </row>
    <row r="376" spans="1:7" ht="12.65" customHeight="1">
      <c r="A376" s="173"/>
      <c r="B376" s="175"/>
      <c r="C376" s="191"/>
      <c r="D376" s="175"/>
      <c r="E376" s="175"/>
    </row>
    <row r="377" spans="1:7" ht="12.65" customHeight="1">
      <c r="A377" s="255" t="s">
        <v>441</v>
      </c>
      <c r="B377" s="255"/>
      <c r="C377" s="255"/>
      <c r="D377" s="255"/>
      <c r="E377" s="255"/>
      <c r="F377" s="2" t="s">
        <v>1266</v>
      </c>
      <c r="G377" s="2" t="s">
        <v>1285</v>
      </c>
    </row>
    <row r="378" spans="1:7" ht="12.65" customHeight="1">
      <c r="A378" s="173" t="s">
        <v>442</v>
      </c>
      <c r="B378" s="172" t="s">
        <v>256</v>
      </c>
      <c r="C378" s="189">
        <f>'data 2Q21-4Q21'!C378+'data 1Q21'!C378+6</f>
        <v>44946486.840000011</v>
      </c>
      <c r="D378" s="175"/>
      <c r="E378" s="175"/>
      <c r="F378" s="381">
        <f>ROUNDDOWN(C378-CE61,0)</f>
        <v>0</v>
      </c>
      <c r="G378" s="382"/>
    </row>
    <row r="379" spans="1:7" ht="12.65" customHeight="1">
      <c r="A379" s="173" t="s">
        <v>3</v>
      </c>
      <c r="B379" s="172" t="s">
        <v>256</v>
      </c>
      <c r="C379" s="189">
        <f>'data 2Q21-4Q21'!C379+'data 1Q21'!C379+3</f>
        <v>6704634.8699999992</v>
      </c>
      <c r="D379" s="175"/>
      <c r="E379" s="175"/>
      <c r="F379" s="381">
        <f t="shared" ref="F379:F385" si="16">ROUNDDOWN(C379-CE62,0)</f>
        <v>0</v>
      </c>
      <c r="G379" s="382">
        <f>C379-D173</f>
        <v>3.9999999990686774</v>
      </c>
    </row>
    <row r="380" spans="1:7" ht="12.65" customHeight="1">
      <c r="A380" s="173" t="s">
        <v>236</v>
      </c>
      <c r="B380" s="172" t="s">
        <v>256</v>
      </c>
      <c r="C380" s="189">
        <f>'data 2Q21-4Q21'!C380+'data 1Q21'!C380</f>
        <v>5190751.76</v>
      </c>
      <c r="D380" s="175"/>
      <c r="E380" s="175"/>
      <c r="F380" s="381">
        <f>ROUNDDOWN(C380-CE63,0)</f>
        <v>0</v>
      </c>
      <c r="G380" s="382"/>
    </row>
    <row r="381" spans="1:7" ht="12.65" customHeight="1">
      <c r="A381" s="173" t="s">
        <v>443</v>
      </c>
      <c r="B381" s="172" t="s">
        <v>256</v>
      </c>
      <c r="C381" s="189">
        <f>'data 2Q21-4Q21'!C381+'data 1Q21'!C381+6</f>
        <v>21385901.969999999</v>
      </c>
      <c r="D381" s="175"/>
      <c r="E381" s="175"/>
      <c r="F381" s="381">
        <f>ROUNDDOWN(C381-CE64,0)</f>
        <v>0</v>
      </c>
      <c r="G381" s="382"/>
    </row>
    <row r="382" spans="1:7" ht="12.65" customHeight="1">
      <c r="A382" s="173" t="s">
        <v>444</v>
      </c>
      <c r="B382" s="172" t="s">
        <v>256</v>
      </c>
      <c r="C382" s="189">
        <f>'data 2Q21-4Q21'!C382+'data 1Q21'!C382-1</f>
        <v>1043833.3</v>
      </c>
      <c r="D382" s="175"/>
      <c r="E382" s="175"/>
      <c r="F382" s="381">
        <f t="shared" si="16"/>
        <v>0</v>
      </c>
      <c r="G382" s="382"/>
    </row>
    <row r="383" spans="1:7" ht="12.65" customHeight="1">
      <c r="A383" s="173" t="s">
        <v>445</v>
      </c>
      <c r="B383" s="172" t="s">
        <v>256</v>
      </c>
      <c r="C383" s="189">
        <f>'data 2Q21-4Q21'!C383+'data 1Q21'!C383+2</f>
        <v>18434720.609999999</v>
      </c>
      <c r="D383" s="175"/>
      <c r="E383" s="175"/>
      <c r="F383" s="381">
        <f t="shared" si="16"/>
        <v>0</v>
      </c>
      <c r="G383" s="382"/>
    </row>
    <row r="384" spans="1:7" ht="12.65" customHeight="1">
      <c r="A384" s="173" t="s">
        <v>6</v>
      </c>
      <c r="B384" s="172" t="s">
        <v>256</v>
      </c>
      <c r="C384" s="189">
        <f>'data 2Q21-4Q21'!C384+'data 1Q21'!C384+2</f>
        <v>4947738.2</v>
      </c>
      <c r="D384" s="175"/>
      <c r="E384" s="175"/>
      <c r="F384" s="381">
        <f t="shared" si="16"/>
        <v>0</v>
      </c>
      <c r="G384" s="382"/>
    </row>
    <row r="385" spans="1:7" ht="12.65" customHeight="1">
      <c r="A385" s="173" t="s">
        <v>446</v>
      </c>
      <c r="B385" s="172" t="s">
        <v>256</v>
      </c>
      <c r="C385" s="189">
        <f>'data 2Q21-4Q21'!C385+'data 1Q21'!C385+2</f>
        <v>11308756.129999999</v>
      </c>
      <c r="D385" s="175"/>
      <c r="E385" s="175"/>
      <c r="F385" s="381">
        <f t="shared" si="16"/>
        <v>0</v>
      </c>
      <c r="G385" s="382">
        <f>C385-D177</f>
        <v>3</v>
      </c>
    </row>
    <row r="386" spans="1:7" ht="12.65" customHeight="1">
      <c r="A386" s="173" t="s">
        <v>447</v>
      </c>
      <c r="B386" s="172" t="s">
        <v>256</v>
      </c>
      <c r="C386" s="189">
        <f>'data 2Q21-4Q21'!C386+'data 1Q21'!C386</f>
        <v>151294.33000000002</v>
      </c>
      <c r="D386" s="175"/>
      <c r="E386" s="175"/>
      <c r="F386" s="381">
        <f>ROUNDDOWN(SUM(C386:C389)-CE69,0)</f>
        <v>0</v>
      </c>
      <c r="G386" s="382">
        <f>C386-D181</f>
        <v>1</v>
      </c>
    </row>
    <row r="387" spans="1:7" ht="12.65" customHeight="1">
      <c r="A387" s="173" t="s">
        <v>448</v>
      </c>
      <c r="B387" s="172" t="s">
        <v>256</v>
      </c>
      <c r="C387" s="189">
        <f>'data 2Q21-4Q21'!C387+'data 1Q21'!C387</f>
        <v>3301928.65</v>
      </c>
      <c r="D387" s="175"/>
      <c r="E387" s="175"/>
      <c r="F387" s="383"/>
      <c r="G387" s="382">
        <f>C387-D186</f>
        <v>0.12999999942258</v>
      </c>
    </row>
    <row r="388" spans="1:7" ht="12.65" customHeight="1">
      <c r="A388" s="173" t="s">
        <v>449</v>
      </c>
      <c r="B388" s="172" t="s">
        <v>256</v>
      </c>
      <c r="C388" s="189">
        <f>'data 2Q21-4Q21'!C388+'data 1Q21'!C388</f>
        <v>2513722</v>
      </c>
      <c r="D388" s="175"/>
      <c r="E388" s="175"/>
      <c r="F388" s="383"/>
      <c r="G388" s="382">
        <f>C388-D190</f>
        <v>0</v>
      </c>
    </row>
    <row r="389" spans="1:7" ht="12.65" customHeight="1">
      <c r="A389" s="173" t="s">
        <v>451</v>
      </c>
      <c r="B389" s="172" t="s">
        <v>256</v>
      </c>
      <c r="C389" s="189">
        <f>'data 2Q21-4Q21'!C389+'data 1Q21'!C389</f>
        <v>4228162.38</v>
      </c>
      <c r="D389" s="175"/>
      <c r="E389" s="175"/>
    </row>
    <row r="390" spans="1:7" ht="12.65" customHeight="1">
      <c r="A390" s="173" t="s">
        <v>452</v>
      </c>
      <c r="B390" s="175"/>
      <c r="C390" s="191"/>
      <c r="D390" s="175">
        <f>SUM(C378:C389)</f>
        <v>124157931.03999999</v>
      </c>
      <c r="E390" s="175"/>
    </row>
    <row r="391" spans="1:7" ht="12.65" customHeight="1">
      <c r="A391" s="173" t="s">
        <v>453</v>
      </c>
      <c r="B391" s="175"/>
      <c r="C391" s="191"/>
      <c r="D391" s="175">
        <f>D373-D390</f>
        <v>-15310474.329999968</v>
      </c>
      <c r="E391" s="175"/>
    </row>
    <row r="392" spans="1:7" ht="12.65" customHeight="1">
      <c r="A392" s="173" t="s">
        <v>454</v>
      </c>
      <c r="B392" s="172" t="s">
        <v>256</v>
      </c>
      <c r="C392" s="189">
        <f>'data 2Q21-4Q21'!C392+'data 1Q21'!C392</f>
        <v>0</v>
      </c>
      <c r="D392" s="175"/>
      <c r="E392" s="175"/>
    </row>
    <row r="393" spans="1:7" ht="12.65" customHeight="1">
      <c r="A393" s="173" t="s">
        <v>455</v>
      </c>
      <c r="B393" s="175"/>
      <c r="C393" s="191"/>
      <c r="D393" s="195">
        <f>D391+C392</f>
        <v>-15310474.329999968</v>
      </c>
      <c r="E393" s="175"/>
      <c r="F393" s="197"/>
    </row>
    <row r="394" spans="1:7" ht="12.65" customHeight="1">
      <c r="A394" s="173" t="s">
        <v>456</v>
      </c>
      <c r="B394" s="172" t="s">
        <v>256</v>
      </c>
      <c r="C394" s="189">
        <f>'data 2Q21-4Q21'!C394+'data 1Q21'!C394</f>
        <v>0</v>
      </c>
      <c r="D394" s="175"/>
      <c r="E394" s="175"/>
    </row>
    <row r="395" spans="1:7" ht="12.65" customHeight="1">
      <c r="A395" s="173" t="s">
        <v>457</v>
      </c>
      <c r="B395" s="172" t="s">
        <v>256</v>
      </c>
      <c r="C395" s="189">
        <f>'data 2Q21-4Q21'!C395+'data 1Q21'!C395</f>
        <v>0</v>
      </c>
      <c r="D395" s="175"/>
      <c r="E395" s="175"/>
    </row>
    <row r="396" spans="1:7" ht="12.65" customHeight="1">
      <c r="A396" s="173" t="s">
        <v>458</v>
      </c>
      <c r="B396" s="175"/>
      <c r="C396" s="191"/>
      <c r="D396" s="175">
        <f>D393+C394-C395</f>
        <v>-15310474.329999968</v>
      </c>
      <c r="E396" s="175"/>
      <c r="F396" s="180">
        <f>D396-'data 2Q21-4Q21'!D396-'data 1Q21'!D396</f>
        <v>-20</v>
      </c>
    </row>
    <row r="397" spans="1:7" ht="13.5" customHeight="1">
      <c r="A397" s="179"/>
      <c r="B397" s="179"/>
    </row>
    <row r="398" spans="1:7" ht="12.65" customHeight="1">
      <c r="A398" s="179"/>
      <c r="B398" s="179"/>
      <c r="D398" s="180">
        <f>'data 2Q21-4Q21'!D398+'data 1Q21 (2)'!D398</f>
        <v>-13802659.089999974</v>
      </c>
      <c r="E398" s="180" t="s">
        <v>1288</v>
      </c>
    </row>
    <row r="399" spans="1:7" ht="12.65" customHeight="1">
      <c r="A399" s="179"/>
      <c r="B399" s="179"/>
      <c r="D399" s="180">
        <f>'data 1Q21 (2)'!D396</f>
        <v>-1507793.2399999946</v>
      </c>
      <c r="E399" s="180" t="s">
        <v>1289</v>
      </c>
    </row>
    <row r="400" spans="1:7" ht="12" customHeight="1">
      <c r="A400" s="179"/>
      <c r="B400" s="179"/>
      <c r="C400" s="287"/>
      <c r="D400" s="180">
        <f>SUM(D398:D399)</f>
        <v>-15310452.329999968</v>
      </c>
    </row>
    <row r="401" spans="1:5" ht="12" customHeight="1">
      <c r="A401" s="179"/>
      <c r="B401" s="179"/>
      <c r="C401" s="287"/>
      <c r="D401" s="180">
        <f>D396-D400</f>
        <v>-22</v>
      </c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58"/>
    </row>
    <row r="412" spans="1:5" ht="12.65" customHeight="1">
      <c r="A412" s="179" t="str">
        <f>C84&amp;"   "&amp;"H-"&amp;FIXED(C83,0,TRUE)&amp;"     FYE "&amp;C82</f>
        <v>Capital Medical Center   H-0     FYE 12/31/2021</v>
      </c>
      <c r="B412" s="179"/>
      <c r="C412" s="179"/>
      <c r="D412" s="179"/>
      <c r="E412" s="258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3684</v>
      </c>
      <c r="C414" s="194">
        <f>E138</f>
        <v>3683.5</v>
      </c>
      <c r="D414" s="179"/>
    </row>
    <row r="415" spans="1:5" ht="12.65" customHeight="1">
      <c r="A415" s="179" t="s">
        <v>464</v>
      </c>
      <c r="B415" s="179">
        <f>D111</f>
        <v>16715</v>
      </c>
      <c r="C415" s="179">
        <f>E139</f>
        <v>16715</v>
      </c>
      <c r="D415" s="194">
        <f>SUM(C59:H59)+N59</f>
        <v>13778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629</v>
      </c>
    </row>
    <row r="424" spans="1:7" ht="12.65" customHeight="1">
      <c r="A424" s="179" t="s">
        <v>1244</v>
      </c>
      <c r="B424" s="179">
        <f>D114</f>
        <v>878</v>
      </c>
      <c r="D424" s="179">
        <f>J59</f>
        <v>233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7">C378</f>
        <v>44946486.840000011</v>
      </c>
      <c r="C427" s="179">
        <f t="shared" ref="C427:C434" si="18">CE61</f>
        <v>44946486.840000011</v>
      </c>
      <c r="D427" s="179"/>
    </row>
    <row r="428" spans="1:7" ht="12.65" customHeight="1">
      <c r="A428" s="179" t="s">
        <v>3</v>
      </c>
      <c r="B428" s="179">
        <f t="shared" si="17"/>
        <v>6704634.8699999992</v>
      </c>
      <c r="C428" s="179">
        <f t="shared" si="18"/>
        <v>6704635</v>
      </c>
      <c r="D428" s="179">
        <f>D173</f>
        <v>6704630.8700000001</v>
      </c>
    </row>
    <row r="429" spans="1:7" ht="12.65" customHeight="1">
      <c r="A429" s="179" t="s">
        <v>236</v>
      </c>
      <c r="B429" s="179">
        <f t="shared" si="17"/>
        <v>5190751.76</v>
      </c>
      <c r="C429" s="179">
        <f t="shared" si="18"/>
        <v>5190751.7599999988</v>
      </c>
      <c r="D429" s="179"/>
    </row>
    <row r="430" spans="1:7" ht="12.65" customHeight="1">
      <c r="A430" s="179" t="s">
        <v>237</v>
      </c>
      <c r="B430" s="179">
        <f t="shared" si="17"/>
        <v>21385901.969999999</v>
      </c>
      <c r="C430" s="179">
        <f t="shared" si="18"/>
        <v>21385901.969999999</v>
      </c>
      <c r="D430" s="179"/>
    </row>
    <row r="431" spans="1:7" ht="12.65" customHeight="1">
      <c r="A431" s="179" t="s">
        <v>444</v>
      </c>
      <c r="B431" s="179">
        <f t="shared" si="17"/>
        <v>1043833.3</v>
      </c>
      <c r="C431" s="179">
        <f t="shared" si="18"/>
        <v>1043833.3</v>
      </c>
      <c r="D431" s="179"/>
    </row>
    <row r="432" spans="1:7" ht="12.65" customHeight="1">
      <c r="A432" s="179" t="s">
        <v>445</v>
      </c>
      <c r="B432" s="179">
        <f t="shared" si="17"/>
        <v>18434720.609999999</v>
      </c>
      <c r="C432" s="179">
        <f t="shared" si="18"/>
        <v>18434720.610000007</v>
      </c>
      <c r="D432" s="179"/>
    </row>
    <row r="433" spans="1:7" ht="12.65" customHeight="1">
      <c r="A433" s="179" t="s">
        <v>6</v>
      </c>
      <c r="B433" s="179">
        <f t="shared" si="17"/>
        <v>4947738.2</v>
      </c>
      <c r="C433" s="179">
        <f t="shared" si="18"/>
        <v>4947739</v>
      </c>
      <c r="D433" s="179">
        <f>C217</f>
        <v>0</v>
      </c>
    </row>
    <row r="434" spans="1:7" ht="12.65" customHeight="1">
      <c r="A434" s="179" t="s">
        <v>474</v>
      </c>
      <c r="B434" s="179">
        <f t="shared" si="17"/>
        <v>11308756.129999999</v>
      </c>
      <c r="C434" s="179">
        <f t="shared" si="18"/>
        <v>11308756.129999999</v>
      </c>
      <c r="D434" s="179">
        <f>D177</f>
        <v>11308753.129999999</v>
      </c>
    </row>
    <row r="435" spans="1:7" ht="12.65" customHeight="1">
      <c r="A435" s="179" t="s">
        <v>447</v>
      </c>
      <c r="B435" s="179">
        <f t="shared" si="17"/>
        <v>151294.33000000002</v>
      </c>
      <c r="C435" s="179"/>
      <c r="D435" s="179">
        <f>D181</f>
        <v>151293.33000000002</v>
      </c>
    </row>
    <row r="436" spans="1:7" ht="12.65" customHeight="1">
      <c r="A436" s="179" t="s">
        <v>475</v>
      </c>
      <c r="B436" s="179">
        <f t="shared" si="17"/>
        <v>3301928.65</v>
      </c>
      <c r="C436" s="179"/>
      <c r="D436" s="179">
        <f>D186</f>
        <v>3301928.5200000005</v>
      </c>
    </row>
    <row r="437" spans="1:7" ht="12.65" customHeight="1">
      <c r="A437" s="194" t="s">
        <v>449</v>
      </c>
      <c r="B437" s="194">
        <f t="shared" si="17"/>
        <v>2513722</v>
      </c>
      <c r="C437" s="194"/>
      <c r="D437" s="194">
        <f>D190</f>
        <v>2513722</v>
      </c>
    </row>
    <row r="438" spans="1:7" ht="12.65" customHeight="1">
      <c r="A438" s="194" t="s">
        <v>476</v>
      </c>
      <c r="B438" s="194">
        <f>C386+C387+C388</f>
        <v>5966944.9800000004</v>
      </c>
      <c r="C438" s="194">
        <f>CD69</f>
        <v>2106924.98</v>
      </c>
      <c r="D438" s="194">
        <f>D181+D186+D190</f>
        <v>5966943.8500000006</v>
      </c>
    </row>
    <row r="439" spans="1:7" ht="12.65" customHeight="1">
      <c r="A439" s="179" t="s">
        <v>451</v>
      </c>
      <c r="B439" s="194">
        <f>C389</f>
        <v>4228162.38</v>
      </c>
      <c r="C439" s="194">
        <f>SUM(C69:CC69)</f>
        <v>8088182.3799999999</v>
      </c>
      <c r="D439" s="179"/>
    </row>
    <row r="440" spans="1:7" ht="12.65" customHeight="1">
      <c r="A440" s="179" t="s">
        <v>477</v>
      </c>
      <c r="B440" s="194">
        <f>B438+B439</f>
        <v>10195107.359999999</v>
      </c>
      <c r="C440" s="194">
        <f>CE69</f>
        <v>10195107.359999999</v>
      </c>
      <c r="D440" s="179"/>
    </row>
    <row r="441" spans="1:7" ht="12.65" customHeight="1">
      <c r="A441" s="179" t="s">
        <v>478</v>
      </c>
      <c r="B441" s="179">
        <f>D390</f>
        <v>124157931.03999999</v>
      </c>
      <c r="C441" s="179">
        <f>SUM(C427:C437)+C440</f>
        <v>124157931.97000001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4902043.6500000004</v>
      </c>
      <c r="C444" s="179">
        <f>C363</f>
        <v>4902043.6500000004</v>
      </c>
      <c r="D444" s="179"/>
    </row>
    <row r="445" spans="1:7" ht="12.65" customHeight="1">
      <c r="A445" s="179" t="s">
        <v>343</v>
      </c>
      <c r="B445" s="179">
        <f>D229</f>
        <v>493555318.33999991</v>
      </c>
      <c r="C445" s="179">
        <f>C364</f>
        <v>493095978.98999995</v>
      </c>
      <c r="D445" s="179"/>
    </row>
    <row r="446" spans="1:7" ht="12.65" customHeight="1">
      <c r="A446" s="179" t="s">
        <v>351</v>
      </c>
      <c r="B446" s="179">
        <f>D236</f>
        <v>2339057.52</v>
      </c>
      <c r="C446" s="179">
        <f>C365</f>
        <v>2793040.54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5356.33</v>
      </c>
      <c r="D447" s="179"/>
    </row>
    <row r="448" spans="1:7" ht="12.65" customHeight="1">
      <c r="A448" s="179" t="s">
        <v>358</v>
      </c>
      <c r="B448" s="179">
        <f>D242</f>
        <v>500796419.50999987</v>
      </c>
      <c r="C448" s="179">
        <f>D367</f>
        <v>500796419.50999993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5</v>
      </c>
    </row>
    <row r="454" spans="1:7" ht="12.65" customHeight="1">
      <c r="A454" s="179" t="s">
        <v>168</v>
      </c>
      <c r="B454" s="179">
        <f>C233</f>
        <v>900507.90630873991</v>
      </c>
      <c r="C454" s="179"/>
      <c r="D454" s="179"/>
    </row>
    <row r="455" spans="1:7" ht="12.65" customHeight="1">
      <c r="A455" s="179" t="s">
        <v>131</v>
      </c>
      <c r="B455" s="179">
        <f>C234</f>
        <v>1438549.6136912601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10079234.42</v>
      </c>
      <c r="C458" s="194">
        <f>CE70</f>
        <v>10030849.42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243571795.97</v>
      </c>
      <c r="C463" s="194">
        <f>CE73</f>
        <v>243571795.96999997</v>
      </c>
      <c r="D463" s="194">
        <f>E141+E147+E153</f>
        <v>243571795.97</v>
      </c>
    </row>
    <row r="464" spans="1:7" ht="12.65" customHeight="1">
      <c r="A464" s="179" t="s">
        <v>246</v>
      </c>
      <c r="B464" s="194">
        <f>C360</f>
        <v>355992845.82999998</v>
      </c>
      <c r="C464" s="194">
        <f>CE74</f>
        <v>355992845.83000004</v>
      </c>
      <c r="D464" s="194">
        <f>E142+E148+E154</f>
        <v>355992845.82999998</v>
      </c>
    </row>
    <row r="465" spans="1:7" ht="12.65" customHeight="1">
      <c r="A465" s="179" t="s">
        <v>247</v>
      </c>
      <c r="B465" s="194">
        <f>D361</f>
        <v>599564641.79999995</v>
      </c>
      <c r="C465" s="194">
        <f>CE75</f>
        <v>599564641.79999995</v>
      </c>
      <c r="D465" s="194">
        <f>D463+D464</f>
        <v>599564641.79999995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9">C267</f>
        <v>5174183.28</v>
      </c>
      <c r="C468" s="179">
        <f>E195</f>
        <v>5174183.28</v>
      </c>
      <c r="D468" s="179"/>
    </row>
    <row r="469" spans="1:7" ht="12.65" customHeight="1">
      <c r="A469" s="179" t="s">
        <v>333</v>
      </c>
      <c r="B469" s="179">
        <f t="shared" si="19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9"/>
        <v>150542675.78999999</v>
      </c>
      <c r="C470" s="179">
        <f>E197</f>
        <v>150542675.78999999</v>
      </c>
      <c r="D470" s="179"/>
    </row>
    <row r="471" spans="1:7" ht="12.65" customHeight="1">
      <c r="A471" s="179" t="s">
        <v>494</v>
      </c>
      <c r="B471" s="179">
        <f t="shared" si="19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9"/>
        <v>1470047.5200000033</v>
      </c>
      <c r="C472" s="179">
        <f>E199</f>
        <v>1470047.5199999996</v>
      </c>
      <c r="D472" s="179"/>
    </row>
    <row r="473" spans="1:7" ht="12.65" customHeight="1">
      <c r="A473" s="179" t="s">
        <v>495</v>
      </c>
      <c r="B473" s="179">
        <f t="shared" si="19"/>
        <v>12278572.659999996</v>
      </c>
      <c r="C473" s="179">
        <f>SUM(E200:E201)</f>
        <v>12278572.66</v>
      </c>
      <c r="D473" s="179"/>
    </row>
    <row r="474" spans="1:7" ht="12.65" customHeight="1">
      <c r="A474" s="179" t="s">
        <v>339</v>
      </c>
      <c r="B474" s="179">
        <f t="shared" si="19"/>
        <v>1292855.5</v>
      </c>
      <c r="C474" s="179">
        <f>E202</f>
        <v>1292855.5</v>
      </c>
      <c r="D474" s="179"/>
    </row>
    <row r="475" spans="1:7" ht="12.65" customHeight="1">
      <c r="A475" s="179" t="s">
        <v>340</v>
      </c>
      <c r="B475" s="179">
        <f t="shared" si="19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170758334.75</v>
      </c>
      <c r="C476" s="179">
        <f>E204</f>
        <v>170758334.75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2534312.0199999982</v>
      </c>
      <c r="C478" s="179">
        <f>E217</f>
        <v>2534312.02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208218075.74999997</v>
      </c>
    </row>
    <row r="482" spans="1:12" ht="12.65" customHeight="1">
      <c r="A482" s="180" t="s">
        <v>499</v>
      </c>
      <c r="C482" s="180">
        <f>D339</f>
        <v>208218075.74999997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 t="str">
        <f>C83</f>
        <v>197</v>
      </c>
      <c r="B493" s="259" t="str">
        <f>RIGHT('PRIOR YEAR'!C82,4)</f>
        <v>2020</v>
      </c>
      <c r="C493" s="259" t="str">
        <f>RIGHT(C82,4)</f>
        <v>2021</v>
      </c>
      <c r="D493" s="259" t="str">
        <f>RIGHT('PRIOR YEAR'!C82,4)</f>
        <v>2020</v>
      </c>
      <c r="E493" s="259" t="str">
        <f>RIGHT(C82,4)</f>
        <v>2021</v>
      </c>
      <c r="F493" s="259" t="str">
        <f>RIGHT('PRIOR YEAR'!C82,4)</f>
        <v>2020</v>
      </c>
      <c r="G493" s="259" t="str">
        <f>RIGHT(C82,4)</f>
        <v>2021</v>
      </c>
      <c r="H493" s="259"/>
      <c r="K493" s="259"/>
      <c r="L493" s="259"/>
    </row>
    <row r="494" spans="1:12" ht="12.65" customHeight="1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>
      <c r="A496" s="180" t="s">
        <v>512</v>
      </c>
      <c r="B496" s="299">
        <f>'PRIOR YEAR'!C71</f>
        <v>7711928</v>
      </c>
      <c r="C496" s="238">
        <f>C71</f>
        <v>8890757.4299999997</v>
      </c>
      <c r="D496" s="299">
        <f>'PRIOR YEAR'!C59</f>
        <v>38191</v>
      </c>
      <c r="E496" s="180">
        <f>C59</f>
        <v>6723</v>
      </c>
      <c r="F496" s="261">
        <f t="shared" ref="F496:G511" si="20">IF(B496=0,"",IF(D496=0,"",B496/D496))</f>
        <v>201.93050718755728</v>
      </c>
      <c r="G496" s="262">
        <f t="shared" si="20"/>
        <v>1322.439004908523</v>
      </c>
      <c r="H496" s="263">
        <f>IF(B496=0,"",IF(C496=0,"",IF(D496=0,"",IF(E496=0,"",IF(G496/F496-1&lt;-0.25,G496/F496-1,IF(G496/F496-1&gt;0.25,G496/F496-1,""))))))</f>
        <v>5.5489807524734927</v>
      </c>
      <c r="I496" s="265"/>
      <c r="K496" s="259"/>
      <c r="L496" s="259"/>
    </row>
    <row r="497" spans="1:12" ht="12.65" customHeight="1">
      <c r="A497" s="180" t="s">
        <v>513</v>
      </c>
      <c r="B497" s="299">
        <f>'PRIOR YEAR'!D71</f>
        <v>0</v>
      </c>
      <c r="C497" s="238">
        <f>D71</f>
        <v>36839</v>
      </c>
      <c r="D497" s="299">
        <f>'PRIOR YEAR'!D59</f>
        <v>0</v>
      </c>
      <c r="E497" s="180">
        <f>D59</f>
        <v>4939</v>
      </c>
      <c r="F497" s="261" t="str">
        <f t="shared" si="20"/>
        <v/>
      </c>
      <c r="G497" s="261">
        <f t="shared" si="20"/>
        <v>7.4587973273942092</v>
      </c>
      <c r="H497" s="263" t="str">
        <f t="shared" ref="H497:H550" si="21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5" customHeight="1">
      <c r="A498" s="180" t="s">
        <v>514</v>
      </c>
      <c r="B498" s="299">
        <f>'PRIOR YEAR'!E71</f>
        <v>4165180</v>
      </c>
      <c r="C498" s="238">
        <f>E71</f>
        <v>9493755.6699999999</v>
      </c>
      <c r="D498" s="299">
        <f>'PRIOR YEAR'!E59</f>
        <v>5379</v>
      </c>
      <c r="E498" s="180">
        <f>E59</f>
        <v>2116</v>
      </c>
      <c r="F498" s="261">
        <f t="shared" si="20"/>
        <v>774.34095556794944</v>
      </c>
      <c r="G498" s="261">
        <f t="shared" si="20"/>
        <v>4486.6520179584122</v>
      </c>
      <c r="H498" s="263">
        <f t="shared" si="21"/>
        <v>4.7941556438373132</v>
      </c>
      <c r="I498" s="265"/>
      <c r="K498" s="259"/>
      <c r="L498" s="259"/>
    </row>
    <row r="499" spans="1:12" ht="12.65" customHeight="1">
      <c r="A499" s="180" t="s">
        <v>515</v>
      </c>
      <c r="B499" s="299">
        <f>'PRIOR YEAR'!F71</f>
        <v>0</v>
      </c>
      <c r="C499" s="238">
        <f>F71</f>
        <v>3079357.17</v>
      </c>
      <c r="D499" s="299">
        <f>'PRIOR YEAR'!F59</f>
        <v>0</v>
      </c>
      <c r="E499" s="180">
        <f>F59</f>
        <v>0</v>
      </c>
      <c r="F499" s="261" t="str">
        <f t="shared" si="20"/>
        <v/>
      </c>
      <c r="G499" s="261" t="str">
        <f t="shared" si="20"/>
        <v/>
      </c>
      <c r="H499" s="263" t="str">
        <f t="shared" si="21"/>
        <v/>
      </c>
      <c r="I499" s="265"/>
      <c r="K499" s="259"/>
      <c r="L499" s="259"/>
    </row>
    <row r="500" spans="1:12" ht="12.65" customHeight="1">
      <c r="A500" s="180" t="s">
        <v>516</v>
      </c>
      <c r="B500" s="299">
        <f>'PRIOR YEAR'!G71</f>
        <v>0</v>
      </c>
      <c r="C500" s="238">
        <f>G71</f>
        <v>557650</v>
      </c>
      <c r="D500" s="299">
        <f>'PRIOR YEAR'!G59</f>
        <v>0</v>
      </c>
      <c r="E500" s="180">
        <f>G59</f>
        <v>0</v>
      </c>
      <c r="F500" s="261" t="str">
        <f t="shared" si="20"/>
        <v/>
      </c>
      <c r="G500" s="261" t="str">
        <f t="shared" si="20"/>
        <v/>
      </c>
      <c r="H500" s="263" t="str">
        <f t="shared" si="21"/>
        <v/>
      </c>
      <c r="I500" s="265"/>
      <c r="K500" s="259"/>
      <c r="L500" s="259"/>
    </row>
    <row r="501" spans="1:12" ht="12.65" customHeight="1">
      <c r="A501" s="180" t="s">
        <v>517</v>
      </c>
      <c r="B501" s="299">
        <f>'PRIOR YEAR'!H71</f>
        <v>0</v>
      </c>
      <c r="C501" s="238">
        <f>H71</f>
        <v>7212</v>
      </c>
      <c r="D501" s="299">
        <f>'PRIOR YEAR'!H59</f>
        <v>0</v>
      </c>
      <c r="E501" s="180">
        <f>H59</f>
        <v>0</v>
      </c>
      <c r="F501" s="261" t="str">
        <f t="shared" si="20"/>
        <v/>
      </c>
      <c r="G501" s="261" t="str">
        <f t="shared" si="20"/>
        <v/>
      </c>
      <c r="H501" s="263" t="str">
        <f t="shared" si="21"/>
        <v/>
      </c>
      <c r="I501" s="265"/>
      <c r="K501" s="259"/>
      <c r="L501" s="259"/>
    </row>
    <row r="502" spans="1:12" ht="12.65" customHeight="1">
      <c r="A502" s="180" t="s">
        <v>518</v>
      </c>
      <c r="B502" s="299">
        <f>'PRIOR YEAR'!I71</f>
        <v>0</v>
      </c>
      <c r="C502" s="238">
        <f>I71</f>
        <v>77251</v>
      </c>
      <c r="D502" s="299">
        <f>'PRIOR YEAR'!I59</f>
        <v>0</v>
      </c>
      <c r="E502" s="180">
        <f>I59</f>
        <v>0</v>
      </c>
      <c r="F502" s="261" t="str">
        <f t="shared" si="20"/>
        <v/>
      </c>
      <c r="G502" s="261" t="str">
        <f t="shared" si="20"/>
        <v/>
      </c>
      <c r="H502" s="263" t="str">
        <f t="shared" si="21"/>
        <v/>
      </c>
      <c r="I502" s="265"/>
      <c r="K502" s="259"/>
      <c r="L502" s="259"/>
    </row>
    <row r="503" spans="1:12" ht="12.65" customHeight="1">
      <c r="A503" s="180" t="s">
        <v>519</v>
      </c>
      <c r="B503" s="299">
        <f>'PRIOR YEAR'!J71</f>
        <v>623346</v>
      </c>
      <c r="C503" s="238">
        <f>J71</f>
        <v>194127</v>
      </c>
      <c r="D503" s="299">
        <f>'PRIOR YEAR'!J59</f>
        <v>1066</v>
      </c>
      <c r="E503" s="180">
        <f>J59</f>
        <v>233</v>
      </c>
      <c r="F503" s="261">
        <f t="shared" si="20"/>
        <v>584.75234521575987</v>
      </c>
      <c r="G503" s="261">
        <f t="shared" si="20"/>
        <v>833.16309012875536</v>
      </c>
      <c r="H503" s="263">
        <f t="shared" si="21"/>
        <v>0.42481359321669365</v>
      </c>
      <c r="I503" s="265"/>
      <c r="K503" s="259"/>
      <c r="L503" s="259"/>
    </row>
    <row r="504" spans="1:12" ht="12.65" customHeight="1">
      <c r="A504" s="180" t="s">
        <v>520</v>
      </c>
      <c r="B504" s="299">
        <f>'PRIOR YEAR'!K71</f>
        <v>0</v>
      </c>
      <c r="C504" s="238">
        <f>K71</f>
        <v>7040</v>
      </c>
      <c r="D504" s="299">
        <f>'PRIOR YEAR'!K59</f>
        <v>0</v>
      </c>
      <c r="E504" s="180">
        <f>K59</f>
        <v>0</v>
      </c>
      <c r="F504" s="261" t="str">
        <f t="shared" si="20"/>
        <v/>
      </c>
      <c r="G504" s="261" t="str">
        <f t="shared" si="20"/>
        <v/>
      </c>
      <c r="H504" s="263" t="str">
        <f t="shared" si="21"/>
        <v/>
      </c>
      <c r="I504" s="265"/>
      <c r="K504" s="259"/>
      <c r="L504" s="259"/>
    </row>
    <row r="505" spans="1:12" ht="12.65" customHeight="1">
      <c r="A505" s="180" t="s">
        <v>521</v>
      </c>
      <c r="B505" s="299">
        <f>'PRIOR YEAR'!L71</f>
        <v>0</v>
      </c>
      <c r="C505" s="238">
        <f>L71</f>
        <v>0</v>
      </c>
      <c r="D505" s="299">
        <f>'PRIOR YEAR'!L59</f>
        <v>0</v>
      </c>
      <c r="E505" s="180">
        <f>L59</f>
        <v>0</v>
      </c>
      <c r="F505" s="261" t="str">
        <f t="shared" si="20"/>
        <v/>
      </c>
      <c r="G505" s="261" t="str">
        <f t="shared" si="20"/>
        <v/>
      </c>
      <c r="H505" s="263" t="str">
        <f t="shared" si="21"/>
        <v/>
      </c>
      <c r="I505" s="265"/>
      <c r="K505" s="259"/>
      <c r="L505" s="259"/>
    </row>
    <row r="506" spans="1:12" ht="12.65" customHeight="1">
      <c r="A506" s="180" t="s">
        <v>522</v>
      </c>
      <c r="B506" s="299">
        <f>'PRIOR YEAR'!M71</f>
        <v>0</v>
      </c>
      <c r="C506" s="238">
        <f>M71</f>
        <v>85217</v>
      </c>
      <c r="D506" s="299">
        <f>'PRIOR YEAR'!M59</f>
        <v>0</v>
      </c>
      <c r="E506" s="180">
        <f>M59</f>
        <v>0</v>
      </c>
      <c r="F506" s="261" t="str">
        <f t="shared" si="20"/>
        <v/>
      </c>
      <c r="G506" s="261" t="str">
        <f t="shared" si="20"/>
        <v/>
      </c>
      <c r="H506" s="263" t="str">
        <f t="shared" si="21"/>
        <v/>
      </c>
      <c r="I506" s="265"/>
      <c r="K506" s="259"/>
      <c r="L506" s="259"/>
    </row>
    <row r="507" spans="1:12" ht="12.65" customHeight="1">
      <c r="A507" s="180" t="s">
        <v>523</v>
      </c>
      <c r="B507" s="299">
        <f>'PRIOR YEAR'!N71</f>
        <v>0</v>
      </c>
      <c r="C507" s="238">
        <f>N71</f>
        <v>79866</v>
      </c>
      <c r="D507" s="299">
        <f>'PRIOR YEAR'!N59</f>
        <v>0</v>
      </c>
      <c r="E507" s="180">
        <f>N59</f>
        <v>0</v>
      </c>
      <c r="F507" s="261" t="str">
        <f t="shared" si="20"/>
        <v/>
      </c>
      <c r="G507" s="261" t="str">
        <f t="shared" si="20"/>
        <v/>
      </c>
      <c r="H507" s="263" t="str">
        <f t="shared" si="21"/>
        <v/>
      </c>
      <c r="I507" s="265"/>
      <c r="K507" s="259"/>
      <c r="L507" s="259"/>
    </row>
    <row r="508" spans="1:12" ht="12.65" customHeight="1">
      <c r="A508" s="180" t="s">
        <v>524</v>
      </c>
      <c r="B508" s="299">
        <f>'PRIOR YEAR'!O71</f>
        <v>4184496</v>
      </c>
      <c r="C508" s="238">
        <f>O71</f>
        <v>1460423.8</v>
      </c>
      <c r="D508" s="299">
        <f>'PRIOR YEAR'!O59</f>
        <v>1298</v>
      </c>
      <c r="E508" s="180">
        <f>O59</f>
        <v>7707</v>
      </c>
      <c r="F508" s="261">
        <f t="shared" si="20"/>
        <v>3223.8027734976886</v>
      </c>
      <c r="G508" s="261">
        <f t="shared" si="20"/>
        <v>189.49316206046453</v>
      </c>
      <c r="H508" s="263">
        <f t="shared" si="21"/>
        <v>-0.94122060951797226</v>
      </c>
      <c r="I508" s="265"/>
      <c r="K508" s="259"/>
      <c r="L508" s="259"/>
    </row>
    <row r="509" spans="1:12" ht="12.65" customHeight="1">
      <c r="A509" s="180" t="s">
        <v>525</v>
      </c>
      <c r="B509" s="299">
        <f>'PRIOR YEAR'!P71</f>
        <v>4688337</v>
      </c>
      <c r="C509" s="238">
        <f>P71</f>
        <v>7697886.04</v>
      </c>
      <c r="D509" s="299">
        <f>'PRIOR YEAR'!P59</f>
        <v>252863</v>
      </c>
      <c r="E509" s="180">
        <f>P59</f>
        <v>80002</v>
      </c>
      <c r="F509" s="261">
        <f t="shared" si="20"/>
        <v>18.541016281543762</v>
      </c>
      <c r="G509" s="261">
        <f t="shared" si="20"/>
        <v>96.221169970750736</v>
      </c>
      <c r="H509" s="263">
        <f t="shared" si="21"/>
        <v>4.1896383946618903</v>
      </c>
      <c r="I509" s="265"/>
      <c r="K509" s="259"/>
      <c r="L509" s="259"/>
    </row>
    <row r="510" spans="1:12" ht="12.65" customHeight="1">
      <c r="A510" s="180" t="s">
        <v>526</v>
      </c>
      <c r="B510" s="299">
        <f>'PRIOR YEAR'!Q71</f>
        <v>1028207</v>
      </c>
      <c r="C510" s="238">
        <f>Q71</f>
        <v>267382</v>
      </c>
      <c r="D510" s="299">
        <f>'PRIOR YEAR'!Q59</f>
        <v>207782</v>
      </c>
      <c r="E510" s="180">
        <f>Q59</f>
        <v>70645</v>
      </c>
      <c r="F510" s="261">
        <f t="shared" si="20"/>
        <v>4.9484892820359798</v>
      </c>
      <c r="G510" s="261">
        <f t="shared" si="20"/>
        <v>3.7848680019817396</v>
      </c>
      <c r="H510" s="263" t="str">
        <f t="shared" si="21"/>
        <v/>
      </c>
      <c r="I510" s="265"/>
      <c r="K510" s="259"/>
      <c r="L510" s="259"/>
    </row>
    <row r="511" spans="1:12" ht="12.65" customHeight="1">
      <c r="A511" s="180" t="s">
        <v>527</v>
      </c>
      <c r="B511" s="299">
        <f>'PRIOR YEAR'!R71</f>
        <v>1628727</v>
      </c>
      <c r="C511" s="238">
        <f>R71</f>
        <v>2330826.2499999995</v>
      </c>
      <c r="D511" s="299">
        <f>'PRIOR YEAR'!R59</f>
        <v>306348</v>
      </c>
      <c r="E511" s="180">
        <f>R59</f>
        <v>94279</v>
      </c>
      <c r="F511" s="261">
        <f t="shared" si="20"/>
        <v>5.3165909357985033</v>
      </c>
      <c r="G511" s="261">
        <f t="shared" si="20"/>
        <v>24.722645021690933</v>
      </c>
      <c r="H511" s="263">
        <f t="shared" si="21"/>
        <v>3.6500935129736138</v>
      </c>
      <c r="I511" s="265"/>
      <c r="K511" s="259"/>
      <c r="L511" s="259"/>
    </row>
    <row r="512" spans="1:12" ht="12.65" customHeight="1">
      <c r="A512" s="180" t="s">
        <v>528</v>
      </c>
      <c r="B512" s="299">
        <f>'PRIOR YEAR'!S71</f>
        <v>3499996</v>
      </c>
      <c r="C512" s="238">
        <f>S71</f>
        <v>5269766.42</v>
      </c>
      <c r="D512" s="303" t="s">
        <v>529</v>
      </c>
      <c r="E512" s="181" t="s">
        <v>529</v>
      </c>
      <c r="F512" s="261" t="str">
        <f t="shared" ref="F512:G527" si="22">IF(B512=0,"",IF(D512=0,"",B512/D512))</f>
        <v/>
      </c>
      <c r="G512" s="261" t="str">
        <f t="shared" si="22"/>
        <v/>
      </c>
      <c r="H512" s="263" t="str">
        <f t="shared" si="21"/>
        <v/>
      </c>
      <c r="I512" s="265"/>
      <c r="K512" s="259"/>
      <c r="L512" s="259"/>
    </row>
    <row r="513" spans="1:12" ht="12.65" customHeight="1">
      <c r="A513" s="180" t="s">
        <v>1246</v>
      </c>
      <c r="B513" s="299">
        <f>'PRIOR YEAR'!T71</f>
        <v>0</v>
      </c>
      <c r="C513" s="238">
        <f>T71</f>
        <v>0</v>
      </c>
      <c r="D513" s="303" t="s">
        <v>529</v>
      </c>
      <c r="E513" s="181" t="s">
        <v>529</v>
      </c>
      <c r="F513" s="261" t="str">
        <f t="shared" si="22"/>
        <v/>
      </c>
      <c r="G513" s="261" t="str">
        <f t="shared" si="22"/>
        <v/>
      </c>
      <c r="H513" s="263" t="str">
        <f t="shared" si="21"/>
        <v/>
      </c>
      <c r="I513" s="265"/>
      <c r="K513" s="259"/>
      <c r="L513" s="259"/>
    </row>
    <row r="514" spans="1:12" ht="12.65" customHeight="1">
      <c r="A514" s="180" t="s">
        <v>530</v>
      </c>
      <c r="B514" s="299">
        <f>'PRIOR YEAR'!U71</f>
        <v>3814539</v>
      </c>
      <c r="C514" s="238">
        <f>U71</f>
        <v>3960054.9299999997</v>
      </c>
      <c r="D514" s="299">
        <f>'PRIOR YEAR'!U59</f>
        <v>209106</v>
      </c>
      <c r="E514" s="180">
        <f>U59</f>
        <v>54906</v>
      </c>
      <c r="F514" s="261">
        <f t="shared" si="22"/>
        <v>18.242130785343317</v>
      </c>
      <c r="G514" s="261">
        <f t="shared" si="22"/>
        <v>72.124265654026871</v>
      </c>
      <c r="H514" s="263">
        <f t="shared" si="21"/>
        <v>2.9537193600198988</v>
      </c>
      <c r="I514" s="265"/>
      <c r="K514" s="259"/>
      <c r="L514" s="259"/>
    </row>
    <row r="515" spans="1:12" ht="12.65" customHeight="1">
      <c r="A515" s="180" t="s">
        <v>531</v>
      </c>
      <c r="B515" s="299">
        <f>'PRIOR YEAR'!V71</f>
        <v>0</v>
      </c>
      <c r="C515" s="238">
        <f>V71</f>
        <v>0</v>
      </c>
      <c r="D515" s="299">
        <f>'PRIOR YEAR'!V59</f>
        <v>0</v>
      </c>
      <c r="E515" s="180">
        <f>V59</f>
        <v>0</v>
      </c>
      <c r="F515" s="261" t="str">
        <f t="shared" si="22"/>
        <v/>
      </c>
      <c r="G515" s="261" t="str">
        <f t="shared" si="22"/>
        <v/>
      </c>
      <c r="H515" s="263" t="str">
        <f t="shared" si="21"/>
        <v/>
      </c>
      <c r="I515" s="265"/>
      <c r="K515" s="259"/>
      <c r="L515" s="259"/>
    </row>
    <row r="516" spans="1:12" ht="12.65" customHeight="1">
      <c r="A516" s="180" t="s">
        <v>532</v>
      </c>
      <c r="B516" s="299">
        <f>'PRIOR YEAR'!W71</f>
        <v>313185</v>
      </c>
      <c r="C516" s="238">
        <f>W71</f>
        <v>304912.74</v>
      </c>
      <c r="D516" s="299">
        <f>'PRIOR YEAR'!W59</f>
        <v>812</v>
      </c>
      <c r="E516" s="180">
        <f>W59</f>
        <v>133</v>
      </c>
      <c r="F516" s="261">
        <f t="shared" si="22"/>
        <v>385.69581280788179</v>
      </c>
      <c r="G516" s="261">
        <f t="shared" si="22"/>
        <v>2292.576992481203</v>
      </c>
      <c r="H516" s="263">
        <f t="shared" si="21"/>
        <v>4.9440028031187211</v>
      </c>
      <c r="I516" s="265"/>
      <c r="K516" s="259"/>
      <c r="L516" s="259"/>
    </row>
    <row r="517" spans="1:12" ht="12.65" customHeight="1">
      <c r="A517" s="180" t="s">
        <v>533</v>
      </c>
      <c r="B517" s="299">
        <f>'PRIOR YEAR'!X71</f>
        <v>2219255</v>
      </c>
      <c r="C517" s="238">
        <f>X71</f>
        <v>972324.91999999993</v>
      </c>
      <c r="D517" s="299">
        <f>'PRIOR YEAR'!X59</f>
        <v>15832</v>
      </c>
      <c r="E517" s="180">
        <f>X59</f>
        <v>4138</v>
      </c>
      <c r="F517" s="261">
        <f t="shared" si="22"/>
        <v>140.17527791814047</v>
      </c>
      <c r="G517" s="261">
        <f t="shared" si="22"/>
        <v>234.97460608989849</v>
      </c>
      <c r="H517" s="263">
        <f t="shared" si="21"/>
        <v>0.67629135165416909</v>
      </c>
      <c r="I517" s="265"/>
      <c r="K517" s="259"/>
      <c r="L517" s="259"/>
    </row>
    <row r="518" spans="1:12" ht="12.65" customHeight="1">
      <c r="A518" s="180" t="s">
        <v>534</v>
      </c>
      <c r="B518" s="299">
        <f>'PRIOR YEAR'!Y71</f>
        <v>5111005</v>
      </c>
      <c r="C518" s="238">
        <f>Y71</f>
        <v>5872155.0300000012</v>
      </c>
      <c r="D518" s="299">
        <f>'PRIOR YEAR'!Y59</f>
        <v>25113</v>
      </c>
      <c r="E518" s="180">
        <f>Y59</f>
        <v>6391</v>
      </c>
      <c r="F518" s="261">
        <f t="shared" si="22"/>
        <v>203.52028829689803</v>
      </c>
      <c r="G518" s="261">
        <f t="shared" si="22"/>
        <v>918.81630887185122</v>
      </c>
      <c r="H518" s="263">
        <f t="shared" si="21"/>
        <v>3.5146177639620388</v>
      </c>
      <c r="I518" s="265"/>
      <c r="K518" s="259"/>
      <c r="L518" s="259"/>
    </row>
    <row r="519" spans="1:12" ht="12.65" customHeight="1">
      <c r="A519" s="180" t="s">
        <v>535</v>
      </c>
      <c r="B519" s="299">
        <f>'PRIOR YEAR'!Z71</f>
        <v>1607376</v>
      </c>
      <c r="C519" s="238">
        <f>Z71</f>
        <v>1720319.9999999998</v>
      </c>
      <c r="D519" s="299">
        <f>'PRIOR YEAR'!Z59</f>
        <v>15433</v>
      </c>
      <c r="E519" s="180">
        <f>Z59</f>
        <v>3703</v>
      </c>
      <c r="F519" s="261">
        <f t="shared" si="22"/>
        <v>104.15188233007193</v>
      </c>
      <c r="G519" s="261">
        <f t="shared" si="22"/>
        <v>464.5746691871455</v>
      </c>
      <c r="H519" s="263">
        <f t="shared" si="21"/>
        <v>3.4605499084005338</v>
      </c>
      <c r="I519" s="265"/>
      <c r="K519" s="259"/>
      <c r="L519" s="259"/>
    </row>
    <row r="520" spans="1:12" ht="12.65" customHeight="1">
      <c r="A520" s="180" t="s">
        <v>536</v>
      </c>
      <c r="B520" s="299">
        <f>'PRIOR YEAR'!AA71</f>
        <v>261244</v>
      </c>
      <c r="C520" s="238">
        <f>AA71</f>
        <v>678329.70000000007</v>
      </c>
      <c r="D520" s="299">
        <f>'PRIOR YEAR'!AA59</f>
        <v>1077</v>
      </c>
      <c r="E520" s="180">
        <f>AA59</f>
        <v>312</v>
      </c>
      <c r="F520" s="261">
        <f t="shared" si="22"/>
        <v>242.56638811513463</v>
      </c>
      <c r="G520" s="261">
        <f t="shared" si="22"/>
        <v>2174.1336538461542</v>
      </c>
      <c r="H520" s="263">
        <f t="shared" si="21"/>
        <v>7.9630458314537673</v>
      </c>
      <c r="I520" s="265"/>
      <c r="K520" s="259"/>
      <c r="L520" s="259"/>
    </row>
    <row r="521" spans="1:12" ht="12.65" customHeight="1">
      <c r="A521" s="180" t="s">
        <v>537</v>
      </c>
      <c r="B521" s="299">
        <f>'PRIOR YEAR'!AB71</f>
        <v>3299309</v>
      </c>
      <c r="C521" s="238">
        <f>AB71</f>
        <v>4254934.959999999</v>
      </c>
      <c r="D521" s="303" t="s">
        <v>529</v>
      </c>
      <c r="E521" s="181" t="s">
        <v>529</v>
      </c>
      <c r="F521" s="261" t="str">
        <f t="shared" si="22"/>
        <v/>
      </c>
      <c r="G521" s="261" t="str">
        <f t="shared" si="22"/>
        <v/>
      </c>
      <c r="H521" s="263" t="str">
        <f t="shared" si="21"/>
        <v/>
      </c>
      <c r="I521" s="265"/>
      <c r="K521" s="259"/>
      <c r="L521" s="259"/>
    </row>
    <row r="522" spans="1:12" ht="12.65" customHeight="1">
      <c r="A522" s="180" t="s">
        <v>538</v>
      </c>
      <c r="B522" s="299">
        <f>'PRIOR YEAR'!AC71</f>
        <v>1567309</v>
      </c>
      <c r="C522" s="238">
        <f>AC71</f>
        <v>1709589.7900000003</v>
      </c>
      <c r="D522" s="299">
        <f>'PRIOR YEAR'!AC59</f>
        <v>16963</v>
      </c>
      <c r="E522" s="180">
        <f>AC59</f>
        <v>345</v>
      </c>
      <c r="F522" s="261">
        <f t="shared" si="22"/>
        <v>92.395743677415552</v>
      </c>
      <c r="G522" s="261">
        <f t="shared" si="22"/>
        <v>4955.3327246376821</v>
      </c>
      <c r="H522" s="263">
        <f t="shared" si="21"/>
        <v>52.631612533347926</v>
      </c>
      <c r="I522" s="265"/>
      <c r="K522" s="259"/>
      <c r="L522" s="259"/>
    </row>
    <row r="523" spans="1:12" ht="12.65" customHeight="1">
      <c r="A523" s="180" t="s">
        <v>539</v>
      </c>
      <c r="B523" s="299">
        <f>'PRIOR YEAR'!AD71</f>
        <v>0</v>
      </c>
      <c r="C523" s="238">
        <f>AD71</f>
        <v>8330</v>
      </c>
      <c r="D523" s="299">
        <f>'PRIOR YEAR'!AD59</f>
        <v>0</v>
      </c>
      <c r="E523" s="180">
        <f>AD59</f>
        <v>0</v>
      </c>
      <c r="F523" s="261" t="str">
        <f t="shared" si="22"/>
        <v/>
      </c>
      <c r="G523" s="261" t="str">
        <f t="shared" si="22"/>
        <v/>
      </c>
      <c r="H523" s="263" t="str">
        <f t="shared" si="21"/>
        <v/>
      </c>
      <c r="I523" s="265"/>
      <c r="K523" s="259"/>
      <c r="L523" s="259"/>
    </row>
    <row r="524" spans="1:12" ht="12.65" customHeight="1">
      <c r="A524" s="180" t="s">
        <v>540</v>
      </c>
      <c r="B524" s="299">
        <f>'PRIOR YEAR'!AE71</f>
        <v>1035869</v>
      </c>
      <c r="C524" s="238">
        <f>AE71</f>
        <v>885704.29</v>
      </c>
      <c r="D524" s="299">
        <f>'PRIOR YEAR'!AE59</f>
        <v>19366</v>
      </c>
      <c r="E524" s="180">
        <f>AE59</f>
        <v>4743</v>
      </c>
      <c r="F524" s="261">
        <f t="shared" si="22"/>
        <v>53.489052979448516</v>
      </c>
      <c r="G524" s="261">
        <f t="shared" si="22"/>
        <v>186.7392557453089</v>
      </c>
      <c r="H524" s="263">
        <f t="shared" si="21"/>
        <v>2.4911677314058553</v>
      </c>
      <c r="I524" s="265"/>
      <c r="K524" s="259"/>
      <c r="L524" s="259"/>
    </row>
    <row r="525" spans="1:12" ht="12.65" customHeight="1">
      <c r="A525" s="180" t="s">
        <v>541</v>
      </c>
      <c r="B525" s="299">
        <f>'PRIOR YEAR'!AF71</f>
        <v>0</v>
      </c>
      <c r="C525" s="238">
        <f>AF71</f>
        <v>0</v>
      </c>
      <c r="D525" s="299">
        <f>'PRIOR YEAR'!AF59</f>
        <v>0</v>
      </c>
      <c r="E525" s="180">
        <f>AF59</f>
        <v>0</v>
      </c>
      <c r="F525" s="261" t="str">
        <f t="shared" si="22"/>
        <v/>
      </c>
      <c r="G525" s="261" t="str">
        <f t="shared" si="22"/>
        <v/>
      </c>
      <c r="H525" s="263" t="str">
        <f t="shared" si="21"/>
        <v/>
      </c>
      <c r="I525" s="265"/>
      <c r="K525" s="259"/>
      <c r="L525" s="259"/>
    </row>
    <row r="526" spans="1:12" ht="12.65" customHeight="1">
      <c r="A526" s="180" t="s">
        <v>542</v>
      </c>
      <c r="B526" s="299">
        <f>'PRIOR YEAR'!AG71</f>
        <v>3783637</v>
      </c>
      <c r="C526" s="238">
        <f>AG71</f>
        <v>5291460.67</v>
      </c>
      <c r="D526" s="299">
        <f>'PRIOR YEAR'!AG59</f>
        <v>15301</v>
      </c>
      <c r="E526" s="180">
        <f>AG59</f>
        <v>3556</v>
      </c>
      <c r="F526" s="261">
        <f t="shared" si="22"/>
        <v>247.28037383177571</v>
      </c>
      <c r="G526" s="261">
        <f t="shared" si="22"/>
        <v>1488.0373087739033</v>
      </c>
      <c r="H526" s="263">
        <f t="shared" si="21"/>
        <v>5.0176118537664935</v>
      </c>
      <c r="I526" s="265"/>
      <c r="K526" s="259"/>
      <c r="L526" s="259"/>
    </row>
    <row r="527" spans="1:12" ht="12.65" customHeight="1">
      <c r="A527" s="180" t="s">
        <v>543</v>
      </c>
      <c r="B527" s="299">
        <f>'PRIOR YEAR'!AH71</f>
        <v>0</v>
      </c>
      <c r="C527" s="238">
        <f>AH71</f>
        <v>0</v>
      </c>
      <c r="D527" s="299">
        <f>'PRIOR YEAR'!AH59</f>
        <v>0</v>
      </c>
      <c r="E527" s="180">
        <f>AH59</f>
        <v>0</v>
      </c>
      <c r="F527" s="261" t="str">
        <f t="shared" si="22"/>
        <v/>
      </c>
      <c r="G527" s="261" t="str">
        <f t="shared" si="22"/>
        <v/>
      </c>
      <c r="H527" s="263" t="str">
        <f t="shared" si="21"/>
        <v/>
      </c>
      <c r="I527" s="265"/>
      <c r="K527" s="259"/>
      <c r="L527" s="259"/>
    </row>
    <row r="528" spans="1:12" ht="12.65" customHeight="1">
      <c r="A528" s="180" t="s">
        <v>544</v>
      </c>
      <c r="B528" s="299">
        <f>'PRIOR YEAR'!AI71</f>
        <v>2360083</v>
      </c>
      <c r="C528" s="238">
        <f>AI71</f>
        <v>2564069.77</v>
      </c>
      <c r="D528" s="299">
        <f>'PRIOR YEAR'!AI59</f>
        <v>7280</v>
      </c>
      <c r="E528" s="180">
        <f>AI59</f>
        <v>1967</v>
      </c>
      <c r="F528" s="261">
        <f t="shared" ref="F528:G540" si="23">IF(B528=0,"",IF(D528=0,"",B528/D528))</f>
        <v>324.18722527472528</v>
      </c>
      <c r="G528" s="261">
        <f t="shared" si="23"/>
        <v>1303.5433502796136</v>
      </c>
      <c r="H528" s="263">
        <f t="shared" si="21"/>
        <v>3.0209584112234982</v>
      </c>
      <c r="I528" s="265"/>
      <c r="K528" s="259"/>
      <c r="L528" s="259"/>
    </row>
    <row r="529" spans="1:12" ht="12.65" customHeight="1">
      <c r="A529" s="180" t="s">
        <v>545</v>
      </c>
      <c r="B529" s="299">
        <f>'PRIOR YEAR'!AJ71</f>
        <v>0</v>
      </c>
      <c r="C529" s="238">
        <f>AJ71</f>
        <v>2984985.3400000003</v>
      </c>
      <c r="D529" s="299">
        <f>'PRIOR YEAR'!AJ59</f>
        <v>0</v>
      </c>
      <c r="E529" s="180">
        <f>AJ59</f>
        <v>0</v>
      </c>
      <c r="F529" s="261" t="str">
        <f t="shared" si="23"/>
        <v/>
      </c>
      <c r="G529" s="261" t="str">
        <f t="shared" si="23"/>
        <v/>
      </c>
      <c r="H529" s="263" t="str">
        <f t="shared" si="21"/>
        <v/>
      </c>
      <c r="I529" s="265"/>
      <c r="K529" s="259"/>
      <c r="L529" s="259"/>
    </row>
    <row r="530" spans="1:12" ht="12.65" customHeight="1">
      <c r="A530" s="180" t="s">
        <v>546</v>
      </c>
      <c r="B530" s="299">
        <f>'PRIOR YEAR'!AK71</f>
        <v>77433</v>
      </c>
      <c r="C530" s="238">
        <f>AK71</f>
        <v>125082.45</v>
      </c>
      <c r="D530" s="299">
        <f>'PRIOR YEAR'!AK59</f>
        <v>2715</v>
      </c>
      <c r="E530" s="180">
        <f>AK59</f>
        <v>957</v>
      </c>
      <c r="F530" s="261">
        <f t="shared" si="23"/>
        <v>28.520441988950274</v>
      </c>
      <c r="G530" s="261">
        <f t="shared" si="23"/>
        <v>130.7026645768025</v>
      </c>
      <c r="H530" s="263">
        <f t="shared" si="21"/>
        <v>3.5827713549264377</v>
      </c>
      <c r="I530" s="265"/>
      <c r="K530" s="259"/>
      <c r="L530" s="259"/>
    </row>
    <row r="531" spans="1:12" ht="12.65" customHeight="1">
      <c r="A531" s="180" t="s">
        <v>547</v>
      </c>
      <c r="B531" s="299">
        <f>'PRIOR YEAR'!AL71</f>
        <v>56145</v>
      </c>
      <c r="C531" s="238">
        <f>AL71</f>
        <v>50145</v>
      </c>
      <c r="D531" s="299">
        <f>'PRIOR YEAR'!AL59</f>
        <v>798</v>
      </c>
      <c r="E531" s="180">
        <f>AL59</f>
        <v>0</v>
      </c>
      <c r="F531" s="261">
        <f t="shared" si="23"/>
        <v>70.357142857142861</v>
      </c>
      <c r="G531" s="261" t="str">
        <f t="shared" si="23"/>
        <v/>
      </c>
      <c r="H531" s="263" t="str">
        <f t="shared" si="21"/>
        <v/>
      </c>
      <c r="I531" s="265"/>
      <c r="K531" s="259"/>
      <c r="L531" s="259"/>
    </row>
    <row r="532" spans="1:12" ht="12.65" customHeight="1">
      <c r="A532" s="180" t="s">
        <v>548</v>
      </c>
      <c r="B532" s="299">
        <f>'PRIOR YEAR'!AM71</f>
        <v>0</v>
      </c>
      <c r="C532" s="238">
        <f>AM71</f>
        <v>20669</v>
      </c>
      <c r="D532" s="299">
        <f>'PRIOR YEAR'!AM59</f>
        <v>0</v>
      </c>
      <c r="E532" s="180">
        <f>AM59</f>
        <v>0</v>
      </c>
      <c r="F532" s="261" t="str">
        <f t="shared" si="23"/>
        <v/>
      </c>
      <c r="G532" s="261" t="str">
        <f t="shared" si="23"/>
        <v/>
      </c>
      <c r="H532" s="263" t="str">
        <f t="shared" si="21"/>
        <v/>
      </c>
      <c r="I532" s="265"/>
      <c r="K532" s="259"/>
      <c r="L532" s="259"/>
    </row>
    <row r="533" spans="1:12" ht="12.65" customHeight="1">
      <c r="A533" s="180" t="s">
        <v>1247</v>
      </c>
      <c r="B533" s="299">
        <f>'PRIOR YEAR'!AN71</f>
        <v>0</v>
      </c>
      <c r="C533" s="238">
        <f>AN71</f>
        <v>1217444</v>
      </c>
      <c r="D533" s="299">
        <f>'PRIOR YEAR'!AN59</f>
        <v>0</v>
      </c>
      <c r="E533" s="180">
        <f>AN59</f>
        <v>0</v>
      </c>
      <c r="F533" s="261" t="str">
        <f t="shared" si="23"/>
        <v/>
      </c>
      <c r="G533" s="261" t="str">
        <f t="shared" si="23"/>
        <v/>
      </c>
      <c r="H533" s="263" t="str">
        <f t="shared" si="21"/>
        <v/>
      </c>
      <c r="I533" s="265"/>
      <c r="K533" s="259"/>
      <c r="L533" s="259"/>
    </row>
    <row r="534" spans="1:12" ht="12.65" customHeight="1">
      <c r="A534" s="180" t="s">
        <v>549</v>
      </c>
      <c r="B534" s="299">
        <f>'PRIOR YEAR'!AO71</f>
        <v>0</v>
      </c>
      <c r="C534" s="238">
        <f>AO71</f>
        <v>0</v>
      </c>
      <c r="D534" s="299">
        <f>'PRIOR YEAR'!AO59</f>
        <v>0</v>
      </c>
      <c r="E534" s="180">
        <f>AO59</f>
        <v>0</v>
      </c>
      <c r="F534" s="261" t="str">
        <f t="shared" si="23"/>
        <v/>
      </c>
      <c r="G534" s="261" t="str">
        <f t="shared" si="23"/>
        <v/>
      </c>
      <c r="H534" s="263" t="str">
        <f t="shared" si="21"/>
        <v/>
      </c>
      <c r="I534" s="265"/>
      <c r="K534" s="259"/>
      <c r="L534" s="259"/>
    </row>
    <row r="535" spans="1:12" ht="12.65" customHeight="1">
      <c r="A535" s="180" t="s">
        <v>550</v>
      </c>
      <c r="B535" s="299">
        <f>'PRIOR YEAR'!AP71</f>
        <v>0</v>
      </c>
      <c r="C535" s="238">
        <f>AP71</f>
        <v>0</v>
      </c>
      <c r="D535" s="299">
        <f>'PRIOR YEAR'!AP59</f>
        <v>0</v>
      </c>
      <c r="E535" s="180">
        <f>AP59</f>
        <v>0</v>
      </c>
      <c r="F535" s="261" t="str">
        <f t="shared" si="23"/>
        <v/>
      </c>
      <c r="G535" s="261" t="str">
        <f t="shared" si="23"/>
        <v/>
      </c>
      <c r="H535" s="263" t="str">
        <f t="shared" si="21"/>
        <v/>
      </c>
      <c r="I535" s="265"/>
      <c r="K535" s="259"/>
      <c r="L535" s="259"/>
    </row>
    <row r="536" spans="1:12" ht="12.65" customHeight="1">
      <c r="A536" s="180" t="s">
        <v>551</v>
      </c>
      <c r="B536" s="299">
        <f>'PRIOR YEAR'!AQ71</f>
        <v>0</v>
      </c>
      <c r="C536" s="238">
        <f>AQ71</f>
        <v>0</v>
      </c>
      <c r="D536" s="299">
        <f>'PRIOR YEAR'!AQ59</f>
        <v>0</v>
      </c>
      <c r="E536" s="180">
        <f>AQ59</f>
        <v>0</v>
      </c>
      <c r="F536" s="261" t="str">
        <f t="shared" si="23"/>
        <v/>
      </c>
      <c r="G536" s="261" t="str">
        <f t="shared" si="23"/>
        <v/>
      </c>
      <c r="H536" s="263" t="str">
        <f t="shared" si="21"/>
        <v/>
      </c>
      <c r="I536" s="265"/>
      <c r="K536" s="259"/>
      <c r="L536" s="259"/>
    </row>
    <row r="537" spans="1:12" ht="12.65" customHeight="1">
      <c r="A537" s="180" t="s">
        <v>552</v>
      </c>
      <c r="B537" s="299">
        <f>'PRIOR YEAR'!AR71</f>
        <v>0</v>
      </c>
      <c r="C537" s="238">
        <f>AR71</f>
        <v>0</v>
      </c>
      <c r="D537" s="299">
        <f>'PRIOR YEAR'!AR59</f>
        <v>0</v>
      </c>
      <c r="E537" s="180">
        <f>AR59</f>
        <v>0</v>
      </c>
      <c r="F537" s="261" t="str">
        <f t="shared" si="23"/>
        <v/>
      </c>
      <c r="G537" s="261" t="str">
        <f t="shared" si="23"/>
        <v/>
      </c>
      <c r="H537" s="263" t="str">
        <f t="shared" si="21"/>
        <v/>
      </c>
      <c r="I537" s="265"/>
      <c r="K537" s="259"/>
      <c r="L537" s="259"/>
    </row>
    <row r="538" spans="1:12" ht="12.65" customHeight="1">
      <c r="A538" s="180" t="s">
        <v>553</v>
      </c>
      <c r="B538" s="299">
        <f>'PRIOR YEAR'!AS71</f>
        <v>0</v>
      </c>
      <c r="C538" s="238">
        <f>AS71</f>
        <v>0</v>
      </c>
      <c r="D538" s="299">
        <f>'PRIOR YEAR'!AS59</f>
        <v>0</v>
      </c>
      <c r="E538" s="180">
        <f>AS59</f>
        <v>0</v>
      </c>
      <c r="F538" s="261" t="str">
        <f t="shared" si="23"/>
        <v/>
      </c>
      <c r="G538" s="261" t="str">
        <f t="shared" si="23"/>
        <v/>
      </c>
      <c r="H538" s="263" t="str">
        <f t="shared" si="21"/>
        <v/>
      </c>
      <c r="I538" s="265"/>
      <c r="K538" s="259"/>
      <c r="L538" s="259"/>
    </row>
    <row r="539" spans="1:12" ht="12.65" customHeight="1">
      <c r="A539" s="180" t="s">
        <v>554</v>
      </c>
      <c r="B539" s="299">
        <f>'PRIOR YEAR'!AT71</f>
        <v>0</v>
      </c>
      <c r="C539" s="238">
        <f>AT71</f>
        <v>0</v>
      </c>
      <c r="D539" s="299">
        <f>'PRIOR YEAR'!AT59</f>
        <v>0</v>
      </c>
      <c r="E539" s="180">
        <f>AT59</f>
        <v>0</v>
      </c>
      <c r="F539" s="261" t="str">
        <f t="shared" si="23"/>
        <v/>
      </c>
      <c r="G539" s="261" t="str">
        <f t="shared" si="23"/>
        <v/>
      </c>
      <c r="H539" s="263" t="str">
        <f t="shared" si="21"/>
        <v/>
      </c>
      <c r="I539" s="265"/>
      <c r="K539" s="259"/>
      <c r="L539" s="259"/>
    </row>
    <row r="540" spans="1:12" ht="12.65" customHeight="1">
      <c r="A540" s="180" t="s">
        <v>555</v>
      </c>
      <c r="B540" s="299">
        <f>'PRIOR YEAR'!AU71</f>
        <v>0</v>
      </c>
      <c r="C540" s="238">
        <f>AU71</f>
        <v>0</v>
      </c>
      <c r="D540" s="299">
        <f>'PRIOR YEAR'!AU59</f>
        <v>0</v>
      </c>
      <c r="E540" s="180">
        <f>AU59</f>
        <v>0</v>
      </c>
      <c r="F540" s="261" t="str">
        <f t="shared" si="23"/>
        <v/>
      </c>
      <c r="G540" s="261" t="str">
        <f t="shared" si="23"/>
        <v/>
      </c>
      <c r="H540" s="263" t="str">
        <f t="shared" si="21"/>
        <v/>
      </c>
      <c r="I540" s="265"/>
      <c r="K540" s="259"/>
      <c r="L540" s="259"/>
    </row>
    <row r="541" spans="1:12" ht="12.65" customHeight="1">
      <c r="A541" s="180" t="s">
        <v>556</v>
      </c>
      <c r="B541" s="299">
        <f>'PRIOR YEAR'!AV71</f>
        <v>4745080</v>
      </c>
      <c r="C541" s="238">
        <f>AV71</f>
        <v>3052800.44</v>
      </c>
      <c r="D541" s="303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>
      <c r="A542" s="180" t="s">
        <v>1248</v>
      </c>
      <c r="B542" s="299">
        <f>'PRIOR YEAR'!AW71</f>
        <v>0</v>
      </c>
      <c r="C542" s="238">
        <f>AW71</f>
        <v>0</v>
      </c>
      <c r="D542" s="303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>
      <c r="A543" s="180" t="s">
        <v>557</v>
      </c>
      <c r="B543" s="299">
        <f>'PRIOR YEAR'!AX71</f>
        <v>0</v>
      </c>
      <c r="C543" s="238">
        <f>AX71</f>
        <v>75809.070000000007</v>
      </c>
      <c r="D543" s="303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>
      <c r="A544" s="180" t="s">
        <v>558</v>
      </c>
      <c r="B544" s="299">
        <f>'PRIOR YEAR'!AY71</f>
        <v>1866429</v>
      </c>
      <c r="C544" s="238">
        <f>AY71</f>
        <v>1662736.24</v>
      </c>
      <c r="D544" s="299">
        <f>'PRIOR YEAR'!AY59</f>
        <v>39775</v>
      </c>
      <c r="E544" s="180">
        <f>AY59</f>
        <v>42236</v>
      </c>
      <c r="F544" s="261">
        <f t="shared" ref="F544:G550" si="24">IF(B544=0,"",IF(D544=0,"",B544/D544))</f>
        <v>46.924676304211189</v>
      </c>
      <c r="G544" s="261">
        <f t="shared" si="24"/>
        <v>39.367748839852261</v>
      </c>
      <c r="H544" s="263" t="str">
        <f t="shared" si="21"/>
        <v/>
      </c>
      <c r="I544" s="265"/>
      <c r="K544" s="259"/>
      <c r="L544" s="259"/>
    </row>
    <row r="545" spans="1:13" ht="12.65" customHeight="1">
      <c r="A545" s="180" t="s">
        <v>559</v>
      </c>
      <c r="B545" s="299">
        <f>'PRIOR YEAR'!AZ71</f>
        <v>0</v>
      </c>
      <c r="C545" s="238">
        <f>AZ71</f>
        <v>0</v>
      </c>
      <c r="D545" s="299">
        <f>'PRIOR YEAR'!AZ59</f>
        <v>0</v>
      </c>
      <c r="E545" s="180">
        <f>AZ59</f>
        <v>0</v>
      </c>
      <c r="F545" s="261" t="str">
        <f t="shared" si="24"/>
        <v/>
      </c>
      <c r="G545" s="261" t="str">
        <f t="shared" si="24"/>
        <v/>
      </c>
      <c r="H545" s="263" t="str">
        <f t="shared" si="21"/>
        <v/>
      </c>
      <c r="I545" s="265"/>
      <c r="K545" s="259"/>
      <c r="L545" s="259"/>
    </row>
    <row r="546" spans="1:13" ht="12.65" customHeight="1">
      <c r="A546" s="180" t="s">
        <v>560</v>
      </c>
      <c r="B546" s="299">
        <f>'PRIOR YEAR'!BA71</f>
        <v>0</v>
      </c>
      <c r="C546" s="238">
        <f>BA71</f>
        <v>306209.12</v>
      </c>
      <c r="D546" s="299">
        <f>'PRIOR YEAR'!BA59</f>
        <v>0</v>
      </c>
      <c r="E546" s="180">
        <f>BA59</f>
        <v>0</v>
      </c>
      <c r="F546" s="261" t="str">
        <f t="shared" si="24"/>
        <v/>
      </c>
      <c r="G546" s="261" t="str">
        <f t="shared" si="24"/>
        <v/>
      </c>
      <c r="H546" s="263" t="str">
        <f t="shared" si="21"/>
        <v/>
      </c>
      <c r="I546" s="265"/>
      <c r="K546" s="259"/>
      <c r="L546" s="259"/>
    </row>
    <row r="547" spans="1:13" ht="12.65" customHeight="1">
      <c r="A547" s="180" t="s">
        <v>561</v>
      </c>
      <c r="B547" s="299">
        <f>'PRIOR YEAR'!BB71</f>
        <v>1013545</v>
      </c>
      <c r="C547" s="238">
        <f>BB71</f>
        <v>276112</v>
      </c>
      <c r="D547" s="303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>
      <c r="A548" s="180" t="s">
        <v>562</v>
      </c>
      <c r="B548" s="299">
        <f>'PRIOR YEAR'!BC71</f>
        <v>0</v>
      </c>
      <c r="C548" s="238">
        <f>BC71</f>
        <v>0</v>
      </c>
      <c r="D548" s="303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>
      <c r="A549" s="180" t="s">
        <v>563</v>
      </c>
      <c r="B549" s="299">
        <f>'PRIOR YEAR'!BD71</f>
        <v>9024005</v>
      </c>
      <c r="C549" s="238">
        <f>BD71</f>
        <v>5165160.18</v>
      </c>
      <c r="D549" s="303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>
      <c r="A550" s="180" t="s">
        <v>564</v>
      </c>
      <c r="B550" s="299">
        <f>'PRIOR YEAR'!BE71</f>
        <v>3454679</v>
      </c>
      <c r="C550" s="238">
        <f>BE71</f>
        <v>3224975.76</v>
      </c>
      <c r="D550" s="299">
        <f>'PRIOR YEAR'!BE59</f>
        <v>155374</v>
      </c>
      <c r="E550" s="180">
        <f>BE59</f>
        <v>209704.37</v>
      </c>
      <c r="F550" s="261">
        <f t="shared" si="24"/>
        <v>22.234601670807212</v>
      </c>
      <c r="G550" s="261">
        <f t="shared" si="24"/>
        <v>15.378676944118999</v>
      </c>
      <c r="H550" s="263">
        <f t="shared" si="21"/>
        <v>-0.30834484144097163</v>
      </c>
      <c r="I550" s="265"/>
      <c r="K550" s="259"/>
      <c r="L550" s="259"/>
    </row>
    <row r="551" spans="1:13" ht="12.65" customHeight="1">
      <c r="A551" s="180" t="s">
        <v>565</v>
      </c>
      <c r="B551" s="299">
        <f>'PRIOR YEAR'!BF71</f>
        <v>1671530</v>
      </c>
      <c r="C551" s="238">
        <f>BF71</f>
        <v>1353584.7900000003</v>
      </c>
      <c r="D551" s="303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5" customHeight="1">
      <c r="A552" s="180" t="s">
        <v>566</v>
      </c>
      <c r="B552" s="299">
        <f>'PRIOR YEAR'!BG71</f>
        <v>360372</v>
      </c>
      <c r="C552" s="238">
        <f>BG71</f>
        <v>262026.27000000002</v>
      </c>
      <c r="D552" s="303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>
      <c r="A553" s="180" t="s">
        <v>567</v>
      </c>
      <c r="B553" s="299">
        <f>'PRIOR YEAR'!BH71</f>
        <v>2747649</v>
      </c>
      <c r="C553" s="238">
        <f>BH71</f>
        <v>677948</v>
      </c>
      <c r="D553" s="303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>
      <c r="A554" s="180" t="s">
        <v>568</v>
      </c>
      <c r="B554" s="299">
        <f>'PRIOR YEAR'!BI71</f>
        <v>0</v>
      </c>
      <c r="C554" s="238">
        <f>BI71</f>
        <v>0</v>
      </c>
      <c r="D554" s="303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>
      <c r="A555" s="180" t="s">
        <v>569</v>
      </c>
      <c r="B555" s="299">
        <f>'PRIOR YEAR'!BJ71</f>
        <v>416697</v>
      </c>
      <c r="C555" s="238">
        <f>BJ71</f>
        <v>623176.77</v>
      </c>
      <c r="D555" s="303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>
      <c r="A556" s="180" t="s">
        <v>570</v>
      </c>
      <c r="B556" s="299">
        <f>'PRIOR YEAR'!BK71</f>
        <v>1769835</v>
      </c>
      <c r="C556" s="238">
        <f>BK71</f>
        <v>2235069.6599999997</v>
      </c>
      <c r="D556" s="303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>
      <c r="A557" s="180" t="s">
        <v>571</v>
      </c>
      <c r="B557" s="299">
        <f>'PRIOR YEAR'!BL71</f>
        <v>1506657</v>
      </c>
      <c r="C557" s="238">
        <f>BL71</f>
        <v>197453.21999999997</v>
      </c>
      <c r="D557" s="303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>
      <c r="A558" s="180" t="s">
        <v>572</v>
      </c>
      <c r="B558" s="299">
        <f>'PRIOR YEAR'!BM71</f>
        <v>0</v>
      </c>
      <c r="C558" s="238">
        <f>BM71</f>
        <v>274160</v>
      </c>
      <c r="D558" s="303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>
      <c r="A559" s="180" t="s">
        <v>573</v>
      </c>
      <c r="B559" s="299">
        <f>'PRIOR YEAR'!BN71</f>
        <v>6890030</v>
      </c>
      <c r="C559" s="238">
        <f>BN71</f>
        <v>2124793.5699999998</v>
      </c>
      <c r="D559" s="303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>
      <c r="A560" s="180" t="s">
        <v>574</v>
      </c>
      <c r="B560" s="299">
        <f>'PRIOR YEAR'!BO71</f>
        <v>0</v>
      </c>
      <c r="C560" s="238">
        <f>BO71</f>
        <v>0</v>
      </c>
      <c r="D560" s="303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>
      <c r="A561" s="180" t="s">
        <v>575</v>
      </c>
      <c r="B561" s="299">
        <f>'PRIOR YEAR'!BP71</f>
        <v>242923</v>
      </c>
      <c r="C561" s="238">
        <f>BP71</f>
        <v>67462</v>
      </c>
      <c r="D561" s="303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>
      <c r="A562" s="180" t="s">
        <v>576</v>
      </c>
      <c r="B562" s="299">
        <f>'PRIOR YEAR'!BQ71</f>
        <v>0</v>
      </c>
      <c r="C562" s="238">
        <f>BQ71</f>
        <v>0</v>
      </c>
      <c r="D562" s="303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>
      <c r="A563" s="180" t="s">
        <v>577</v>
      </c>
      <c r="B563" s="299">
        <f>'PRIOR YEAR'!BR71</f>
        <v>756427</v>
      </c>
      <c r="C563" s="238">
        <f>BR71</f>
        <v>1327395</v>
      </c>
      <c r="D563" s="303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>
      <c r="A564" s="180" t="s">
        <v>1249</v>
      </c>
      <c r="B564" s="299">
        <f>'PRIOR YEAR'!BS71</f>
        <v>10857</v>
      </c>
      <c r="C564" s="238">
        <f>BS71</f>
        <v>0</v>
      </c>
      <c r="D564" s="303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>
      <c r="A565" s="180" t="s">
        <v>578</v>
      </c>
      <c r="B565" s="299">
        <f>'PRIOR YEAR'!BT71</f>
        <v>0</v>
      </c>
      <c r="C565" s="238">
        <f>BT71</f>
        <v>0</v>
      </c>
      <c r="D565" s="303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>
      <c r="A566" s="180" t="s">
        <v>579</v>
      </c>
      <c r="B566" s="299">
        <f>'PRIOR YEAR'!BU71</f>
        <v>127359</v>
      </c>
      <c r="C566" s="238">
        <f>BU71</f>
        <v>0</v>
      </c>
      <c r="D566" s="303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>
      <c r="A567" s="180" t="s">
        <v>580</v>
      </c>
      <c r="B567" s="299">
        <f>'PRIOR YEAR'!BV71</f>
        <v>952027</v>
      </c>
      <c r="C567" s="238">
        <f>BV71</f>
        <v>257103</v>
      </c>
      <c r="D567" s="303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>
      <c r="A568" s="180" t="s">
        <v>581</v>
      </c>
      <c r="B568" s="299">
        <f>'PRIOR YEAR'!BW71</f>
        <v>195321</v>
      </c>
      <c r="C568" s="238">
        <f>BW71</f>
        <v>205734.09999999998</v>
      </c>
      <c r="D568" s="303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>
      <c r="A569" s="180" t="s">
        <v>582</v>
      </c>
      <c r="B569" s="299">
        <f>'PRIOR YEAR'!BX71</f>
        <v>621166</v>
      </c>
      <c r="C569" s="238">
        <f>BX71</f>
        <v>973829.73</v>
      </c>
      <c r="D569" s="303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>
      <c r="A570" s="180" t="s">
        <v>583</v>
      </c>
      <c r="B570" s="299">
        <f>'PRIOR YEAR'!BY71</f>
        <v>1336688</v>
      </c>
      <c r="C570" s="238">
        <f>BY71</f>
        <v>1153351.92</v>
      </c>
      <c r="D570" s="303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>
      <c r="A571" s="180" t="s">
        <v>584</v>
      </c>
      <c r="B571" s="299">
        <f>'PRIOR YEAR'!BZ71</f>
        <v>0</v>
      </c>
      <c r="C571" s="238">
        <f>BZ71</f>
        <v>0</v>
      </c>
      <c r="D571" s="303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>
      <c r="A572" s="180" t="s">
        <v>585</v>
      </c>
      <c r="B572" s="299">
        <f>'PRIOR YEAR'!CA71</f>
        <v>281686</v>
      </c>
      <c r="C572" s="238">
        <f>CA71</f>
        <v>91310</v>
      </c>
      <c r="D572" s="303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>
      <c r="A573" s="180" t="s">
        <v>586</v>
      </c>
      <c r="B573" s="299">
        <f>'PRIOR YEAR'!CB71</f>
        <v>0</v>
      </c>
      <c r="C573" s="238">
        <f>CB71</f>
        <v>0</v>
      </c>
      <c r="D573" s="303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>
      <c r="A574" s="180" t="s">
        <v>587</v>
      </c>
      <c r="B574" s="299">
        <f>'PRIOR YEAR'!CC71</f>
        <v>0</v>
      </c>
      <c r="C574" s="238">
        <f>CC71</f>
        <v>14276087.359999999</v>
      </c>
      <c r="D574" s="303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5" customHeight="1">
      <c r="A575" s="180" t="s">
        <v>588</v>
      </c>
      <c r="B575" s="299">
        <f>'PRIOR YEAR'!CD71</f>
        <v>12925505</v>
      </c>
      <c r="C575" s="238">
        <f>CD71</f>
        <v>2106924.98</v>
      </c>
      <c r="D575" s="303" t="s">
        <v>529</v>
      </c>
      <c r="E575" s="181" t="s">
        <v>529</v>
      </c>
      <c r="F575" s="261"/>
      <c r="G575" s="261"/>
      <c r="H575" s="263"/>
    </row>
    <row r="576" spans="1:13" ht="12.65" customHeight="1">
      <c r="M576" s="263"/>
    </row>
    <row r="577" spans="13:13" ht="12.65" customHeight="1">
      <c r="M577" s="263"/>
    </row>
    <row r="578" spans="13:13" ht="12.65" customHeight="1">
      <c r="M578" s="263"/>
    </row>
    <row r="612" spans="1:14" ht="12.65" customHeight="1">
      <c r="A612" s="196"/>
      <c r="C612" s="181" t="s">
        <v>589</v>
      </c>
      <c r="D612" s="180">
        <f>CE76-(BE76+CD76)</f>
        <v>163932.19</v>
      </c>
      <c r="E612" s="180">
        <f>SUM(C624:D647)+SUM(C668:D713)</f>
        <v>94990978.08258459</v>
      </c>
      <c r="F612" s="180">
        <f>CE64-(AX64+BD64+BE64+BG64+BJ64+BN64+BP64+BQ64+CB64+CC64+CD64)</f>
        <v>16642111.499999998</v>
      </c>
      <c r="G612" s="180">
        <f>CE77-(AX77+AY77+BD77+BE77+BG77+BJ77+BN77+BP77+BQ77+CB77+CC77+CD77)</f>
        <v>42236</v>
      </c>
      <c r="H612" s="197">
        <f>CE60-(AX60+AY60+AZ60+BD60+BE60+BG60+BJ60+BN60+BO60+BP60+BQ60+BR60+CB60+CC60+CD60)</f>
        <v>668.66075680995777</v>
      </c>
      <c r="I612" s="180">
        <f>CE78-(AX78+AY78+AZ78+BD78+BE78+BF78+BG78+BJ78+BN78+BO78+BP78+BQ78+BR78+CB78+CC78+CD78)</f>
        <v>39604</v>
      </c>
      <c r="J612" s="180">
        <f>CE79-(AX79+AY79+AZ79+BA79+BD79+BE79+BF79+BG79+BJ79+BN79+BO79+BP79+BQ79+BR79+CB79+CC79+CD79)</f>
        <v>490191</v>
      </c>
      <c r="K612" s="180">
        <f>CE75-(AW75+AX75+AY75+AZ75+BA75+BB75+BC75+BD75+BE75+BF75+BG75+BH75+BI75+BJ75+BK75+BL75+BM75+BN75+BO75+BP75+BQ75+BR75+BS75+BT75+BU75+BV75+BW75+BX75+CB75+CC75+CD75)</f>
        <v>599564641.79999995</v>
      </c>
      <c r="L612" s="197">
        <f>CE80-(AW80+AX80+AY80+AZ80+BA80+BB80+BC80+BD80+BE80+BF80+BG80+BH80+BI80+BJ80+BK80+BL80+BM80+BN80+BO80+BP80+BQ80+BR80+BS80+BT80+BU80+BV80+BW80+BX80+BY80+BZ80+CA80+CB80+CC80+CD80)</f>
        <v>366.69999999999993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3224975.76</v>
      </c>
      <c r="N614" s="199" t="s">
        <v>600</v>
      </c>
    </row>
    <row r="615" spans="1:14" ht="12.65" customHeight="1">
      <c r="A615" s="196"/>
      <c r="B615" s="198" t="s">
        <v>601</v>
      </c>
      <c r="C615" s="270">
        <f>CD69-CD70</f>
        <v>2106924.98</v>
      </c>
      <c r="D615" s="264">
        <f>SUM(C614:C615)</f>
        <v>5331900.74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75809.070000000007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623176.77</v>
      </c>
      <c r="D617" s="180">
        <f>(D615/D612)*BJ76</f>
        <v>0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262026.27000000002</v>
      </c>
      <c r="D618" s="180">
        <f>(D615/D612)*BG76</f>
        <v>0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2124793.5699999998</v>
      </c>
      <c r="D619" s="180">
        <f>(D615/D612)*BN76</f>
        <v>337642.42143010476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14276087.359999999</v>
      </c>
      <c r="D620" s="180">
        <f>(D615/D612)*CC76</f>
        <v>1369107.005985314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67462</v>
      </c>
      <c r="D621" s="180">
        <f>(D615/D612)*BP76</f>
        <v>0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19136104.467415415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5165160.18</v>
      </c>
      <c r="D624" s="180">
        <f>(D615/D612)*BD76</f>
        <v>83420.543195082064</v>
      </c>
      <c r="E624" s="180">
        <f>(E623/E612)*SUM(C624:D624)</f>
        <v>1057336.08656397</v>
      </c>
      <c r="F624" s="180">
        <f>SUM(C624:E624)</f>
        <v>6305916.8097590515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1662736.24</v>
      </c>
      <c r="D625" s="180">
        <f>(D615/D612)*AY76</f>
        <v>178198.50447504787</v>
      </c>
      <c r="E625" s="180">
        <f>(E623/E612)*SUM(C625:D625)</f>
        <v>370859.636347169</v>
      </c>
      <c r="F625" s="180">
        <f>(F624/F612)*AY64</f>
        <v>216579.71023687444</v>
      </c>
      <c r="G625" s="180">
        <f>SUM(C625:F625)</f>
        <v>2428374.091059091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1327395</v>
      </c>
      <c r="D626" s="180">
        <f>(D615/D612)*BR76</f>
        <v>0</v>
      </c>
      <c r="E626" s="180">
        <f>(E623/E612)*SUM(C626:D626)</f>
        <v>267406.12532109377</v>
      </c>
      <c r="F626" s="180">
        <f>(F624/F612)*BR64</f>
        <v>354.66281630996599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1595155.7881374038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1353584.7900000003</v>
      </c>
      <c r="D629" s="180">
        <f>(D615/D612)*BF76</f>
        <v>74464.773930003634</v>
      </c>
      <c r="E629" s="180">
        <f>(E623/E612)*SUM(C629:D629)</f>
        <v>287683.16940850305</v>
      </c>
      <c r="F629" s="180">
        <f>(F624/F612)*BF64</f>
        <v>50880.310330225671</v>
      </c>
      <c r="G629" s="180">
        <f>(G625/G612)*BF77</f>
        <v>0</v>
      </c>
      <c r="H629" s="180">
        <f>(H628/H612)*BF60</f>
        <v>85468.490765178736</v>
      </c>
      <c r="I629" s="180">
        <f>SUM(C629:H629)</f>
        <v>1852081.5344339113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306209.12</v>
      </c>
      <c r="D630" s="180">
        <f>(D615/D612)*BA76</f>
        <v>0</v>
      </c>
      <c r="E630" s="180">
        <f>(E623/E612)*SUM(C630:D630)</f>
        <v>61686.381459310782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367895.50145931076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276112</v>
      </c>
      <c r="D632" s="180">
        <f>(D615/D612)*BB76</f>
        <v>0</v>
      </c>
      <c r="E632" s="180">
        <f>(E623/E612)*SUM(C632:D632)</f>
        <v>55623.262159837759</v>
      </c>
      <c r="F632" s="180">
        <f>(F624/F612)*BB64</f>
        <v>993.13166832096249</v>
      </c>
      <c r="G632" s="180">
        <f>(G625/G612)*BB77</f>
        <v>0</v>
      </c>
      <c r="H632" s="180">
        <f>(H628/H612)*BB60</f>
        <v>17152.449878208754</v>
      </c>
      <c r="I632" s="180">
        <f>(I629/I612)*BB78</f>
        <v>8838.587264114969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2235069.6599999997</v>
      </c>
      <c r="D635" s="180">
        <f>(D615/D612)*BK76</f>
        <v>0</v>
      </c>
      <c r="E635" s="180">
        <f>(E623/E612)*SUM(C635:D635)</f>
        <v>450258.82845975336</v>
      </c>
      <c r="F635" s="180">
        <f>(F624/F612)*BK64</f>
        <v>2.2621121937718986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677948</v>
      </c>
      <c r="D636" s="180">
        <f>(D615/D612)*BH76</f>
        <v>0</v>
      </c>
      <c r="E636" s="180">
        <f>(E623/E612)*SUM(C636:D636)</f>
        <v>136573.85167880313</v>
      </c>
      <c r="F636" s="180">
        <f>(F624/F612)*BH64</f>
        <v>6594.2275558144638</v>
      </c>
      <c r="G636" s="180">
        <f>(G625/G612)*BH77</f>
        <v>0</v>
      </c>
      <c r="H636" s="180">
        <f>(H628/H612)*BH60</f>
        <v>12977.653315362397</v>
      </c>
      <c r="I636" s="180">
        <f>(I629/I612)*BH78</f>
        <v>8978.8823000533012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197453.21999999997</v>
      </c>
      <c r="D637" s="180">
        <f>(D615/D612)*BL76</f>
        <v>0</v>
      </c>
      <c r="E637" s="180">
        <f>(E623/E612)*SUM(C637:D637)</f>
        <v>39777.308557267046</v>
      </c>
      <c r="F637" s="180">
        <f>(F624/F612)*BL64</f>
        <v>1121.5832652537388</v>
      </c>
      <c r="G637" s="180">
        <f>(G625/G612)*BL77</f>
        <v>0</v>
      </c>
      <c r="H637" s="180">
        <f>(H628/H612)*BL60</f>
        <v>13522.144824574116</v>
      </c>
      <c r="I637" s="180">
        <f>(I629/I612)*BL78</f>
        <v>21465.140498564924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274160</v>
      </c>
      <c r="D638" s="180">
        <f>(D615/D612)*BM76</f>
        <v>0</v>
      </c>
      <c r="E638" s="180">
        <f>(E623/E612)*SUM(C638:D638)</f>
        <v>55230.028226738134</v>
      </c>
      <c r="F638" s="180">
        <f>(F624/F612)*BM64</f>
        <v>1988.5368162336556</v>
      </c>
      <c r="G638" s="180">
        <f>(G625/G612)*BM77</f>
        <v>0</v>
      </c>
      <c r="H638" s="180">
        <f>(H628/H612)*BM60</f>
        <v>39171.519749678409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3413.8458744994327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257103</v>
      </c>
      <c r="D642" s="180">
        <f>(D615/D612)*BV76</f>
        <v>0</v>
      </c>
      <c r="E642" s="180">
        <f>(E623/E612)*SUM(C642:D642)</f>
        <v>51793.864703746185</v>
      </c>
      <c r="F642" s="180">
        <f>(F624/F612)*BV64</f>
        <v>580.49512242186745</v>
      </c>
      <c r="G642" s="180">
        <f>(G625/G612)*BV77</f>
        <v>0</v>
      </c>
      <c r="H642" s="180">
        <f>(H628/H612)*BV60</f>
        <v>26742.553982575821</v>
      </c>
      <c r="I642" s="180">
        <f>(I629/I612)*BV78</f>
        <v>39984.085242424859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205734.09999999998</v>
      </c>
      <c r="D643" s="180">
        <f>(D615/D612)*BW76</f>
        <v>61830.097595475308</v>
      </c>
      <c r="E643" s="180">
        <f>(E623/E612)*SUM(C643:D643)</f>
        <v>53901.291894013135</v>
      </c>
      <c r="F643" s="180">
        <f>(F624/F612)*BW64</f>
        <v>1336.1087995294342</v>
      </c>
      <c r="G643" s="180">
        <f>(G625/G612)*BW77</f>
        <v>0</v>
      </c>
      <c r="H643" s="180">
        <f>(H628/H612)*BW60</f>
        <v>6364.0843894987484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973829.73</v>
      </c>
      <c r="D644" s="180">
        <f>(D615/D612)*BX76</f>
        <v>0</v>
      </c>
      <c r="E644" s="180">
        <f>(E623/E612)*SUM(C644:D644)</f>
        <v>196179.76173014581</v>
      </c>
      <c r="F644" s="180">
        <f>(F624/F612)*BX64</f>
        <v>758.68287455640234</v>
      </c>
      <c r="G644" s="180">
        <f>(G625/G612)*BX77</f>
        <v>0</v>
      </c>
      <c r="H644" s="180">
        <f>(H628/H612)*BX60</f>
        <v>21077.895889490177</v>
      </c>
      <c r="I644" s="180">
        <f>(I629/I612)*BX78</f>
        <v>982.06525156832993</v>
      </c>
      <c r="J644" s="180">
        <f>(J630/J612)*BX79</f>
        <v>0</v>
      </c>
      <c r="K644" s="180">
        <f>SUM(C631:J644)</f>
        <v>6432623.9416807173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1153351.92</v>
      </c>
      <c r="D645" s="180">
        <f>(D615/D612)*BY76</f>
        <v>37892.970490601023</v>
      </c>
      <c r="E645" s="180">
        <f>(E623/E612)*SUM(C645:D645)</f>
        <v>239978.43933014831</v>
      </c>
      <c r="F645" s="180">
        <f>(F624/F612)*BY64</f>
        <v>2730.9567334438789</v>
      </c>
      <c r="G645" s="180">
        <f>(G625/G612)*BY77</f>
        <v>0</v>
      </c>
      <c r="H645" s="180">
        <f>(H628/H612)*BY60</f>
        <v>20278.414994522394</v>
      </c>
      <c r="I645" s="180">
        <f>(I629/I612)*BY78</f>
        <v>13889.208557894952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91310</v>
      </c>
      <c r="D647" s="180">
        <f>(D615/D612)*CA76</f>
        <v>0</v>
      </c>
      <c r="E647" s="180">
        <f>(E623/E612)*SUM(C647:D647)</f>
        <v>18394.564770146844</v>
      </c>
      <c r="F647" s="180">
        <f>(F624/F612)*CA64</f>
        <v>262.58689284487866</v>
      </c>
      <c r="G647" s="180">
        <f>(G625/G612)*CA77</f>
        <v>0</v>
      </c>
      <c r="H647" s="180">
        <f>(H628/H612)*CA60</f>
        <v>4461.0683271558237</v>
      </c>
      <c r="I647" s="180">
        <f>(I629/I612)*CA78</f>
        <v>26702.821840262684</v>
      </c>
      <c r="J647" s="180">
        <f>(J630/J612)*CA79</f>
        <v>0</v>
      </c>
      <c r="K647" s="180">
        <v>0</v>
      </c>
      <c r="L647" s="180">
        <f>SUM(C645:K647)</f>
        <v>1609252.9519370205</v>
      </c>
      <c r="N647" s="199" t="s">
        <v>659</v>
      </c>
    </row>
    <row r="648" spans="1:14" ht="12.65" customHeight="1">
      <c r="A648" s="196"/>
      <c r="B648" s="196"/>
      <c r="C648" s="180">
        <f>SUM(C614:C647)</f>
        <v>38918412.739999995</v>
      </c>
      <c r="L648" s="264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8890757.4299999997</v>
      </c>
      <c r="D668" s="180">
        <f>(D615/D612)*C76</f>
        <v>273601.92223936989</v>
      </c>
      <c r="E668" s="180">
        <f>(E623/E612)*SUM(C668:D668)</f>
        <v>1846176.7789033849</v>
      </c>
      <c r="F668" s="180">
        <f>(F624/F612)*C64</f>
        <v>232420.51652506311</v>
      </c>
      <c r="G668" s="180">
        <f>(G625/G612)*C77</f>
        <v>241092.75199194436</v>
      </c>
      <c r="H668" s="180">
        <f>(H628/H612)*C60</f>
        <v>232402.40347873257</v>
      </c>
      <c r="I668" s="180">
        <f>(I629/I612)*C78</f>
        <v>100264.18568392855</v>
      </c>
      <c r="J668" s="180">
        <f>(J630/J612)*C79</f>
        <v>52443.037498705082</v>
      </c>
      <c r="K668" s="180">
        <f>(K644/K612)*C75</f>
        <v>444080.77419957385</v>
      </c>
      <c r="L668" s="180">
        <f>(L647/L612)*C80</f>
        <v>194760.41998081535</v>
      </c>
      <c r="M668" s="180">
        <f t="shared" ref="M668:M713" si="25">ROUND(SUM(D668:L668),0)</f>
        <v>3617243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36839</v>
      </c>
      <c r="D669" s="180">
        <f>(D615/D612)*D76</f>
        <v>0</v>
      </c>
      <c r="E669" s="180">
        <f>(E623/E612)*SUM(C669:D669)</f>
        <v>7421.2832282054496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556977.42446520342</v>
      </c>
      <c r="L669" s="180">
        <f>(L647/L612)*D80</f>
        <v>0</v>
      </c>
      <c r="M669" s="180">
        <f t="shared" si="25"/>
        <v>564399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9493755.6699999999</v>
      </c>
      <c r="D670" s="180">
        <f>(D615/D612)*E76</f>
        <v>0</v>
      </c>
      <c r="E670" s="180">
        <f>(E623/E612)*SUM(C670:D670)</f>
        <v>1912534.2633201606</v>
      </c>
      <c r="F670" s="180">
        <f>(F624/F612)*E64</f>
        <v>1589960.2032215567</v>
      </c>
      <c r="G670" s="180">
        <f>(G625/G612)*E77</f>
        <v>928618.63515788037</v>
      </c>
      <c r="H670" s="180">
        <f>(H628/H612)*E60</f>
        <v>170326.06908804181</v>
      </c>
      <c r="I670" s="180">
        <f>(I629/I612)*E78</f>
        <v>142446.22648938728</v>
      </c>
      <c r="J670" s="180">
        <f>(J630/J612)*E79</f>
        <v>96835.379999788885</v>
      </c>
      <c r="K670" s="180">
        <f>(K644/K612)*E75</f>
        <v>214044.83933170023</v>
      </c>
      <c r="L670" s="180">
        <f>(L647/L612)*E80</f>
        <v>139026.8162458817</v>
      </c>
      <c r="M670" s="180">
        <f t="shared" si="25"/>
        <v>5193792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3079357.17</v>
      </c>
      <c r="D671" s="180">
        <f>(D615/D612)*F76</f>
        <v>756832.59435642394</v>
      </c>
      <c r="E671" s="180">
        <f>(E623/E612)*SUM(C671:D671)</f>
        <v>772807.37149303046</v>
      </c>
      <c r="F671" s="180">
        <f>(F624/F612)*F64</f>
        <v>98560.076717335498</v>
      </c>
      <c r="G671" s="180">
        <f>(G625/G612)*F77</f>
        <v>0</v>
      </c>
      <c r="H671" s="180">
        <f>(H628/H612)*F60</f>
        <v>45601.291411925224</v>
      </c>
      <c r="I671" s="180">
        <f>(I629/I612)*F78</f>
        <v>0</v>
      </c>
      <c r="J671" s="180">
        <f>(J630/J612)*F79</f>
        <v>0</v>
      </c>
      <c r="K671" s="180">
        <f>(K644/K612)*F75</f>
        <v>26429.300949722459</v>
      </c>
      <c r="L671" s="180">
        <f>(L647/L612)*F80</f>
        <v>0</v>
      </c>
      <c r="M671" s="180">
        <f t="shared" si="25"/>
        <v>1700231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557650</v>
      </c>
      <c r="D672" s="180">
        <f>(D615/D612)*G76</f>
        <v>0</v>
      </c>
      <c r="E672" s="180">
        <f>(E623/E612)*SUM(C672:D672)</f>
        <v>112339.60184067888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620146.91249354894</v>
      </c>
      <c r="L672" s="180">
        <f>(L647/L612)*G80</f>
        <v>0</v>
      </c>
      <c r="M672" s="180">
        <f t="shared" si="25"/>
        <v>732487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7212</v>
      </c>
      <c r="D673" s="180">
        <f>(D615/D612)*H76</f>
        <v>0</v>
      </c>
      <c r="E673" s="180">
        <f>(E623/E612)*SUM(C673:D673)</f>
        <v>1452.8704536447162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287340.42396730161</v>
      </c>
      <c r="L673" s="180">
        <f>(L647/L612)*H80</f>
        <v>0</v>
      </c>
      <c r="M673" s="180">
        <f t="shared" si="25"/>
        <v>288793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77251</v>
      </c>
      <c r="D674" s="180">
        <f>(D615/D612)*I76</f>
        <v>0</v>
      </c>
      <c r="E674" s="180">
        <f>(E623/E612)*SUM(C674:D674)</f>
        <v>15562.353773503602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15562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194127</v>
      </c>
      <c r="D675" s="180">
        <f>(D615/D612)*J76</f>
        <v>0</v>
      </c>
      <c r="E675" s="180">
        <f>(E623/E612)*SUM(C675:D675)</f>
        <v>39107.235517843576</v>
      </c>
      <c r="F675" s="180">
        <f>(F624/F612)*J64</f>
        <v>1702.4573009408946</v>
      </c>
      <c r="G675" s="180">
        <f>(G625/G612)*J77</f>
        <v>180401.73695240059</v>
      </c>
      <c r="H675" s="180">
        <f>(H628/H612)*J60</f>
        <v>0</v>
      </c>
      <c r="I675" s="180">
        <f>(I629/I612)*J78</f>
        <v>8511.2321802588594</v>
      </c>
      <c r="J675" s="180">
        <f>(J630/J612)*J79</f>
        <v>345.77474279768529</v>
      </c>
      <c r="K675" s="180">
        <f>(K644/K612)*J75</f>
        <v>431265.53469424899</v>
      </c>
      <c r="L675" s="180">
        <f>(L647/L612)*J80</f>
        <v>0</v>
      </c>
      <c r="M675" s="180">
        <f t="shared" si="25"/>
        <v>661334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7040</v>
      </c>
      <c r="D676" s="180">
        <f>(D615/D612)*K76</f>
        <v>0</v>
      </c>
      <c r="E676" s="180">
        <f>(E623/E612)*SUM(C676:D676)</f>
        <v>1418.2207423265118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32491.423686318991</v>
      </c>
      <c r="L676" s="180">
        <f>(L647/L612)*K80</f>
        <v>0</v>
      </c>
      <c r="M676" s="180">
        <f t="shared" si="25"/>
        <v>33910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432329.80106028641</v>
      </c>
      <c r="L677" s="180">
        <f>(L647/L612)*L80</f>
        <v>0</v>
      </c>
      <c r="M677" s="180">
        <f t="shared" si="25"/>
        <v>432330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85217</v>
      </c>
      <c r="D678" s="180">
        <f>(D615/D612)*M76</f>
        <v>0</v>
      </c>
      <c r="E678" s="180">
        <f>(E623/E612)*SUM(C678:D678)</f>
        <v>17167.118891880447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350212.32926698774</v>
      </c>
      <c r="L678" s="180">
        <f>(L647/L612)*M80</f>
        <v>0</v>
      </c>
      <c r="M678" s="180">
        <f t="shared" si="25"/>
        <v>367379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79866</v>
      </c>
      <c r="D679" s="180">
        <f>(D615/D612)*N76</f>
        <v>0</v>
      </c>
      <c r="E679" s="180">
        <f>(E623/E612)*SUM(C679:D679)</f>
        <v>16089.150256626306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353934.51765120006</v>
      </c>
      <c r="L679" s="180">
        <f>(L647/L612)*N80</f>
        <v>0</v>
      </c>
      <c r="M679" s="180">
        <f t="shared" si="25"/>
        <v>370024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1460423.8</v>
      </c>
      <c r="D680" s="180">
        <f>(D615/D612)*O76</f>
        <v>0</v>
      </c>
      <c r="E680" s="180">
        <f>(E623/E612)*SUM(C680:D680)</f>
        <v>294205.01786183316</v>
      </c>
      <c r="F680" s="180">
        <f>(F624/F612)*O64</f>
        <v>24101.07000188456</v>
      </c>
      <c r="G680" s="180">
        <f>(G625/G612)*O77</f>
        <v>1078260.9669568657</v>
      </c>
      <c r="H680" s="180">
        <f>(H628/H612)*O60</f>
        <v>65987.898187634593</v>
      </c>
      <c r="I680" s="180">
        <f>(I629/I612)*O78</f>
        <v>268852.05386982515</v>
      </c>
      <c r="J680" s="180">
        <f>(J630/J612)*O79</f>
        <v>42781.401239975326</v>
      </c>
      <c r="K680" s="180">
        <f>(K644/K612)*O75</f>
        <v>137209.81317259528</v>
      </c>
      <c r="L680" s="180">
        <f>(L647/L612)*O80</f>
        <v>85575.218333165816</v>
      </c>
      <c r="M680" s="180">
        <f t="shared" si="25"/>
        <v>1996973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7697886.04</v>
      </c>
      <c r="D681" s="180">
        <f>(D615/D612)*P76</f>
        <v>591866.5764178005</v>
      </c>
      <c r="E681" s="180">
        <f>(E623/E612)*SUM(C681:D681)</f>
        <v>1669985.6689430678</v>
      </c>
      <c r="F681" s="180">
        <f>(F624/F612)*P64</f>
        <v>1157502.4846455303</v>
      </c>
      <c r="G681" s="180">
        <f>(G625/G612)*P77</f>
        <v>0</v>
      </c>
      <c r="H681" s="180">
        <f>(H628/H612)*P60</f>
        <v>80884.242246813359</v>
      </c>
      <c r="I681" s="180">
        <f>(I629/I612)*P78</f>
        <v>26936.646900159907</v>
      </c>
      <c r="J681" s="180" t="e">
        <f>(J630/J612)*#REF!</f>
        <v>#REF!</v>
      </c>
      <c r="K681" s="180">
        <f>(K644/K612)*P75</f>
        <v>391769.7556344535</v>
      </c>
      <c r="L681" s="180">
        <f>(L647/L612)*P80</f>
        <v>51169.592090498125</v>
      </c>
      <c r="M681" s="180" t="e">
        <f t="shared" si="25"/>
        <v>#REF!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267382</v>
      </c>
      <c r="D682" s="180">
        <f>(D615/D612)*Q76</f>
        <v>0</v>
      </c>
      <c r="E682" s="180">
        <f>(E623/E612)*SUM(C682:D682)</f>
        <v>53864.587858628889</v>
      </c>
      <c r="F682" s="180">
        <f>(F624/F612)*Q64</f>
        <v>5633.682428308306</v>
      </c>
      <c r="G682" s="180">
        <f>(G625/G612)*Q77</f>
        <v>0</v>
      </c>
      <c r="H682" s="180">
        <f>(H628/H612)*Q60</f>
        <v>14838.419783373914</v>
      </c>
      <c r="I682" s="180">
        <f>(I629/I612)*Q78</f>
        <v>34231.988768953212</v>
      </c>
      <c r="J682" s="180">
        <f>(J630/J612)*Q79</f>
        <v>0</v>
      </c>
      <c r="K682" s="180">
        <f>(K644/K612)*Q75</f>
        <v>164151.82266091829</v>
      </c>
      <c r="L682" s="180">
        <f>(L647/L612)*Q80</f>
        <v>23609.983314483696</v>
      </c>
      <c r="M682" s="180">
        <f t="shared" si="25"/>
        <v>296330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2330826.2499999995</v>
      </c>
      <c r="D683" s="180">
        <f>(D615/D612)*R76</f>
        <v>95965.12517382951</v>
      </c>
      <c r="E683" s="180">
        <f>(E623/E612)*SUM(C683:D683)</f>
        <v>488881.51499582443</v>
      </c>
      <c r="F683" s="180">
        <f>(F624/F612)*R64</f>
        <v>76898.586726153328</v>
      </c>
      <c r="G683" s="180">
        <f>(G625/G612)*R77</f>
        <v>0</v>
      </c>
      <c r="H683" s="180">
        <f>(H628/H612)*R60</f>
        <v>20005.433952396532</v>
      </c>
      <c r="I683" s="180">
        <f>(I629/I612)*R78</f>
        <v>4068.5560422116523</v>
      </c>
      <c r="J683" s="180">
        <f>(J630/J612)*R79</f>
        <v>0</v>
      </c>
      <c r="K683" s="180">
        <f>(K644/K612)*R75</f>
        <v>75472.904444972635</v>
      </c>
      <c r="L683" s="180">
        <f>(L647/L612)*R80</f>
        <v>7065.4411034049735</v>
      </c>
      <c r="M683" s="180">
        <f t="shared" si="25"/>
        <v>768358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5269766.42</v>
      </c>
      <c r="D684" s="180">
        <f>(D615/D612)*S76</f>
        <v>0</v>
      </c>
      <c r="E684" s="180">
        <f>(E623/E612)*SUM(C684:D684)</f>
        <v>1061603.9835312108</v>
      </c>
      <c r="F684" s="180">
        <f>(F624/F612)*S64</f>
        <v>680413.41373862943</v>
      </c>
      <c r="G684" s="180">
        <f>(G625/G612)*S77</f>
        <v>0</v>
      </c>
      <c r="H684" s="180">
        <f>(H628/H612)*S60</f>
        <v>48601.308394752174</v>
      </c>
      <c r="I684" s="180">
        <f>(I629/I612)*S78</f>
        <v>34419.048816870993</v>
      </c>
      <c r="J684" s="180">
        <f>(J630/J612)*S79</f>
        <v>0</v>
      </c>
      <c r="K684" s="180">
        <f>(K644/K612)*S75</f>
        <v>513668.84211874806</v>
      </c>
      <c r="L684" s="180">
        <f>(L647/L612)*S80</f>
        <v>34581.165152069058</v>
      </c>
      <c r="M684" s="180">
        <f t="shared" si="25"/>
        <v>2373288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38168.343314072343</v>
      </c>
      <c r="L685" s="180">
        <f>(L647/L612)*T80</f>
        <v>0</v>
      </c>
      <c r="M685" s="180">
        <f t="shared" si="25"/>
        <v>38168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3960054.9299999997</v>
      </c>
      <c r="D686" s="180">
        <f>(D615/D612)*U76</f>
        <v>89248.704787998024</v>
      </c>
      <c r="E686" s="180">
        <f>(E623/E612)*SUM(C686:D686)</f>
        <v>815739.54642535176</v>
      </c>
      <c r="F686" s="180">
        <f>(F624/F612)*U64</f>
        <v>507146.6915413136</v>
      </c>
      <c r="G686" s="180">
        <f>(G625/G612)*U77</f>
        <v>0</v>
      </c>
      <c r="H686" s="180">
        <f>(H628/H612)*U60</f>
        <v>82413.069087911892</v>
      </c>
      <c r="I686" s="180">
        <f>(I629/I612)*U78</f>
        <v>32688.743373631554</v>
      </c>
      <c r="J686" s="180">
        <f>(J630/J612)*P79</f>
        <v>61205.33852152717</v>
      </c>
      <c r="K686" s="180">
        <f>(K644/K612)*U75</f>
        <v>336665.60954390944</v>
      </c>
      <c r="L686" s="180">
        <f>(L647/L612)*U80</f>
        <v>74472.382313529422</v>
      </c>
      <c r="M686" s="180">
        <f t="shared" si="25"/>
        <v>1999580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7177.8519488120719</v>
      </c>
      <c r="L687" s="180">
        <f>(L647/L612)*V80</f>
        <v>0</v>
      </c>
      <c r="M687" s="180">
        <f t="shared" si="25"/>
        <v>7178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304912.74</v>
      </c>
      <c r="D688" s="180">
        <f>(D615/D612)*W76</f>
        <v>28694.564440639759</v>
      </c>
      <c r="E688" s="180">
        <f>(E623/E612)*SUM(C688:D688)</f>
        <v>67205.795305305495</v>
      </c>
      <c r="F688" s="180">
        <f>(F624/F612)*W64</f>
        <v>594.5300697681505</v>
      </c>
      <c r="G688" s="180">
        <f>(G625/G612)*W77</f>
        <v>0</v>
      </c>
      <c r="H688" s="180">
        <f>(H628/H612)*W60</f>
        <v>6025.9111622622195</v>
      </c>
      <c r="I688" s="180">
        <f>(I629/I612)*W78</f>
        <v>10522.127695374964</v>
      </c>
      <c r="J688" s="180">
        <f>(J630/J612)*W79</f>
        <v>3156.0970723111227</v>
      </c>
      <c r="K688" s="180">
        <f>(K644/K612)*W75</f>
        <v>13419.957264431825</v>
      </c>
      <c r="L688" s="180">
        <f>(L647/L612)*W80</f>
        <v>5134.5130999899484</v>
      </c>
      <c r="M688" s="180">
        <f t="shared" si="25"/>
        <v>134753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972324.91999999993</v>
      </c>
      <c r="D689" s="180">
        <f>(D615/D612)*X76</f>
        <v>30882.523759549607</v>
      </c>
      <c r="E689" s="180">
        <f>(E623/E612)*SUM(C689:D689)</f>
        <v>202097.9553403623</v>
      </c>
      <c r="F689" s="180">
        <f>(F624/F612)*X64</f>
        <v>23409.879158141328</v>
      </c>
      <c r="G689" s="180">
        <f>(G625/G612)*X77</f>
        <v>0</v>
      </c>
      <c r="H689" s="180">
        <f>(H628/H612)*X60</f>
        <v>18477.938799274612</v>
      </c>
      <c r="I689" s="180">
        <f>(I629/I612)*X78</f>
        <v>71316.643268652522</v>
      </c>
      <c r="J689" s="180">
        <f>(J630/J612)*X79</f>
        <v>4741.3659627246407</v>
      </c>
      <c r="K689" s="180">
        <f>(K644/K612)*X75</f>
        <v>325909.00168820645</v>
      </c>
      <c r="L689" s="180">
        <f>(L647/L612)*X80</f>
        <v>23083.366586279601</v>
      </c>
      <c r="M689" s="180">
        <f t="shared" si="25"/>
        <v>699919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5872155.0300000012</v>
      </c>
      <c r="D690" s="180">
        <f>(D615/D612)*Y76</f>
        <v>631213.41611540725</v>
      </c>
      <c r="E690" s="180">
        <f>(E623/E612)*SUM(C690:D690)</f>
        <v>1310115.3444989498</v>
      </c>
      <c r="F690" s="180">
        <f>(F624/F612)*Y64</f>
        <v>105682.96406088039</v>
      </c>
      <c r="G690" s="180">
        <f>(G625/G612)*Y77</f>
        <v>0</v>
      </c>
      <c r="H690" s="180">
        <f>(H628/H612)*Y60</f>
        <v>129796.4169422424</v>
      </c>
      <c r="I690" s="180">
        <f>(I629/I612)*Y78</f>
        <v>167605.8029343283</v>
      </c>
      <c r="J690" s="180">
        <f>(J630/J612)*Y79</f>
        <v>27791.945800458034</v>
      </c>
      <c r="K690" s="180">
        <f>(K644/K612)*Y75</f>
        <v>136723.28189339448</v>
      </c>
      <c r="L690" s="180">
        <f>(L647/L612)*Y80</f>
        <v>96019.783442547079</v>
      </c>
      <c r="M690" s="180">
        <f t="shared" si="25"/>
        <v>2604949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1720319.9999999998</v>
      </c>
      <c r="D691" s="180">
        <f>(D615/D612)*Z76</f>
        <v>11839.113900448718</v>
      </c>
      <c r="E691" s="180">
        <f>(E623/E612)*SUM(C691:D691)</f>
        <v>348946.58868516004</v>
      </c>
      <c r="F691" s="180">
        <f>(F624/F612)*Z64</f>
        <v>84763.067955990104</v>
      </c>
      <c r="G691" s="180">
        <f>(G625/G612)*Z77</f>
        <v>0</v>
      </c>
      <c r="H691" s="180">
        <f>(H628/H612)*Z60</f>
        <v>27603.856177979986</v>
      </c>
      <c r="I691" s="180">
        <f>(I629/I612)*Z78</f>
        <v>59999.510369627016</v>
      </c>
      <c r="J691" s="180">
        <f>(J630/J612)*Z79</f>
        <v>0</v>
      </c>
      <c r="K691" s="180">
        <f>(K644/K612)*Z75</f>
        <v>106517.91744433469</v>
      </c>
      <c r="L691" s="180">
        <f>(L647/L612)*Z80</f>
        <v>24312.138952089161</v>
      </c>
      <c r="M691" s="180">
        <f t="shared" si="25"/>
        <v>663982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678329.70000000007</v>
      </c>
      <c r="D692" s="180">
        <f>(D615/D612)*AA76</f>
        <v>163731.04223862319</v>
      </c>
      <c r="E692" s="180">
        <f>(E623/E612)*SUM(C692:D692)</f>
        <v>169634.66064512412</v>
      </c>
      <c r="F692" s="180">
        <f>(F624/F612)*AA64</f>
        <v>29570.30028392504</v>
      </c>
      <c r="G692" s="180">
        <f>(G625/G612)*AA77</f>
        <v>0</v>
      </c>
      <c r="H692" s="180">
        <f>(H628/H612)*AA60</f>
        <v>7339.6845100573755</v>
      </c>
      <c r="I692" s="180">
        <f>(I629/I612)*AA78</f>
        <v>4349.1461140883184</v>
      </c>
      <c r="J692" s="180">
        <f>(J630/J612)*AA79</f>
        <v>933.83248402901552</v>
      </c>
      <c r="K692" s="180">
        <f>(K644/K612)*AA75</f>
        <v>10015.089642266506</v>
      </c>
      <c r="L692" s="180">
        <f>(L647/L612)*AA80</f>
        <v>4958.974190588583</v>
      </c>
      <c r="M692" s="180">
        <f t="shared" si="25"/>
        <v>390533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4254934.959999999</v>
      </c>
      <c r="D693" s="180">
        <f>(D615/D612)*AB76</f>
        <v>40902.837524522794</v>
      </c>
      <c r="E693" s="180">
        <f>(E623/E612)*SUM(C693:D693)</f>
        <v>865404.29973288567</v>
      </c>
      <c r="F693" s="180">
        <f>(F624/F612)*AB64</f>
        <v>939069.90748705878</v>
      </c>
      <c r="G693" s="180">
        <f>(G625/G612)*AB77</f>
        <v>0</v>
      </c>
      <c r="H693" s="180">
        <f>(H628/H612)*AB60</f>
        <v>24712.343058121442</v>
      </c>
      <c r="I693" s="180">
        <f>(I629/I612)*AB78</f>
        <v>15011.568845401614</v>
      </c>
      <c r="J693" s="180">
        <f>(J630/J612)*AB79</f>
        <v>8560.1311035993094</v>
      </c>
      <c r="K693" s="180">
        <f>(K644/K612)*AB75</f>
        <v>52433.7404410944</v>
      </c>
      <c r="L693" s="180">
        <f>(L647/L612)*AB80</f>
        <v>47702.698629821149</v>
      </c>
      <c r="M693" s="180">
        <f t="shared" si="25"/>
        <v>1993798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1709589.7900000003</v>
      </c>
      <c r="D694" s="180">
        <f>(D615/D612)*AC76</f>
        <v>55325.089957866119</v>
      </c>
      <c r="E694" s="180">
        <f>(E623/E612)*SUM(C694:D694)</f>
        <v>355545.29704502155</v>
      </c>
      <c r="F694" s="180">
        <f>(F624/F612)*AC64</f>
        <v>89401.398284242852</v>
      </c>
      <c r="G694" s="180">
        <f>(G625/G612)*AC77</f>
        <v>0</v>
      </c>
      <c r="H694" s="180">
        <f>(H628/H612)*AC60</f>
        <v>47626.157616903663</v>
      </c>
      <c r="I694" s="180">
        <f>(I629/I612)*AC78</f>
        <v>50459.447925820379</v>
      </c>
      <c r="J694" s="180">
        <f>(J630/J612)*AC79</f>
        <v>1916.6029246952905</v>
      </c>
      <c r="K694" s="180">
        <f>(K644/K612)*AC75</f>
        <v>27983.435581308906</v>
      </c>
      <c r="L694" s="180">
        <f>(L647/L612)*AC80</f>
        <v>44191.920441793838</v>
      </c>
      <c r="M694" s="180">
        <f t="shared" si="25"/>
        <v>672449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8330</v>
      </c>
      <c r="D695" s="180">
        <f>(D615/D612)*AD76</f>
        <v>0</v>
      </c>
      <c r="E695" s="180">
        <f>(E623/E612)*SUM(C695:D695)</f>
        <v>1678.0935772130458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5"/>
        <v>1678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885704.29</v>
      </c>
      <c r="D696" s="180">
        <f>(D615/D612)*AE76</f>
        <v>137012.04861752535</v>
      </c>
      <c r="E696" s="180">
        <f>(E623/E612)*SUM(C696:D696)</f>
        <v>206028.05752039759</v>
      </c>
      <c r="F696" s="180">
        <f>(F624/F612)*AE64</f>
        <v>7957.3149798324339</v>
      </c>
      <c r="G696" s="180">
        <f>(G625/G612)*AE77</f>
        <v>0</v>
      </c>
      <c r="H696" s="180">
        <f>(H628/H612)*AE60</f>
        <v>35832.242949277876</v>
      </c>
      <c r="I696" s="180">
        <f>(I629/I612)*AE78</f>
        <v>50225.622865923156</v>
      </c>
      <c r="J696" s="180">
        <f>(J630/J612)*AE79</f>
        <v>4153.3082214933111</v>
      </c>
      <c r="K696" s="180">
        <f>(K644/K612)*AE75</f>
        <v>10078.818861019085</v>
      </c>
      <c r="L696" s="180">
        <f>(L647/L612)*AE80</f>
        <v>30192.692417034916</v>
      </c>
      <c r="M696" s="180">
        <f t="shared" si="25"/>
        <v>481480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5291460.67</v>
      </c>
      <c r="D698" s="180">
        <f>(D615/D612)*AG76</f>
        <v>210967.48044950419</v>
      </c>
      <c r="E698" s="180">
        <f>(E623/E612)*SUM(C698:D698)</f>
        <v>1108474.1102455668</v>
      </c>
      <c r="F698" s="180">
        <f>(F624/F612)*AG64</f>
        <v>140777.15286536375</v>
      </c>
      <c r="G698" s="180">
        <f>(G625/G612)*AG77</f>
        <v>0</v>
      </c>
      <c r="H698" s="180">
        <f>(H628/H612)*AG60</f>
        <v>99888.001166102564</v>
      </c>
      <c r="I698" s="180">
        <f>(I629/I612)*AG78</f>
        <v>50646.50797373816</v>
      </c>
      <c r="J698" s="180">
        <f>(J630/J612)*AG79</f>
        <v>35141.46417347333</v>
      </c>
      <c r="K698" s="180">
        <f>(K644/K612)*AG75</f>
        <v>125392.28044330957</v>
      </c>
      <c r="L698" s="180">
        <f>(L647/L612)*AG80</f>
        <v>70566.641579349031</v>
      </c>
      <c r="M698" s="180">
        <f t="shared" si="25"/>
        <v>1841854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2564069.77</v>
      </c>
      <c r="D700" s="180">
        <f>(D615/D612)*AI76</f>
        <v>0</v>
      </c>
      <c r="E700" s="180">
        <f>(E623/E612)*SUM(C700:D700)</f>
        <v>516536.49610601825</v>
      </c>
      <c r="F700" s="180">
        <f>(F624/F612)*AI64</f>
        <v>125812.71612279736</v>
      </c>
      <c r="G700" s="180">
        <f>(G625/G612)*AI77</f>
        <v>0</v>
      </c>
      <c r="H700" s="180">
        <f>(H628/H612)*AI60</f>
        <v>75478.151938265917</v>
      </c>
      <c r="I700" s="180">
        <f>(I629/I612)*AI78</f>
        <v>59344.80020191479</v>
      </c>
      <c r="J700" s="180">
        <f>(J630/J612)*AI79</f>
        <v>24935.092299059994</v>
      </c>
      <c r="K700" s="180">
        <f>(K644/K612)*AI75</f>
        <v>24174.220013630595</v>
      </c>
      <c r="L700" s="180">
        <f>(L647/L612)*AI80</f>
        <v>72760.877946866109</v>
      </c>
      <c r="M700" s="180">
        <f t="shared" si="25"/>
        <v>899042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2984985.3400000003</v>
      </c>
      <c r="D701" s="180">
        <f>(D615/D612)*AJ76</f>
        <v>0</v>
      </c>
      <c r="E701" s="180">
        <f>(E623/E612)*SUM(C701:D701)</f>
        <v>601330.69953530619</v>
      </c>
      <c r="F701" s="180">
        <f>(F624/F612)*AJ64</f>
        <v>7927.9264669766635</v>
      </c>
      <c r="G701" s="180">
        <f>(G625/G612)*AJ77</f>
        <v>0</v>
      </c>
      <c r="H701" s="180">
        <f>(H628/H612)*AJ60</f>
        <v>5491.4930846194329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5"/>
        <v>614750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125082.45</v>
      </c>
      <c r="D702" s="180">
        <f>(D615/D612)*AK76</f>
        <v>0</v>
      </c>
      <c r="E702" s="180">
        <f>(E623/E612)*SUM(C702:D702)</f>
        <v>25198.085950428806</v>
      </c>
      <c r="F702" s="180">
        <f>(F624/F612)*AK64</f>
        <v>536.03343987292362</v>
      </c>
      <c r="G702" s="180">
        <f>(G625/G612)*AK77</f>
        <v>0</v>
      </c>
      <c r="H702" s="180">
        <f>(H628/H612)*AK60</f>
        <v>3740.5049760883608</v>
      </c>
      <c r="I702" s="180">
        <f>(I629/I612)*AK78</f>
        <v>0</v>
      </c>
      <c r="J702" s="180">
        <f>(J630/J612)*AK79</f>
        <v>0</v>
      </c>
      <c r="K702" s="180">
        <f>(K644/K612)*AK75</f>
        <v>2837.9136094109003</v>
      </c>
      <c r="L702" s="180">
        <f>(L647/L612)*AK80</f>
        <v>2940.276732472877</v>
      </c>
      <c r="M702" s="180">
        <f t="shared" si="25"/>
        <v>35253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50145</v>
      </c>
      <c r="D703" s="180">
        <f>(D615/D612)*AL76</f>
        <v>0</v>
      </c>
      <c r="E703" s="180">
        <f>(E623/E612)*SUM(C703:D703)</f>
        <v>10101.801011926553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5"/>
        <v>10102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20669</v>
      </c>
      <c r="D704" s="180">
        <f>(D615/D612)*AM76</f>
        <v>0</v>
      </c>
      <c r="E704" s="180">
        <f>(E623/E612)*SUM(C704:D704)</f>
        <v>4163.807460674243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4164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1217444</v>
      </c>
      <c r="D705" s="180">
        <f>(D615/D612)*AN76</f>
        <v>0</v>
      </c>
      <c r="E705" s="180">
        <f>(E623/E612)*SUM(C705:D705)</f>
        <v>245256.29736093149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4.2915298823285061E-4</v>
      </c>
      <c r="L705" s="180">
        <f>(L647/L612)*AN80</f>
        <v>0</v>
      </c>
      <c r="M705" s="180">
        <f t="shared" si="25"/>
        <v>245256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5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5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5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3052800.44</v>
      </c>
      <c r="D713" s="180">
        <f>(D615/D612)*AV76</f>
        <v>71261.38291886299</v>
      </c>
      <c r="E713" s="180">
        <f>(E623/E612)*SUM(C713:D713)</f>
        <v>629347.9087462934</v>
      </c>
      <c r="F713" s="180">
        <f>(F624/F612)*AV64</f>
        <v>91891.180513463303</v>
      </c>
      <c r="G713" s="180">
        <f>(G625/G612)*AV77</f>
        <v>0</v>
      </c>
      <c r="H713" s="180">
        <f>(H628/H612)*AV60</f>
        <v>104866.67400837975</v>
      </c>
      <c r="I713" s="180">
        <f>(I629/I612)*AV78</f>
        <v>535927.03728443151</v>
      </c>
      <c r="J713" s="180">
        <f>(J630/J612)*AV79</f>
        <v>1026.0925662140128</v>
      </c>
      <c r="K713" s="180">
        <f>(K644/K612)*AV75</f>
        <v>183600.05976458287</v>
      </c>
      <c r="L713" s="180">
        <f>(L647/L612)*AV80</f>
        <v>577128.04938434029</v>
      </c>
      <c r="M713" s="180">
        <f t="shared" si="25"/>
        <v>2195048</v>
      </c>
      <c r="N713" s="199" t="s">
        <v>741</v>
      </c>
    </row>
    <row r="715" spans="1:83" ht="12.65" customHeight="1">
      <c r="C715" s="180">
        <f>SUM(C614:C647)+SUM(C668:C713)</f>
        <v>114127082.55000001</v>
      </c>
      <c r="D715" s="180">
        <f>SUM(D616:D647)+SUM(D668:D713)</f>
        <v>5331900.74</v>
      </c>
      <c r="E715" s="180">
        <f>SUM(E624:E647)+SUM(E668:E713)</f>
        <v>19136104.467415415</v>
      </c>
      <c r="F715" s="180">
        <f>SUM(F625:F648)+SUM(F668:F713)</f>
        <v>6305916.8097590515</v>
      </c>
      <c r="G715" s="180">
        <f>SUM(G626:G647)+SUM(G668:G713)</f>
        <v>2428374.091059091</v>
      </c>
      <c r="H715" s="180">
        <f>SUM(H629:H647)+SUM(H668:H713)</f>
        <v>1595155.7881374029</v>
      </c>
      <c r="I715" s="180">
        <f>SUM(I630:I647)+SUM(I668:I713)</f>
        <v>1852081.5344339113</v>
      </c>
      <c r="J715" s="180" t="e">
        <f>SUM(J631:J647)+SUM(J668:J713)</f>
        <v>#REF!</v>
      </c>
      <c r="K715" s="180">
        <f>SUM(K668:K713)</f>
        <v>6432623.9416807173</v>
      </c>
      <c r="L715" s="180">
        <f>SUM(L668:L713)</f>
        <v>1609252.9519370208</v>
      </c>
      <c r="M715" s="180" t="e">
        <f>SUM(M668:M713)</f>
        <v>#REF!</v>
      </c>
      <c r="N715" s="198" t="s">
        <v>742</v>
      </c>
    </row>
    <row r="716" spans="1:83" ht="12.65" customHeight="1">
      <c r="C716" s="180">
        <f>CE71</f>
        <v>114127082.55000001</v>
      </c>
      <c r="D716" s="180">
        <f>D615</f>
        <v>5331900.74</v>
      </c>
      <c r="E716" s="180">
        <f>E623</f>
        <v>19136104.467415415</v>
      </c>
      <c r="F716" s="180">
        <f>F624</f>
        <v>6305916.8097590515</v>
      </c>
      <c r="G716" s="180">
        <f>G625</f>
        <v>2428374.091059091</v>
      </c>
      <c r="H716" s="180">
        <f>H628</f>
        <v>1595155.7881374038</v>
      </c>
      <c r="I716" s="180">
        <f>I629</f>
        <v>1852081.5344339113</v>
      </c>
      <c r="J716" s="180">
        <f>J630</f>
        <v>367895.50145931076</v>
      </c>
      <c r="K716" s="180">
        <f>K644</f>
        <v>6432623.9416807173</v>
      </c>
      <c r="L716" s="180">
        <f>L647</f>
        <v>1609252.9519370205</v>
      </c>
      <c r="M716" s="180">
        <f>C648</f>
        <v>38918412.739999995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str">
        <f>RIGHT(C83,3)&amp;"*"&amp;RIGHT(C82,4)&amp;"*"&amp;"A"</f>
        <v>197*2021*A</v>
      </c>
      <c r="B722" s="273">
        <f>ROUND(C165,0)</f>
        <v>2834219</v>
      </c>
      <c r="C722" s="273">
        <f>ROUND(C166,0)</f>
        <v>138664</v>
      </c>
      <c r="D722" s="273">
        <f>ROUND(C167,0)</f>
        <v>135943</v>
      </c>
      <c r="E722" s="273">
        <f>ROUND(C168,0)</f>
        <v>2673468</v>
      </c>
      <c r="F722" s="273">
        <f>ROUND(C169,0)</f>
        <v>14031</v>
      </c>
      <c r="G722" s="273">
        <f>ROUND(C170,0)</f>
        <v>0</v>
      </c>
      <c r="H722" s="273">
        <f>ROUND(C171+C172,0)</f>
        <v>908305</v>
      </c>
      <c r="I722" s="273">
        <f>ROUND(C175,0)</f>
        <v>8828029</v>
      </c>
      <c r="J722" s="273">
        <f>ROUND(C176,0)</f>
        <v>2480724</v>
      </c>
      <c r="K722" s="273">
        <f>ROUND(C179,0)</f>
        <v>125963</v>
      </c>
      <c r="L722" s="273">
        <f>ROUND(C180,0)</f>
        <v>25330</v>
      </c>
      <c r="M722" s="273">
        <f>ROUND(C183,0)</f>
        <v>141081</v>
      </c>
      <c r="N722" s="273">
        <f>ROUND(C184,0)</f>
        <v>2184476</v>
      </c>
      <c r="O722" s="273">
        <f>ROUND(C185,0)</f>
        <v>976371</v>
      </c>
      <c r="P722" s="273">
        <f>ROUND(C188,0)</f>
        <v>0</v>
      </c>
      <c r="Q722" s="273">
        <f>ROUND(C189,0)</f>
        <v>2513722</v>
      </c>
      <c r="R722" s="273">
        <f>ROUND(B195,0)</f>
        <v>3160000</v>
      </c>
      <c r="S722" s="273">
        <f>ROUND(C195,0)</f>
        <v>2014183</v>
      </c>
      <c r="T722" s="273">
        <f>ROUND(D195,0)</f>
        <v>0</v>
      </c>
      <c r="U722" s="273">
        <f>ROUND(B196,0)</f>
        <v>710000</v>
      </c>
      <c r="V722" s="273">
        <f>ROUND(C196,0)</f>
        <v>0</v>
      </c>
      <c r="W722" s="273">
        <f>ROUND(D196,0)</f>
        <v>710000</v>
      </c>
      <c r="X722" s="273">
        <f>ROUND(B197,0)</f>
        <v>38437221</v>
      </c>
      <c r="Y722" s="273">
        <f>ROUND(C197,0)</f>
        <v>112105455</v>
      </c>
      <c r="Z722" s="273">
        <f>ROUND(D197,0)</f>
        <v>0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21106338</v>
      </c>
      <c r="AE722" s="273">
        <f>ROUND(C199,0)</f>
        <v>0</v>
      </c>
      <c r="AF722" s="273">
        <f>ROUND(D199,0)</f>
        <v>19636290</v>
      </c>
      <c r="AG722" s="273">
        <f>ROUND(B200,0)</f>
        <v>13488264</v>
      </c>
      <c r="AH722" s="273">
        <f>ROUND(C200,0)</f>
        <v>0</v>
      </c>
      <c r="AI722" s="273">
        <f>ROUND(D200,0)</f>
        <v>1209691</v>
      </c>
      <c r="AJ722" s="273">
        <f>ROUND(B201,0)</f>
        <v>7501032</v>
      </c>
      <c r="AK722" s="273">
        <f>ROUND(C201,0)</f>
        <v>0</v>
      </c>
      <c r="AL722" s="273">
        <f>ROUND(D201,0)</f>
        <v>7501032</v>
      </c>
      <c r="AM722" s="273">
        <f>ROUND(B202,0)</f>
        <v>4521546</v>
      </c>
      <c r="AN722" s="273">
        <f>ROUND(C202,0)</f>
        <v>0</v>
      </c>
      <c r="AO722" s="273">
        <f>ROUND(D202,0)</f>
        <v>3228691</v>
      </c>
      <c r="AP722" s="273">
        <f>ROUND(B203,0)</f>
        <v>716299</v>
      </c>
      <c r="AQ722" s="273">
        <f>ROUND(C203,0)</f>
        <v>0</v>
      </c>
      <c r="AR722" s="273">
        <f>ROUND(D203,0)</f>
        <v>716299</v>
      </c>
      <c r="AS722" s="273"/>
      <c r="AT722" s="273"/>
      <c r="AU722" s="273"/>
      <c r="AV722" s="273">
        <f>ROUND(B209,0)</f>
        <v>414166</v>
      </c>
      <c r="AW722" s="273">
        <f>ROUND(C209,0)</f>
        <v>0</v>
      </c>
      <c r="AX722" s="273">
        <f>ROUND(D209,0)</f>
        <v>414166</v>
      </c>
      <c r="AY722" s="273">
        <f>ROUND(B210,0)</f>
        <v>7719190</v>
      </c>
      <c r="AZ722" s="273">
        <f>ROUND(C210,0)</f>
        <v>0</v>
      </c>
      <c r="BA722" s="273">
        <f>ROUND(D210,0)</f>
        <v>6994824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3539791</v>
      </c>
      <c r="BF722" s="273">
        <f>ROUND(C212,0)</f>
        <v>0</v>
      </c>
      <c r="BG722" s="273">
        <f>ROUND(D212,0)</f>
        <v>3433558</v>
      </c>
      <c r="BH722" s="273">
        <f>ROUND(B213,0)</f>
        <v>7763943</v>
      </c>
      <c r="BI722" s="273">
        <f>ROUND(C213,0)</f>
        <v>0</v>
      </c>
      <c r="BJ722" s="273">
        <f>ROUND(D213,0)</f>
        <v>6189515</v>
      </c>
      <c r="BK722" s="273">
        <f>ROUND(B214,0)</f>
        <v>3130334</v>
      </c>
      <c r="BL722" s="273">
        <f>ROUND(C214,0)</f>
        <v>0</v>
      </c>
      <c r="BM722" s="273">
        <f>ROUND(D214,0)</f>
        <v>3130334</v>
      </c>
      <c r="BN722" s="273">
        <f>ROUND(B215,0)</f>
        <v>1553082</v>
      </c>
      <c r="BO722" s="273">
        <f>ROUND(C215,0)</f>
        <v>0</v>
      </c>
      <c r="BP722" s="273">
        <f>ROUND(D215,0)</f>
        <v>1423796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170423052</v>
      </c>
      <c r="BU722" s="273">
        <f>ROUND(C224,0)</f>
        <v>4846566</v>
      </c>
      <c r="BV722" s="273">
        <f>ROUND(C225,0)</f>
        <v>5167929</v>
      </c>
      <c r="BW722" s="273">
        <f>ROUND(C226,0)</f>
        <v>15820984</v>
      </c>
      <c r="BX722" s="273">
        <f>ROUND(C227,0)</f>
        <v>0</v>
      </c>
      <c r="BY722" s="273">
        <f>ROUND(C228,0)</f>
        <v>297296787</v>
      </c>
      <c r="BZ722" s="273">
        <f>ROUND(C231,0)</f>
        <v>5</v>
      </c>
      <c r="CA722" s="273">
        <f>ROUND(C233,0)</f>
        <v>900508</v>
      </c>
      <c r="CB722" s="273">
        <f>ROUND(C234,0)</f>
        <v>1438550</v>
      </c>
      <c r="CC722" s="273">
        <f>ROUND(C238+C239,0)</f>
        <v>0</v>
      </c>
      <c r="CD722" s="273">
        <f>D221</f>
        <v>4902043.6500000004</v>
      </c>
      <c r="CE722" s="273"/>
    </row>
    <row r="723" spans="1:84" ht="12.65" customHeight="1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str">
        <f>RIGHT(C83,3)&amp;"*"&amp;RIGHT(C82,4)&amp;"*"&amp;"A"</f>
        <v>197*2021*A</v>
      </c>
      <c r="B726" s="273">
        <f>ROUND(C111,0)</f>
        <v>3684</v>
      </c>
      <c r="C726" s="273">
        <f>ROUND(C112,0)</f>
        <v>0</v>
      </c>
      <c r="D726" s="273">
        <f>ROUND(C113,0)</f>
        <v>0</v>
      </c>
      <c r="E726" s="273">
        <f>ROUND(C114,0)</f>
        <v>629</v>
      </c>
      <c r="F726" s="273">
        <f>ROUND(D111,0)</f>
        <v>16715</v>
      </c>
      <c r="G726" s="273">
        <f>ROUND(D112,0)</f>
        <v>0</v>
      </c>
      <c r="H726" s="273">
        <f>ROUND(D113,0)</f>
        <v>0</v>
      </c>
      <c r="I726" s="273">
        <f>ROUND(D114,0)</f>
        <v>878</v>
      </c>
      <c r="J726" s="273">
        <f>ROUND(C116,0)</f>
        <v>10</v>
      </c>
      <c r="K726" s="273">
        <f>ROUND(C117,0)</f>
        <v>22</v>
      </c>
      <c r="L726" s="273">
        <f>ROUND(C118,0)</f>
        <v>41</v>
      </c>
      <c r="M726" s="273">
        <f>ROUND(C119,0)</f>
        <v>0</v>
      </c>
      <c r="N726" s="273">
        <f>ROUND(C120,0)</f>
        <v>15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107</v>
      </c>
      <c r="W726" s="273">
        <f>ROUND(C129,0)</f>
        <v>7</v>
      </c>
      <c r="X726" s="273">
        <f>ROUND(B138,0)</f>
        <v>1228</v>
      </c>
      <c r="Y726" s="273">
        <f>ROUND(B139,0)</f>
        <v>6791</v>
      </c>
      <c r="Z726" s="273">
        <f>ROUND(B140,0)</f>
        <v>9364</v>
      </c>
      <c r="AA726" s="273">
        <f>ROUND(B141,0)</f>
        <v>95081139</v>
      </c>
      <c r="AB726" s="273">
        <f>ROUND(B142,0)</f>
        <v>112745713</v>
      </c>
      <c r="AC726" s="273">
        <f>ROUND(C138,0)</f>
        <v>101</v>
      </c>
      <c r="AD726" s="273">
        <f>ROUND(C139,0)</f>
        <v>334</v>
      </c>
      <c r="AE726" s="273">
        <f>ROUND(C140,0)</f>
        <v>385</v>
      </c>
      <c r="AF726" s="273">
        <f>ROUND(C141,0)</f>
        <v>4502912</v>
      </c>
      <c r="AG726" s="273">
        <f>ROUND(C142,0)</f>
        <v>4983576</v>
      </c>
      <c r="AH726" s="273">
        <f>ROUND(D138,0)</f>
        <v>2355</v>
      </c>
      <c r="AI726" s="273">
        <f>ROUND(D139,0)</f>
        <v>9590</v>
      </c>
      <c r="AJ726" s="273">
        <f>ROUND(D140,0)</f>
        <v>19792</v>
      </c>
      <c r="AK726" s="273">
        <f>ROUND(D141,0)</f>
        <v>143987746</v>
      </c>
      <c r="AL726" s="273">
        <f>ROUND(D142,0)</f>
        <v>238263557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str">
        <f>RIGHT(C83,3)&amp;"*"&amp;RIGHT(C82,4)&amp;"*"&amp;"A"</f>
        <v>197*2021*A</v>
      </c>
      <c r="B730" s="273">
        <f>ROUND(C250,0)</f>
        <v>2881402</v>
      </c>
      <c r="C730" s="273">
        <f>ROUND(C251,0)</f>
        <v>0</v>
      </c>
      <c r="D730" s="273">
        <f>ROUND(C252,0)</f>
        <v>29162693</v>
      </c>
      <c r="E730" s="273">
        <f>ROUND(C253,0)</f>
        <v>7900653</v>
      </c>
      <c r="F730" s="273">
        <f>ROUND(C254,0)</f>
        <v>0</v>
      </c>
      <c r="G730" s="273">
        <f>ROUND(C255,0)</f>
        <v>1297975</v>
      </c>
      <c r="H730" s="273">
        <f>ROUND(C256,0)</f>
        <v>0</v>
      </c>
      <c r="I730" s="273">
        <f>ROUND(C257,0)</f>
        <v>3541588</v>
      </c>
      <c r="J730" s="273">
        <f>ROUND(C258,0)</f>
        <v>437796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5174183</v>
      </c>
      <c r="P730" s="273">
        <f>ROUND(C268,0)</f>
        <v>0</v>
      </c>
      <c r="Q730" s="273">
        <f>ROUND(C269,0)</f>
        <v>150542676</v>
      </c>
      <c r="R730" s="273">
        <f>ROUND(C270,0)</f>
        <v>0</v>
      </c>
      <c r="S730" s="273">
        <f>ROUND(C271,0)</f>
        <v>1470048</v>
      </c>
      <c r="T730" s="273">
        <f>ROUND(C272,0)</f>
        <v>12278573</v>
      </c>
      <c r="U730" s="273">
        <f>ROUND(C273,0)</f>
        <v>1292856</v>
      </c>
      <c r="V730" s="273">
        <f>ROUND(C274,0)</f>
        <v>0</v>
      </c>
      <c r="W730" s="273">
        <f>ROUND(C275,0)</f>
        <v>0</v>
      </c>
      <c r="X730" s="273">
        <f>ROUND(C276,0)</f>
        <v>2534312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10573252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1250519</v>
      </c>
      <c r="AI730" s="273">
        <f>ROUND(C306,0)</f>
        <v>251378</v>
      </c>
      <c r="AJ730" s="273">
        <f>ROUND(C307,0)</f>
        <v>0</v>
      </c>
      <c r="AK730" s="273">
        <f>ROUND(C308,0)</f>
        <v>0</v>
      </c>
      <c r="AL730" s="273">
        <f>ROUND(C309,0)</f>
        <v>112500</v>
      </c>
      <c r="AM730" s="273">
        <f>ROUND(C310,0)</f>
        <v>0</v>
      </c>
      <c r="AN730" s="273">
        <f>ROUND(C311,0)</f>
        <v>0</v>
      </c>
      <c r="AO730" s="273">
        <f>ROUND(C312,0)</f>
        <v>251198</v>
      </c>
      <c r="AP730" s="273">
        <f>ROUND(C313,0)</f>
        <v>235985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0</v>
      </c>
      <c r="AX730" s="273">
        <f>ROUND(C325,0)</f>
        <v>0</v>
      </c>
      <c r="AY730" s="273">
        <f>ROUND(C326,0)</f>
        <v>220155140</v>
      </c>
      <c r="AZ730" s="273">
        <f>ROUND(C327,0)</f>
        <v>0</v>
      </c>
      <c r="BA730" s="273">
        <f>ROUND(C328,0)</f>
        <v>0</v>
      </c>
      <c r="BB730" s="273">
        <f>ROUND(C332,0)</f>
        <v>-13802659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800.35</v>
      </c>
      <c r="BJ730" s="273">
        <f>ROUND(C359,0)</f>
        <v>243571796</v>
      </c>
      <c r="BK730" s="273">
        <f>ROUND(C360,0)</f>
        <v>355992846</v>
      </c>
      <c r="BL730" s="273">
        <f>ROUND(C364,0)</f>
        <v>493095979</v>
      </c>
      <c r="BM730" s="273">
        <f>ROUND(C365,0)</f>
        <v>2793041</v>
      </c>
      <c r="BN730" s="273">
        <f>ROUND(C366,0)</f>
        <v>5356</v>
      </c>
      <c r="BO730" s="273">
        <f>ROUND(C370,0)</f>
        <v>10079234</v>
      </c>
      <c r="BP730" s="273">
        <f>ROUND(C371,0)</f>
        <v>0</v>
      </c>
      <c r="BQ730" s="273">
        <f>ROUND(C378,0)</f>
        <v>44946487</v>
      </c>
      <c r="BR730" s="273">
        <f>ROUND(C379,0)</f>
        <v>6704635</v>
      </c>
      <c r="BS730" s="273">
        <f>ROUND(C380,0)</f>
        <v>5190752</v>
      </c>
      <c r="BT730" s="273">
        <f>ROUND(C381,0)</f>
        <v>21385902</v>
      </c>
      <c r="BU730" s="273">
        <f>ROUND(C382,0)</f>
        <v>1043833</v>
      </c>
      <c r="BV730" s="273">
        <f>ROUND(C383,0)</f>
        <v>18434721</v>
      </c>
      <c r="BW730" s="273">
        <f>ROUND(C384,0)</f>
        <v>4947738</v>
      </c>
      <c r="BX730" s="273">
        <f>ROUND(C385,0)</f>
        <v>11308756</v>
      </c>
      <c r="BY730" s="273">
        <f>ROUND(C386,0)</f>
        <v>151294</v>
      </c>
      <c r="BZ730" s="273">
        <f>ROUND(C387,0)</f>
        <v>3301929</v>
      </c>
      <c r="CA730" s="273">
        <f>ROUND(C388,0)</f>
        <v>2513722</v>
      </c>
      <c r="CB730" s="273">
        <f>C363</f>
        <v>4902043.6500000004</v>
      </c>
      <c r="CC730" s="273">
        <f>ROUND(C389,0)</f>
        <v>4228162</v>
      </c>
      <c r="CD730" s="273">
        <f>ROUND(C392,0)</f>
        <v>0</v>
      </c>
      <c r="CE730" s="273">
        <f>ROUND(C394,0)</f>
        <v>0</v>
      </c>
      <c r="CF730" s="201">
        <f>ROUND(C395,0)</f>
        <v>0</v>
      </c>
    </row>
    <row r="731" spans="1:84" ht="12.65" customHeight="1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str">
        <f>RIGHT($C$83,3)&amp;"*"&amp;RIGHT($C$82,4)&amp;"*"&amp;C$55&amp;"*"&amp;"A"</f>
        <v>197*2021*6010*A</v>
      </c>
      <c r="B734" s="273">
        <f>ROUND(C59,0)</f>
        <v>6723</v>
      </c>
      <c r="C734" s="273">
        <f>ROUND(C60,2)</f>
        <v>97.42</v>
      </c>
      <c r="D734" s="273">
        <f>ROUND(C61,0)</f>
        <v>6548203</v>
      </c>
      <c r="E734" s="273">
        <f>ROUND(C62,0)</f>
        <v>695713</v>
      </c>
      <c r="F734" s="273">
        <f>ROUND(C63,0)</f>
        <v>617133</v>
      </c>
      <c r="G734" s="273">
        <f>ROUND(C64,0)</f>
        <v>613387</v>
      </c>
      <c r="H734" s="273">
        <f>ROUND(C65,0)</f>
        <v>0</v>
      </c>
      <c r="I734" s="273">
        <f>ROUND(C66,0)</f>
        <v>131001</v>
      </c>
      <c r="J734" s="273">
        <f>ROUND(C67,0)</f>
        <v>36512</v>
      </c>
      <c r="K734" s="273">
        <f>ROUND(C68,0)</f>
        <v>30894</v>
      </c>
      <c r="L734" s="273">
        <f>ROUND(C69,0)</f>
        <v>248497</v>
      </c>
      <c r="M734" s="273">
        <f>ROUND(C70,0)</f>
        <v>30583</v>
      </c>
      <c r="N734" s="273">
        <f>ROUND(C75,0)</f>
        <v>41391372</v>
      </c>
      <c r="O734" s="273">
        <f>ROUND(C73,0)</f>
        <v>38984568</v>
      </c>
      <c r="P734" s="273">
        <f>IF(C76&gt;0,ROUND(C76,0),0)</f>
        <v>8412</v>
      </c>
      <c r="Q734" s="273">
        <f>IF(C77&gt;0,ROUND(C77,0),0)</f>
        <v>4193</v>
      </c>
      <c r="R734" s="273">
        <f>IF(C78&gt;0,ROUND(C78,0),0)</f>
        <v>2144</v>
      </c>
      <c r="S734" s="273">
        <f>IF(C79&gt;0,ROUND(C79,0),0)</f>
        <v>69876</v>
      </c>
      <c r="T734" s="273">
        <f>IF(C80&gt;0,ROUND(C80,2),0)</f>
        <v>44.38</v>
      </c>
      <c r="U734" s="273"/>
      <c r="V734" s="273"/>
      <c r="W734" s="273"/>
      <c r="X734" s="273"/>
      <c r="Y734" s="273">
        <f>IF(M668&lt;&gt;0,ROUND(M668,0),0)</f>
        <v>3617243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>
      <c r="A735" s="209" t="str">
        <f>RIGHT($C$83,3)&amp;"*"&amp;RIGHT($C$82,4)&amp;"*"&amp;D$55&amp;"*"&amp;"A"</f>
        <v>197*2021*6030*A</v>
      </c>
      <c r="B735" s="273">
        <f>ROUND(D59,0)</f>
        <v>4939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36839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51914114</v>
      </c>
      <c r="O735" s="273">
        <f>ROUND(D73,0)</f>
        <v>32456353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6">IF(M669&lt;&gt;0,ROUND(M669,0),0)</f>
        <v>564399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>
      <c r="A736" s="209" t="str">
        <f>RIGHT($C$83,3)&amp;"*"&amp;RIGHT($C$82,4)&amp;"*"&amp;E$55&amp;"*"&amp;"A"</f>
        <v>197*2021*6070*A</v>
      </c>
      <c r="B736" s="273">
        <f>ROUND(E59,0)</f>
        <v>2116</v>
      </c>
      <c r="C736" s="275">
        <f>ROUND(E60,2)</f>
        <v>71.400000000000006</v>
      </c>
      <c r="D736" s="273">
        <f>ROUND(E61,0)</f>
        <v>4507997</v>
      </c>
      <c r="E736" s="273">
        <f>ROUND(E62,0)</f>
        <v>498975</v>
      </c>
      <c r="F736" s="273">
        <f>ROUND(E63,0)</f>
        <v>0</v>
      </c>
      <c r="G736" s="273">
        <f>ROUND(E64,0)</f>
        <v>4196106</v>
      </c>
      <c r="H736" s="273">
        <f>ROUND(E65,0)</f>
        <v>0</v>
      </c>
      <c r="I736" s="273">
        <f>ROUND(E66,0)</f>
        <v>85219</v>
      </c>
      <c r="J736" s="273">
        <f>ROUND(E67,0)</f>
        <v>16179</v>
      </c>
      <c r="K736" s="273">
        <f>ROUND(E68,0)</f>
        <v>68510</v>
      </c>
      <c r="L736" s="273">
        <f>ROUND(E69,0)</f>
        <v>120770</v>
      </c>
      <c r="M736" s="273">
        <f>ROUND(E70,0)</f>
        <v>0</v>
      </c>
      <c r="N736" s="273">
        <f>ROUND(E75,0)</f>
        <v>19950446</v>
      </c>
      <c r="O736" s="273">
        <f>ROUND(E73,0)</f>
        <v>17579720</v>
      </c>
      <c r="P736" s="273">
        <f>IF(E76&gt;0,ROUND(E76,0),0)</f>
        <v>0</v>
      </c>
      <c r="Q736" s="273">
        <f>IF(E77&gt;0,ROUND(E77,0),0)</f>
        <v>16151</v>
      </c>
      <c r="R736" s="273">
        <f>IF(E78&gt;0,ROUND(E78,0),0)</f>
        <v>3046</v>
      </c>
      <c r="S736" s="273">
        <f>IF(E79&gt;0,ROUND(E79,0),0)</f>
        <v>129025</v>
      </c>
      <c r="T736" s="275">
        <f>IF(E80&gt;0,ROUND(E80,2),0)</f>
        <v>31.68</v>
      </c>
      <c r="U736" s="273"/>
      <c r="V736" s="274"/>
      <c r="W736" s="273"/>
      <c r="X736" s="273"/>
      <c r="Y736" s="273">
        <f t="shared" si="26"/>
        <v>5193792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>
      <c r="A737" s="209" t="str">
        <f>RIGHT($C$83,3)&amp;"*"&amp;RIGHT($C$82,4)&amp;"*"&amp;F$55&amp;"*"&amp;"A"</f>
        <v>197*2021*6100*A</v>
      </c>
      <c r="B737" s="273">
        <f>ROUND(F59,0)</f>
        <v>0</v>
      </c>
      <c r="C737" s="275">
        <f>ROUND(F60,2)</f>
        <v>19.12</v>
      </c>
      <c r="D737" s="273">
        <f>ROUND(F61,0)</f>
        <v>2317226</v>
      </c>
      <c r="E737" s="273">
        <f>ROUND(F62,0)</f>
        <v>267192</v>
      </c>
      <c r="F737" s="273">
        <f>ROUND(F63,0)</f>
        <v>71435</v>
      </c>
      <c r="G737" s="273">
        <f>ROUND(F64,0)</f>
        <v>260113</v>
      </c>
      <c r="H737" s="273">
        <f>ROUND(F65,0)</f>
        <v>0</v>
      </c>
      <c r="I737" s="273">
        <f>ROUND(F66,0)</f>
        <v>111216</v>
      </c>
      <c r="J737" s="273">
        <f>ROUND(F67,0)</f>
        <v>4460</v>
      </c>
      <c r="K737" s="273">
        <f>ROUND(F68,0)</f>
        <v>0</v>
      </c>
      <c r="L737" s="273">
        <f>ROUND(F69,0)</f>
        <v>56561</v>
      </c>
      <c r="M737" s="273">
        <f>ROUND(F70,0)</f>
        <v>8846</v>
      </c>
      <c r="N737" s="273">
        <f>ROUND(F75,0)</f>
        <v>2463392</v>
      </c>
      <c r="O737" s="273">
        <f>ROUND(F73,0)</f>
        <v>2213339</v>
      </c>
      <c r="P737" s="273">
        <f>IF(F76&gt;0,ROUND(F76,0),0)</f>
        <v>23269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6"/>
        <v>1700231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>
      <c r="A738" s="209" t="str">
        <f>RIGHT($C$83,3)&amp;"*"&amp;RIGHT($C$82,4)&amp;"*"&amp;G$55&amp;"*"&amp;"A"</f>
        <v>197*2021*6120*A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557650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57801943</v>
      </c>
      <c r="O738" s="273">
        <f>ROUND(G73,0)</f>
        <v>23213770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6"/>
        <v>732487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>
      <c r="A739" s="209" t="str">
        <f>RIGHT($C$83,3)&amp;"*"&amp;RIGHT($C$82,4)&amp;"*"&amp;H$55&amp;"*"&amp;"A"</f>
        <v>197*2021*6140*A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7212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26782097</v>
      </c>
      <c r="O739" s="273">
        <f>ROUND(H73,0)</f>
        <v>9219773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6"/>
        <v>288793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>
      <c r="A740" s="209" t="str">
        <f>RIGHT($C$83,3)&amp;"*"&amp;RIGHT($C$82,4)&amp;"*"&amp;I$55&amp;"*"&amp;"A"</f>
        <v>197*2021*6150*A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77251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6"/>
        <v>15562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>
      <c r="A741" s="209" t="str">
        <f>RIGHT($C$83,3)&amp;"*"&amp;RIGHT($C$82,4)&amp;"*"&amp;J$55&amp;"*"&amp;"A"</f>
        <v>197*2021*6170*A</v>
      </c>
      <c r="B741" s="273">
        <f>ROUND(J59,0)</f>
        <v>233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165337</v>
      </c>
      <c r="G741" s="273">
        <f>ROUND(J64,0)</f>
        <v>4493</v>
      </c>
      <c r="H741" s="273">
        <f>ROUND(J65,0)</f>
        <v>0</v>
      </c>
      <c r="I741" s="273">
        <f>ROUND(J66,0)</f>
        <v>18372</v>
      </c>
      <c r="J741" s="273">
        <f>ROUND(J67,0)</f>
        <v>5568</v>
      </c>
      <c r="K741" s="273">
        <f>ROUND(J68,0)</f>
        <v>0</v>
      </c>
      <c r="L741" s="273">
        <f>ROUND(J69,0)</f>
        <v>357</v>
      </c>
      <c r="M741" s="273">
        <f>ROUND(J70,0)</f>
        <v>0</v>
      </c>
      <c r="N741" s="273">
        <f>ROUND(J75,0)</f>
        <v>40196904</v>
      </c>
      <c r="O741" s="273">
        <f>ROUND(J73,0)</f>
        <v>21634639</v>
      </c>
      <c r="P741" s="273">
        <f>IF(J76&gt;0,ROUND(J76,0),0)</f>
        <v>0</v>
      </c>
      <c r="Q741" s="273">
        <f>IF(J77&gt;0,ROUND(J77,0),0)</f>
        <v>3138</v>
      </c>
      <c r="R741" s="273">
        <f>IF(J78&gt;0,ROUND(J78,0),0)</f>
        <v>182</v>
      </c>
      <c r="S741" s="273">
        <f>IF(J79&gt;0,ROUND(J79,0),0)</f>
        <v>461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6"/>
        <v>661334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>
      <c r="A742" s="209" t="str">
        <f>RIGHT($C$83,3)&amp;"*"&amp;RIGHT($C$82,4)&amp;"*"&amp;K$55&amp;"*"&amp;"A"</f>
        <v>197*2021*6200*A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7040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3028423</v>
      </c>
      <c r="O742" s="273">
        <f>ROUND(K73,0)</f>
        <v>1085184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6"/>
        <v>33910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>
      <c r="A743" s="209" t="str">
        <f>RIGHT($C$83,3)&amp;"*"&amp;RIGHT($C$82,4)&amp;"*"&amp;L$55&amp;"*"&amp;"A"</f>
        <v>197*2021*6210*A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40296101</v>
      </c>
      <c r="O743" s="273">
        <f>ROUND(L73,0)</f>
        <v>11012818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6"/>
        <v>432330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>
      <c r="A744" s="209" t="str">
        <f>RIGHT($C$83,3)&amp;"*"&amp;RIGHT($C$82,4)&amp;"*"&amp;M$55&amp;"*"&amp;"A"</f>
        <v>197*2021*6330*A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85217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32642190</v>
      </c>
      <c r="O744" s="273">
        <f>ROUND(M73,0)</f>
        <v>10736204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6"/>
        <v>367379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>
      <c r="A745" s="209" t="str">
        <f>RIGHT($C$83,3)&amp;"*"&amp;RIGHT($C$82,4)&amp;"*"&amp;N$55&amp;"*"&amp;"A"</f>
        <v>197*2021*6400*A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79866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32989123</v>
      </c>
      <c r="O745" s="273">
        <f>ROUND(N73,0)</f>
        <v>1602716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6"/>
        <v>370024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>
      <c r="A746" s="209" t="str">
        <f>RIGHT($C$83,3)&amp;"*"&amp;RIGHT($C$82,4)&amp;"*"&amp;O$55&amp;"*"&amp;"A"</f>
        <v>197*2021*7010*A</v>
      </c>
      <c r="B746" s="273">
        <f>ROUND(O59,0)</f>
        <v>7707</v>
      </c>
      <c r="C746" s="275">
        <f>ROUND(O60,2)</f>
        <v>27.66</v>
      </c>
      <c r="D746" s="273">
        <f>ROUND(O61,0)</f>
        <v>733629</v>
      </c>
      <c r="E746" s="273">
        <f>ROUND(O62,0)</f>
        <v>54616</v>
      </c>
      <c r="F746" s="273">
        <f>ROUND(O63,0)</f>
        <v>507402</v>
      </c>
      <c r="G746" s="273">
        <f>ROUND(O64,0)</f>
        <v>63606</v>
      </c>
      <c r="H746" s="273">
        <f>ROUND(O65,0)</f>
        <v>0</v>
      </c>
      <c r="I746" s="273">
        <f>ROUND(O66,0)</f>
        <v>38940</v>
      </c>
      <c r="J746" s="273">
        <f>ROUND(O67,0)</f>
        <v>1970</v>
      </c>
      <c r="K746" s="273">
        <f>ROUND(O68,0)</f>
        <v>25</v>
      </c>
      <c r="L746" s="273">
        <f>ROUND(O69,0)</f>
        <v>60236</v>
      </c>
      <c r="M746" s="273">
        <f>ROUND(O70,0)</f>
        <v>0</v>
      </c>
      <c r="N746" s="273">
        <f>ROUND(O75,0)</f>
        <v>12788895</v>
      </c>
      <c r="O746" s="273">
        <f>ROUND(O73,0)</f>
        <v>5617774</v>
      </c>
      <c r="P746" s="273">
        <f>IF(O76&gt;0,ROUND(O76,0),0)</f>
        <v>0</v>
      </c>
      <c r="Q746" s="273">
        <f>IF(O77&gt;0,ROUND(O77,0),0)</f>
        <v>18754</v>
      </c>
      <c r="R746" s="273">
        <f>IF(O78&gt;0,ROUND(O78,0),0)</f>
        <v>5749</v>
      </c>
      <c r="S746" s="273">
        <f>IF(O79&gt;0,ROUND(O79,0),0)</f>
        <v>57003</v>
      </c>
      <c r="T746" s="275">
        <f>IF(O80&gt;0,ROUND(O80,2),0)</f>
        <v>19.5</v>
      </c>
      <c r="U746" s="273"/>
      <c r="V746" s="274"/>
      <c r="W746" s="273"/>
      <c r="X746" s="273"/>
      <c r="Y746" s="273">
        <f t="shared" si="26"/>
        <v>1996973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>
      <c r="A747" s="209" t="str">
        <f>RIGHT($C$83,3)&amp;"*"&amp;RIGHT($C$82,4)&amp;"*"&amp;P$55&amp;"*"&amp;"A"</f>
        <v>197*2021*7020*A</v>
      </c>
      <c r="B747" s="273">
        <f>ROUND(P59,0)</f>
        <v>80002</v>
      </c>
      <c r="C747" s="275">
        <f>ROUND(P60,2)</f>
        <v>33.909999999999997</v>
      </c>
      <c r="D747" s="273">
        <f>ROUND(P61,0)</f>
        <v>2342193</v>
      </c>
      <c r="E747" s="273">
        <f>ROUND(P62,0)</f>
        <v>210934</v>
      </c>
      <c r="F747" s="273">
        <f>ROUND(P63,0)</f>
        <v>425645</v>
      </c>
      <c r="G747" s="273">
        <f>ROUND(P64,0)</f>
        <v>3054795</v>
      </c>
      <c r="H747" s="273">
        <f>ROUND(P65,0)</f>
        <v>0</v>
      </c>
      <c r="I747" s="273">
        <f>ROUND(P66,0)</f>
        <v>540158</v>
      </c>
      <c r="J747" s="273">
        <f>ROUND(P67,0)</f>
        <v>0</v>
      </c>
      <c r="K747" s="273">
        <f>ROUND(P68,0)</f>
        <v>616664</v>
      </c>
      <c r="L747" s="273">
        <f>ROUND(P69,0)</f>
        <v>530718</v>
      </c>
      <c r="M747" s="273">
        <f>ROUND(P70,0)</f>
        <v>23221</v>
      </c>
      <c r="N747" s="273">
        <f>ROUND(P75,0)</f>
        <v>36515626</v>
      </c>
      <c r="O747" s="273">
        <f>ROUND(P73,0)</f>
        <v>17424056</v>
      </c>
      <c r="P747" s="273">
        <f>IF(P76&gt;0,ROUND(P76,0),0)</f>
        <v>18197</v>
      </c>
      <c r="Q747" s="273">
        <f>IF(P77&gt;0,ROUND(P77,0),0)</f>
        <v>0</v>
      </c>
      <c r="R747" s="273">
        <f>IF(P78&gt;0,ROUND(P78,0),0)</f>
        <v>576</v>
      </c>
      <c r="S747" s="273" t="e">
        <f>IF(#REF!&gt;0,ROUND(#REF!,0),0)</f>
        <v>#REF!</v>
      </c>
      <c r="T747" s="275">
        <f>IF(P80&gt;0,ROUND(P80,2),0)</f>
        <v>11.66</v>
      </c>
      <c r="U747" s="273"/>
      <c r="V747" s="274"/>
      <c r="W747" s="273"/>
      <c r="X747" s="273"/>
      <c r="Y747" s="273" t="e">
        <f t="shared" si="26"/>
        <v>#REF!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>
      <c r="A748" s="209" t="str">
        <f>RIGHT($C$83,3)&amp;"*"&amp;RIGHT($C$82,4)&amp;"*"&amp;Q$55&amp;"*"&amp;"A"</f>
        <v>197*2021*7030*A</v>
      </c>
      <c r="B748" s="273">
        <f>ROUND(Q59,0)</f>
        <v>70645</v>
      </c>
      <c r="C748" s="275">
        <f>ROUND(Q60,2)</f>
        <v>6.22</v>
      </c>
      <c r="D748" s="273">
        <f>ROUND(Q61,0)</f>
        <v>232451</v>
      </c>
      <c r="E748" s="273">
        <f>ROUND(Q62,0)</f>
        <v>17529</v>
      </c>
      <c r="F748" s="273">
        <f>ROUND(Q63,0)</f>
        <v>0</v>
      </c>
      <c r="G748" s="273">
        <f>ROUND(Q64,0)</f>
        <v>14868</v>
      </c>
      <c r="H748" s="273">
        <f>ROUND(Q65,0)</f>
        <v>0</v>
      </c>
      <c r="I748" s="273">
        <f>ROUND(Q66,0)</f>
        <v>80</v>
      </c>
      <c r="J748" s="273">
        <f>ROUND(Q67,0)</f>
        <v>1591</v>
      </c>
      <c r="K748" s="273">
        <f>ROUND(Q68,0)</f>
        <v>0</v>
      </c>
      <c r="L748" s="273">
        <f>ROUND(Q69,0)</f>
        <v>863</v>
      </c>
      <c r="M748" s="273">
        <f>ROUND(Q70,0)</f>
        <v>0</v>
      </c>
      <c r="N748" s="273">
        <f>ROUND(Q75,0)</f>
        <v>15300075</v>
      </c>
      <c r="O748" s="273">
        <f>ROUND(Q73,0)</f>
        <v>8381385</v>
      </c>
      <c r="P748" s="273">
        <f>IF(Q76&gt;0,ROUND(Q76,0),0)</f>
        <v>0</v>
      </c>
      <c r="Q748" s="273">
        <f>IF(Q77&gt;0,ROUND(Q77,0),0)</f>
        <v>0</v>
      </c>
      <c r="R748" s="273">
        <f>IF(Q78&gt;0,ROUND(Q78,0),0)</f>
        <v>732</v>
      </c>
      <c r="S748" s="273">
        <f>IF(Q79&gt;0,ROUND(Q79,0),0)</f>
        <v>0</v>
      </c>
      <c r="T748" s="275">
        <f>IF(Q80&gt;0,ROUND(Q80,2),0)</f>
        <v>5.38</v>
      </c>
      <c r="U748" s="273"/>
      <c r="V748" s="274"/>
      <c r="W748" s="273"/>
      <c r="X748" s="273"/>
      <c r="Y748" s="273">
        <f t="shared" si="26"/>
        <v>296330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>
      <c r="A749" s="209" t="str">
        <f>RIGHT($C$83,3)&amp;"*"&amp;RIGHT($C$82,4)&amp;"*"&amp;R$55&amp;"*"&amp;"A"</f>
        <v>197*2021*7040*A</v>
      </c>
      <c r="B749" s="273">
        <f>ROUND(R59,0)</f>
        <v>94279</v>
      </c>
      <c r="C749" s="275">
        <f>ROUND(R60,2)</f>
        <v>8.39</v>
      </c>
      <c r="D749" s="273">
        <f>ROUND(R61,0)</f>
        <v>937834</v>
      </c>
      <c r="E749" s="273">
        <f>ROUND(R62,0)</f>
        <v>108899</v>
      </c>
      <c r="F749" s="273">
        <f>ROUND(R63,0)</f>
        <v>955830</v>
      </c>
      <c r="G749" s="273">
        <f>ROUND(R64,0)</f>
        <v>202945</v>
      </c>
      <c r="H749" s="273">
        <f>ROUND(R65,0)</f>
        <v>0</v>
      </c>
      <c r="I749" s="273">
        <f>ROUND(R66,0)</f>
        <v>6448</v>
      </c>
      <c r="J749" s="273">
        <f>ROUND(R67,0)</f>
        <v>0</v>
      </c>
      <c r="K749" s="273">
        <f>ROUND(R68,0)</f>
        <v>108459</v>
      </c>
      <c r="L749" s="273">
        <f>ROUND(R69,0)</f>
        <v>10411</v>
      </c>
      <c r="M749" s="273">
        <f>ROUND(R70,0)</f>
        <v>0</v>
      </c>
      <c r="N749" s="273">
        <f>ROUND(R75,0)</f>
        <v>7034592</v>
      </c>
      <c r="O749" s="273">
        <f>ROUND(R73,0)</f>
        <v>2731852</v>
      </c>
      <c r="P749" s="273">
        <f>IF(R76&gt;0,ROUND(R76,0),0)</f>
        <v>2951</v>
      </c>
      <c r="Q749" s="273">
        <f>IF(R77&gt;0,ROUND(R77,0),0)</f>
        <v>0</v>
      </c>
      <c r="R749" s="273">
        <f>IF(R78&gt;0,ROUND(R78,0),0)</f>
        <v>87</v>
      </c>
      <c r="S749" s="273">
        <f>IF(R79&gt;0,ROUND(R79,0),0)</f>
        <v>0</v>
      </c>
      <c r="T749" s="275">
        <f>IF(R80&gt;0,ROUND(R80,2),0)</f>
        <v>1.61</v>
      </c>
      <c r="U749" s="273"/>
      <c r="V749" s="274"/>
      <c r="W749" s="273"/>
      <c r="X749" s="273"/>
      <c r="Y749" s="273">
        <f t="shared" si="26"/>
        <v>768358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>
      <c r="A750" s="209" t="str">
        <f>RIGHT($C$83,3)&amp;"*"&amp;RIGHT($C$82,4)&amp;"*"&amp;S$55&amp;"*"&amp;"A"</f>
        <v>197*2021*7050*A</v>
      </c>
      <c r="B750" s="273"/>
      <c r="C750" s="275">
        <f>ROUND(S60,2)</f>
        <v>20.37</v>
      </c>
      <c r="D750" s="273">
        <f>ROUND(S61,0)</f>
        <v>850641</v>
      </c>
      <c r="E750" s="273">
        <f>ROUND(S62,0)</f>
        <v>110960</v>
      </c>
      <c r="F750" s="273">
        <f>ROUND(S63,0)</f>
        <v>477029</v>
      </c>
      <c r="G750" s="273">
        <f>ROUND(S64,0)</f>
        <v>1795697</v>
      </c>
      <c r="H750" s="273">
        <f>ROUND(S65,0)</f>
        <v>0</v>
      </c>
      <c r="I750" s="273">
        <f>ROUND(S66,0)</f>
        <v>819661</v>
      </c>
      <c r="J750" s="273">
        <f>ROUND(S67,0)</f>
        <v>16384</v>
      </c>
      <c r="K750" s="273">
        <f>ROUND(S68,0)</f>
        <v>878624</v>
      </c>
      <c r="L750" s="273">
        <f>ROUND(S69,0)</f>
        <v>320772</v>
      </c>
      <c r="M750" s="273">
        <f>ROUND(S70,0)</f>
        <v>0</v>
      </c>
      <c r="N750" s="273">
        <f>ROUND(S75,0)</f>
        <v>47877457</v>
      </c>
      <c r="O750" s="273">
        <f>ROUND(S73,0)</f>
        <v>9865455</v>
      </c>
      <c r="P750" s="273">
        <f>IF(S76&gt;0,ROUND(S76,0),0)</f>
        <v>0</v>
      </c>
      <c r="Q750" s="273">
        <f>IF(S77&gt;0,ROUND(S77,0),0)</f>
        <v>0</v>
      </c>
      <c r="R750" s="273">
        <f>IF(S78&gt;0,ROUND(S78,0),0)</f>
        <v>736</v>
      </c>
      <c r="S750" s="273">
        <f>IF(S79&gt;0,ROUND(S79,0),0)</f>
        <v>0</v>
      </c>
      <c r="T750" s="275">
        <f>IF(S80&gt;0,ROUND(S80,2),0)</f>
        <v>7.88</v>
      </c>
      <c r="U750" s="273"/>
      <c r="V750" s="274"/>
      <c r="W750" s="273"/>
      <c r="X750" s="273"/>
      <c r="Y750" s="273">
        <f t="shared" si="26"/>
        <v>2373288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>
      <c r="A751" s="209" t="str">
        <f>RIGHT($C$83,3)&amp;"*"&amp;RIGHT($C$82,4)&amp;"*"&amp;T$55&amp;"*"&amp;"A"</f>
        <v>197*2021*7060*A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3557551</v>
      </c>
      <c r="O751" s="273">
        <f>ROUND(T73,0)</f>
        <v>111101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>
        <f t="shared" si="26"/>
        <v>38168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>
      <c r="A752" s="209" t="str">
        <f>RIGHT($C$83,3)&amp;"*"&amp;RIGHT($C$82,4)&amp;"*"&amp;U$55&amp;"*"&amp;"A"</f>
        <v>197*2021*7070*A</v>
      </c>
      <c r="B752" s="273">
        <f>ROUND(U59,0)</f>
        <v>54906</v>
      </c>
      <c r="C752" s="275">
        <f>ROUND(U60,2)</f>
        <v>34.549999999999997</v>
      </c>
      <c r="D752" s="273">
        <f>ROUND(U61,0)</f>
        <v>1488360</v>
      </c>
      <c r="E752" s="273">
        <f>ROUND(U62,0)</f>
        <v>227765</v>
      </c>
      <c r="F752" s="273">
        <f>ROUND(U63,0)</f>
        <v>14575</v>
      </c>
      <c r="G752" s="273">
        <f>ROUND(U64,0)</f>
        <v>1338424</v>
      </c>
      <c r="H752" s="273">
        <f>ROUND(U65,0)</f>
        <v>0</v>
      </c>
      <c r="I752" s="273">
        <f>ROUND(U66,0)</f>
        <v>559310</v>
      </c>
      <c r="J752" s="273">
        <f>ROUND(U67,0)</f>
        <v>87514</v>
      </c>
      <c r="K752" s="273">
        <f>ROUND(U68,0)</f>
        <v>179776</v>
      </c>
      <c r="L752" s="273">
        <f>ROUND(U69,0)</f>
        <v>84006</v>
      </c>
      <c r="M752" s="273">
        <f>ROUND(U70,0)</f>
        <v>19676</v>
      </c>
      <c r="N752" s="273">
        <f>ROUND(U75,0)</f>
        <v>31379542</v>
      </c>
      <c r="O752" s="273">
        <f>ROUND(U73,0)</f>
        <v>5628077</v>
      </c>
      <c r="P752" s="273">
        <f>IF(U76&gt;0,ROUND(U76,0),0)</f>
        <v>2744</v>
      </c>
      <c r="Q752" s="273">
        <f>IF(U77&gt;0,ROUND(U77,0),0)</f>
        <v>0</v>
      </c>
      <c r="R752" s="273">
        <f>IF(U78&gt;0,ROUND(U78,0),0)</f>
        <v>699</v>
      </c>
      <c r="S752" s="273">
        <f>IF(P79&gt;0,ROUND(P79,0),0)</f>
        <v>81551</v>
      </c>
      <c r="T752" s="275">
        <f>IF(U80&gt;0,ROUND(U80,2),0)</f>
        <v>16.97</v>
      </c>
      <c r="U752" s="273"/>
      <c r="V752" s="274"/>
      <c r="W752" s="273"/>
      <c r="X752" s="273"/>
      <c r="Y752" s="273">
        <f t="shared" si="26"/>
        <v>1999580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>
      <c r="A753" s="209" t="str">
        <f>RIGHT($C$83,3)&amp;"*"&amp;RIGHT($C$82,4)&amp;"*"&amp;V$55&amp;"*"&amp;"A"</f>
        <v>197*2021*7110*A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669025</v>
      </c>
      <c r="O753" s="273">
        <f>ROUND(V73,0)</f>
        <v>401084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6"/>
        <v>7178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>
      <c r="A754" s="209" t="str">
        <f>RIGHT($C$83,3)&amp;"*"&amp;RIGHT($C$82,4)&amp;"*"&amp;W$55&amp;"*"&amp;"A"</f>
        <v>197*2021*7120*A</v>
      </c>
      <c r="B754" s="273">
        <f>ROUND(W59,0)</f>
        <v>133</v>
      </c>
      <c r="C754" s="275">
        <f>ROUND(W60,2)</f>
        <v>2.5299999999999998</v>
      </c>
      <c r="D754" s="273">
        <f>ROUND(W61,0)</f>
        <v>181409</v>
      </c>
      <c r="E754" s="273">
        <f>ROUND(W62,0)</f>
        <v>20130</v>
      </c>
      <c r="F754" s="273">
        <f>ROUND(W63,0)</f>
        <v>0</v>
      </c>
      <c r="G754" s="273">
        <f>ROUND(W64,0)</f>
        <v>1569</v>
      </c>
      <c r="H754" s="273">
        <f>ROUND(W65,0)</f>
        <v>0</v>
      </c>
      <c r="I754" s="273">
        <f>ROUND(W66,0)</f>
        <v>79152</v>
      </c>
      <c r="J754" s="273">
        <f>ROUND(W67,0)</f>
        <v>0</v>
      </c>
      <c r="K754" s="273">
        <f>ROUND(W68,0)</f>
        <v>0</v>
      </c>
      <c r="L754" s="273">
        <f>ROUND(W69,0)</f>
        <v>22653</v>
      </c>
      <c r="M754" s="273">
        <f>ROUND(W70,0)</f>
        <v>0</v>
      </c>
      <c r="N754" s="273">
        <f>ROUND(W75,0)</f>
        <v>1250832</v>
      </c>
      <c r="O754" s="273">
        <f>ROUND(W73,0)</f>
        <v>453094</v>
      </c>
      <c r="P754" s="273">
        <f>IF(W76&gt;0,ROUND(W76,0),0)</f>
        <v>882</v>
      </c>
      <c r="Q754" s="273">
        <f>IF(W77&gt;0,ROUND(W77,0),0)</f>
        <v>0</v>
      </c>
      <c r="R754" s="273">
        <f>IF(W78&gt;0,ROUND(W78,0),0)</f>
        <v>225</v>
      </c>
      <c r="S754" s="273">
        <f>IF(W79&gt;0,ROUND(W79,0),0)</f>
        <v>4205</v>
      </c>
      <c r="T754" s="275">
        <f>IF(W80&gt;0,ROUND(W80,2),0)</f>
        <v>1.17</v>
      </c>
      <c r="U754" s="273"/>
      <c r="V754" s="274"/>
      <c r="W754" s="273"/>
      <c r="X754" s="273"/>
      <c r="Y754" s="273">
        <f t="shared" si="26"/>
        <v>134753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>
      <c r="A755" s="209" t="str">
        <f>RIGHT($C$83,3)&amp;"*"&amp;RIGHT($C$82,4)&amp;"*"&amp;X$55&amp;"*"&amp;"A"</f>
        <v>197*2021*7130*A</v>
      </c>
      <c r="B755" s="273">
        <f>ROUND(X59,0)</f>
        <v>4138</v>
      </c>
      <c r="C755" s="275">
        <f>ROUND(X60,2)</f>
        <v>7.75</v>
      </c>
      <c r="D755" s="273">
        <f>ROUND(X61,0)</f>
        <v>360117</v>
      </c>
      <c r="E755" s="273">
        <f>ROUND(X62,0)</f>
        <v>43159</v>
      </c>
      <c r="F755" s="273">
        <f>ROUND(X63,0)</f>
        <v>0</v>
      </c>
      <c r="G755" s="273">
        <f>ROUND(X64,0)</f>
        <v>61782</v>
      </c>
      <c r="H755" s="273">
        <f>ROUND(X65,0)</f>
        <v>1087</v>
      </c>
      <c r="I755" s="273">
        <f>ROUND(X66,0)</f>
        <v>172841</v>
      </c>
      <c r="J755" s="273">
        <f>ROUND(X67,0)</f>
        <v>110327</v>
      </c>
      <c r="K755" s="273">
        <f>ROUND(X68,0)</f>
        <v>153842</v>
      </c>
      <c r="L755" s="273">
        <f>ROUND(X69,0)</f>
        <v>69170</v>
      </c>
      <c r="M755" s="273">
        <f>ROUND(X70,0)</f>
        <v>0</v>
      </c>
      <c r="N755" s="273">
        <f>ROUND(X75,0)</f>
        <v>30376953</v>
      </c>
      <c r="O755" s="273">
        <f>ROUND(X73,0)</f>
        <v>4245533</v>
      </c>
      <c r="P755" s="273">
        <f>IF(X76&gt;0,ROUND(X76,0),0)</f>
        <v>950</v>
      </c>
      <c r="Q755" s="273">
        <f>IF(X77&gt;0,ROUND(X77,0),0)</f>
        <v>0</v>
      </c>
      <c r="R755" s="273">
        <f>IF(X78&gt;0,ROUND(X78,0),0)</f>
        <v>1525</v>
      </c>
      <c r="S755" s="273">
        <f>IF(X79&gt;0,ROUND(X79,0),0)</f>
        <v>6317</v>
      </c>
      <c r="T755" s="275">
        <f>IF(X80&gt;0,ROUND(X80,2),0)</f>
        <v>5.26</v>
      </c>
      <c r="U755" s="273"/>
      <c r="V755" s="274"/>
      <c r="W755" s="273"/>
      <c r="X755" s="273"/>
      <c r="Y755" s="273">
        <f t="shared" si="26"/>
        <v>699919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>
      <c r="A756" s="209" t="str">
        <f>RIGHT($C$83,3)&amp;"*"&amp;RIGHT($C$82,4)&amp;"*"&amp;Y$55&amp;"*"&amp;"A"</f>
        <v>197*2021*7140*A</v>
      </c>
      <c r="B756" s="273">
        <f>ROUND(Y59,0)</f>
        <v>6391</v>
      </c>
      <c r="C756" s="275">
        <f>ROUND(Y60,2)</f>
        <v>54.41</v>
      </c>
      <c r="D756" s="273">
        <f>ROUND(Y61,0)</f>
        <v>3618674</v>
      </c>
      <c r="E756" s="273">
        <f>ROUND(Y62,0)</f>
        <v>334881</v>
      </c>
      <c r="F756" s="273">
        <f>ROUND(Y63,0)</f>
        <v>495808</v>
      </c>
      <c r="G756" s="273">
        <f>ROUND(Y64,0)</f>
        <v>278911</v>
      </c>
      <c r="H756" s="273">
        <f>ROUND(Y65,0)</f>
        <v>0</v>
      </c>
      <c r="I756" s="273">
        <f>ROUND(Y66,0)</f>
        <v>457392</v>
      </c>
      <c r="J756" s="273">
        <f>ROUND(Y67,0)</f>
        <v>0</v>
      </c>
      <c r="K756" s="273">
        <f>ROUND(Y68,0)</f>
        <v>79230</v>
      </c>
      <c r="L756" s="273">
        <f>ROUND(Y69,0)</f>
        <v>619627</v>
      </c>
      <c r="M756" s="273">
        <f>ROUND(Y70,0)</f>
        <v>12367</v>
      </c>
      <c r="N756" s="273">
        <f>ROUND(Y75,0)</f>
        <v>12743547</v>
      </c>
      <c r="O756" s="273">
        <f>ROUND(Y73,0)</f>
        <v>4076745</v>
      </c>
      <c r="P756" s="273">
        <f>IF(Y76&gt;0,ROUND(Y76,0),0)</f>
        <v>19407</v>
      </c>
      <c r="Q756" s="273">
        <f>IF(Y77&gt;0,ROUND(Y77,0),0)</f>
        <v>0</v>
      </c>
      <c r="R756" s="273">
        <f>IF(Y78&gt;0,ROUND(Y78,0),0)</f>
        <v>3584</v>
      </c>
      <c r="S756" s="273">
        <f>IF(Y79&gt;0,ROUND(Y79,0),0)</f>
        <v>37031</v>
      </c>
      <c r="T756" s="275">
        <f>IF(Y80&gt;0,ROUND(Y80,2),0)</f>
        <v>21.88</v>
      </c>
      <c r="U756" s="273"/>
      <c r="V756" s="274"/>
      <c r="W756" s="273"/>
      <c r="X756" s="273"/>
      <c r="Y756" s="273">
        <f t="shared" si="26"/>
        <v>2604949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>
      <c r="A757" s="209" t="str">
        <f>RIGHT($C$83,3)&amp;"*"&amp;RIGHT($C$82,4)&amp;"*"&amp;Z$55&amp;"*"&amp;"A"</f>
        <v>197*2021*7150*A</v>
      </c>
      <c r="B757" s="273">
        <f>ROUND(Z59,0)</f>
        <v>3703</v>
      </c>
      <c r="C757" s="275">
        <f>ROUND(Z60,2)</f>
        <v>11.57</v>
      </c>
      <c r="D757" s="273">
        <f>ROUND(Z61,0)</f>
        <v>612258</v>
      </c>
      <c r="E757" s="273">
        <f>ROUND(Z62,0)</f>
        <v>84950</v>
      </c>
      <c r="F757" s="273">
        <f>ROUND(Z63,0)</f>
        <v>53101</v>
      </c>
      <c r="G757" s="273">
        <f>ROUND(Z64,0)</f>
        <v>223700</v>
      </c>
      <c r="H757" s="273">
        <f>ROUND(Z65,0)</f>
        <v>0</v>
      </c>
      <c r="I757" s="273">
        <f>ROUND(Z66,0)</f>
        <v>657517</v>
      </c>
      <c r="J757" s="273">
        <f>ROUND(Z67,0)</f>
        <v>0</v>
      </c>
      <c r="K757" s="273">
        <f>ROUND(Z68,0)</f>
        <v>232</v>
      </c>
      <c r="L757" s="273">
        <f>ROUND(Z69,0)</f>
        <v>88561</v>
      </c>
      <c r="M757" s="273">
        <f>ROUND(Z70,0)</f>
        <v>0</v>
      </c>
      <c r="N757" s="273">
        <f>ROUND(Z75,0)</f>
        <v>9928200</v>
      </c>
      <c r="O757" s="273">
        <f>ROUND(Z73,0)</f>
        <v>29791</v>
      </c>
      <c r="P757" s="273">
        <f>IF(Z76&gt;0,ROUND(Z76,0),0)</f>
        <v>364</v>
      </c>
      <c r="Q757" s="273">
        <f>IF(Z77&gt;0,ROUND(Z77,0),0)</f>
        <v>0</v>
      </c>
      <c r="R757" s="273">
        <f>IF(Z78&gt;0,ROUND(Z78,0),0)</f>
        <v>1283</v>
      </c>
      <c r="S757" s="273">
        <f>IF(Z79&gt;0,ROUND(Z79,0),0)</f>
        <v>0</v>
      </c>
      <c r="T757" s="275">
        <f>IF(Z80&gt;0,ROUND(Z80,2),0)</f>
        <v>5.54</v>
      </c>
      <c r="U757" s="273"/>
      <c r="V757" s="274"/>
      <c r="W757" s="273"/>
      <c r="X757" s="273"/>
      <c r="Y757" s="273">
        <f t="shared" si="26"/>
        <v>663982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>
      <c r="A758" s="209" t="str">
        <f>RIGHT($C$83,3)&amp;"*"&amp;RIGHT($C$82,4)&amp;"*"&amp;AA$55&amp;"*"&amp;"A"</f>
        <v>197*2021*7160*A</v>
      </c>
      <c r="B758" s="273">
        <f>ROUND(AA59,0)</f>
        <v>312</v>
      </c>
      <c r="C758" s="275">
        <f>ROUND(AA60,2)</f>
        <v>3.08</v>
      </c>
      <c r="D758" s="273">
        <f>ROUND(AA61,0)</f>
        <v>211585</v>
      </c>
      <c r="E758" s="273">
        <f>ROUND(AA62,0)</f>
        <v>22926</v>
      </c>
      <c r="F758" s="273">
        <f>ROUND(AA63,0)</f>
        <v>8972</v>
      </c>
      <c r="G758" s="273">
        <f>ROUND(AA64,0)</f>
        <v>78040</v>
      </c>
      <c r="H758" s="273">
        <f>ROUND(AA65,0)</f>
        <v>0</v>
      </c>
      <c r="I758" s="273">
        <f>ROUND(AA66,0)</f>
        <v>336084</v>
      </c>
      <c r="J758" s="273">
        <f>ROUND(AA67,0)</f>
        <v>5538</v>
      </c>
      <c r="K758" s="273">
        <f>ROUND(AA68,0)</f>
        <v>0</v>
      </c>
      <c r="L758" s="273">
        <f>ROUND(AA69,0)</f>
        <v>15185</v>
      </c>
      <c r="M758" s="273">
        <f>ROUND(AA70,0)</f>
        <v>0</v>
      </c>
      <c r="N758" s="273">
        <f>ROUND(AA75,0)</f>
        <v>933475</v>
      </c>
      <c r="O758" s="273">
        <f>ROUND(AA73,0)</f>
        <v>214324</v>
      </c>
      <c r="P758" s="273">
        <f>IF(AA76&gt;0,ROUND(AA76,0),0)</f>
        <v>5034</v>
      </c>
      <c r="Q758" s="273">
        <f>IF(AA77&gt;0,ROUND(AA77,0),0)</f>
        <v>0</v>
      </c>
      <c r="R758" s="273">
        <f>IF(AA78&gt;0,ROUND(AA78,0),0)</f>
        <v>93</v>
      </c>
      <c r="S758" s="273">
        <f>IF(AA79&gt;0,ROUND(AA79,0),0)</f>
        <v>1244</v>
      </c>
      <c r="T758" s="275">
        <f>IF(AA80&gt;0,ROUND(AA80,2),0)</f>
        <v>1.1299999999999999</v>
      </c>
      <c r="U758" s="273"/>
      <c r="V758" s="274"/>
      <c r="W758" s="273"/>
      <c r="X758" s="273"/>
      <c r="Y758" s="273">
        <f t="shared" si="26"/>
        <v>390533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>
      <c r="A759" s="209" t="str">
        <f>RIGHT($C$83,3)&amp;"*"&amp;RIGHT($C$82,4)&amp;"*"&amp;AB$55&amp;"*"&amp;"A"</f>
        <v>197*2021*7170*A</v>
      </c>
      <c r="B759" s="273"/>
      <c r="C759" s="275">
        <f>ROUND(AB60,2)</f>
        <v>10.36</v>
      </c>
      <c r="D759" s="273">
        <f>ROUND(AB61,0)</f>
        <v>1390643</v>
      </c>
      <c r="E759" s="273">
        <f>ROUND(AB62,0)</f>
        <v>158987</v>
      </c>
      <c r="F759" s="273">
        <f>ROUND(AB63,0)</f>
        <v>0</v>
      </c>
      <c r="G759" s="273">
        <f>ROUND(AB64,0)</f>
        <v>2478324</v>
      </c>
      <c r="H759" s="273">
        <f>ROUND(AB65,0)</f>
        <v>0</v>
      </c>
      <c r="I759" s="273">
        <f>ROUND(AB66,0)</f>
        <v>59539</v>
      </c>
      <c r="J759" s="273">
        <f>ROUND(AB67,0)</f>
        <v>0</v>
      </c>
      <c r="K759" s="273">
        <f>ROUND(AB68,0)</f>
        <v>170676</v>
      </c>
      <c r="L759" s="273">
        <f>ROUND(AB69,0)</f>
        <v>40726</v>
      </c>
      <c r="M759" s="273">
        <f>ROUND(AB70,0)</f>
        <v>43960</v>
      </c>
      <c r="N759" s="273">
        <f>ROUND(AB75,0)</f>
        <v>4887184</v>
      </c>
      <c r="O759" s="273">
        <f>ROUND(AB73,0)</f>
        <v>2822175</v>
      </c>
      <c r="P759" s="273">
        <f>IF(AB76&gt;0,ROUND(AB76,0),0)</f>
        <v>1258</v>
      </c>
      <c r="Q759" s="273">
        <f>IF(AB77&gt;0,ROUND(AB77,0),0)</f>
        <v>0</v>
      </c>
      <c r="R759" s="273">
        <f>IF(AB78&gt;0,ROUND(AB78,0),0)</f>
        <v>321</v>
      </c>
      <c r="S759" s="273">
        <f>IF(AB79&gt;0,ROUND(AB79,0),0)</f>
        <v>11406</v>
      </c>
      <c r="T759" s="275">
        <f>IF(AB80&gt;0,ROUND(AB80,2),0)</f>
        <v>10.87</v>
      </c>
      <c r="U759" s="273"/>
      <c r="V759" s="274"/>
      <c r="W759" s="273"/>
      <c r="X759" s="273"/>
      <c r="Y759" s="273">
        <f t="shared" si="26"/>
        <v>1993798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>
      <c r="A760" s="209" t="str">
        <f>RIGHT($C$83,3)&amp;"*"&amp;RIGHT($C$82,4)&amp;"*"&amp;AC$55&amp;"*"&amp;"A"</f>
        <v>197*2021*7180*A</v>
      </c>
      <c r="B760" s="273">
        <f>ROUND(AC59,0)</f>
        <v>345</v>
      </c>
      <c r="C760" s="275">
        <f>ROUND(AC60,2)</f>
        <v>19.96</v>
      </c>
      <c r="D760" s="273">
        <f>ROUND(AC61,0)</f>
        <v>1141915</v>
      </c>
      <c r="E760" s="273">
        <f>ROUND(AC62,0)</f>
        <v>128307</v>
      </c>
      <c r="F760" s="273">
        <f>ROUND(AC63,0)</f>
        <v>30036</v>
      </c>
      <c r="G760" s="273">
        <f>ROUND(AC64,0)</f>
        <v>235942</v>
      </c>
      <c r="H760" s="273">
        <f>ROUND(AC65,0)</f>
        <v>0</v>
      </c>
      <c r="I760" s="273">
        <f>ROUND(AC66,0)</f>
        <v>44032</v>
      </c>
      <c r="J760" s="273">
        <f>ROUND(AC67,0)</f>
        <v>0</v>
      </c>
      <c r="K760" s="273">
        <f>ROUND(AC68,0)</f>
        <v>128215</v>
      </c>
      <c r="L760" s="273">
        <f>ROUND(AC69,0)</f>
        <v>10932</v>
      </c>
      <c r="M760" s="273">
        <f>ROUND(AC70,0)</f>
        <v>9789</v>
      </c>
      <c r="N760" s="273">
        <f>ROUND(AC75,0)</f>
        <v>2608248</v>
      </c>
      <c r="O760" s="273">
        <f>ROUND(AC73,0)</f>
        <v>1490751</v>
      </c>
      <c r="P760" s="273">
        <f>IF(AC76&gt;0,ROUND(AC76,0),0)</f>
        <v>1701</v>
      </c>
      <c r="Q760" s="273">
        <f>IF(AC77&gt;0,ROUND(AC77,0),0)</f>
        <v>0</v>
      </c>
      <c r="R760" s="273">
        <f>IF(AC78&gt;0,ROUND(AC78,0),0)</f>
        <v>1079</v>
      </c>
      <c r="S760" s="273">
        <f>IF(AC79&gt;0,ROUND(AC79,0),0)</f>
        <v>2554</v>
      </c>
      <c r="T760" s="275">
        <f>IF(AC80&gt;0,ROUND(AC80,2),0)</f>
        <v>10.07</v>
      </c>
      <c r="U760" s="273"/>
      <c r="V760" s="274"/>
      <c r="W760" s="273"/>
      <c r="X760" s="273"/>
      <c r="Y760" s="273">
        <f t="shared" si="26"/>
        <v>672449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>
      <c r="A761" s="209" t="str">
        <f>RIGHT($C$83,3)&amp;"*"&amp;RIGHT($C$82,4)&amp;"*"&amp;AD$55&amp;"*"&amp;"A"</f>
        <v>197*2021*7190*A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8330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6"/>
        <v>1678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>
      <c r="A762" s="209" t="str">
        <f>RIGHT($C$83,3)&amp;"*"&amp;RIGHT($C$82,4)&amp;"*"&amp;AE$55&amp;"*"&amp;"A"</f>
        <v>197*2021*7200*A</v>
      </c>
      <c r="B762" s="273">
        <f>ROUND(AE59,0)</f>
        <v>4743</v>
      </c>
      <c r="C762" s="275">
        <f>ROUND(AE60,2)</f>
        <v>15.02</v>
      </c>
      <c r="D762" s="273">
        <f>ROUND(AE61,0)</f>
        <v>703927</v>
      </c>
      <c r="E762" s="273">
        <f>ROUND(AE62,0)</f>
        <v>101892</v>
      </c>
      <c r="F762" s="273">
        <f>ROUND(AE63,0)</f>
        <v>0</v>
      </c>
      <c r="G762" s="273">
        <f>ROUND(AE64,0)</f>
        <v>21000</v>
      </c>
      <c r="H762" s="273">
        <f>ROUND(AE65,0)</f>
        <v>2455</v>
      </c>
      <c r="I762" s="273">
        <f>ROUND(AE66,0)</f>
        <v>10863</v>
      </c>
      <c r="J762" s="273">
        <f>ROUND(AE67,0)</f>
        <v>0</v>
      </c>
      <c r="K762" s="273">
        <f>ROUND(AE68,0)</f>
        <v>23095</v>
      </c>
      <c r="L762" s="273">
        <f>ROUND(AE69,0)</f>
        <v>32741</v>
      </c>
      <c r="M762" s="273">
        <f>ROUND(AE70,0)</f>
        <v>10269</v>
      </c>
      <c r="N762" s="273">
        <f>ROUND(AE75,0)</f>
        <v>939415</v>
      </c>
      <c r="O762" s="273">
        <f>ROUND(AE73,0)</f>
        <v>365644</v>
      </c>
      <c r="P762" s="273">
        <f>IF(AE76&gt;0,ROUND(AE76,0),0)</f>
        <v>4213</v>
      </c>
      <c r="Q762" s="273">
        <f>IF(AE77&gt;0,ROUND(AE77,0),0)</f>
        <v>0</v>
      </c>
      <c r="R762" s="273">
        <f>IF(AE78&gt;0,ROUND(AE78,0),0)</f>
        <v>1074</v>
      </c>
      <c r="S762" s="273">
        <f>IF(AE79&gt;0,ROUND(AE79,0),0)</f>
        <v>5534</v>
      </c>
      <c r="T762" s="275">
        <f>IF(AE80&gt;0,ROUND(AE80,2),0)</f>
        <v>6.88</v>
      </c>
      <c r="U762" s="273"/>
      <c r="V762" s="274"/>
      <c r="W762" s="273"/>
      <c r="X762" s="273"/>
      <c r="Y762" s="273">
        <f t="shared" si="26"/>
        <v>481480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>
      <c r="A763" s="209" t="str">
        <f>RIGHT($C$83,3)&amp;"*"&amp;RIGHT($C$82,4)&amp;"*"&amp;AF$55&amp;"*"&amp;"A"</f>
        <v>197*2021*7220*A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6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>
      <c r="A764" s="209" t="str">
        <f>RIGHT($C$83,3)&amp;"*"&amp;RIGHT($C$82,4)&amp;"*"&amp;AG$55&amp;"*"&amp;"A"</f>
        <v>197*2021*7230*A</v>
      </c>
      <c r="B764" s="273">
        <f>ROUND(AG59,0)</f>
        <v>3556</v>
      </c>
      <c r="C764" s="275">
        <f>ROUND(AG60,2)</f>
        <v>41.87</v>
      </c>
      <c r="D764" s="273">
        <f>ROUND(AG61,0)</f>
        <v>3579673</v>
      </c>
      <c r="E764" s="273">
        <f>ROUND(AG62,0)</f>
        <v>354941</v>
      </c>
      <c r="F764" s="273">
        <f>ROUND(AG63,0)</f>
        <v>217274</v>
      </c>
      <c r="G764" s="273">
        <f>ROUND(AG64,0)</f>
        <v>371529</v>
      </c>
      <c r="H764" s="273">
        <f>ROUND(AG65,0)</f>
        <v>0</v>
      </c>
      <c r="I764" s="273">
        <f>ROUND(AG66,0)</f>
        <v>270679</v>
      </c>
      <c r="J764" s="273">
        <f>ROUND(AG67,0)</f>
        <v>10710</v>
      </c>
      <c r="K764" s="273">
        <f>ROUND(AG68,0)</f>
        <v>1089</v>
      </c>
      <c r="L764" s="273">
        <f>ROUND(AG69,0)</f>
        <v>472346</v>
      </c>
      <c r="M764" s="273">
        <f>ROUND(AG70,0)</f>
        <v>-13220</v>
      </c>
      <c r="N764" s="273">
        <f>ROUND(AG75,0)</f>
        <v>11687420</v>
      </c>
      <c r="O764" s="273">
        <f>ROUND(AG73,0)</f>
        <v>2335409</v>
      </c>
      <c r="P764" s="273">
        <f>IF(AG76&gt;0,ROUND(AG76,0),0)</f>
        <v>6486</v>
      </c>
      <c r="Q764" s="273">
        <f>IF(AG77&gt;0,ROUND(AG77,0),0)</f>
        <v>0</v>
      </c>
      <c r="R764" s="273">
        <f>IF(AG78&gt;0,ROUND(AG78,0),0)</f>
        <v>1083</v>
      </c>
      <c r="S764" s="273">
        <f>IF(AG79&gt;0,ROUND(AG79,0),0)</f>
        <v>46823</v>
      </c>
      <c r="T764" s="275">
        <f>IF(AG80&gt;0,ROUND(AG80,2),0)</f>
        <v>16.079999999999998</v>
      </c>
      <c r="U764" s="273"/>
      <c r="V764" s="274"/>
      <c r="W764" s="273"/>
      <c r="X764" s="273"/>
      <c r="Y764" s="273">
        <f t="shared" si="26"/>
        <v>1841854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>
      <c r="A765" s="209" t="str">
        <f>RIGHT($C$83,3)&amp;"*"&amp;RIGHT($C$82,4)&amp;"*"&amp;AH$55&amp;"*"&amp;"A"</f>
        <v>197*2021*7240*A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6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>
      <c r="A766" s="209" t="str">
        <f>RIGHT($C$83,3)&amp;"*"&amp;RIGHT($C$82,4)&amp;"*"&amp;AI$55&amp;"*"&amp;"A"</f>
        <v>197*2021*7250*A</v>
      </c>
      <c r="B766" s="273">
        <f>ROUND(AI59,0)</f>
        <v>1967</v>
      </c>
      <c r="C766" s="275">
        <f>ROUND(AI60,2)</f>
        <v>31.64</v>
      </c>
      <c r="D766" s="273">
        <f>ROUND(AI61,0)</f>
        <v>1952100</v>
      </c>
      <c r="E766" s="273">
        <f>ROUND(AI62,0)</f>
        <v>215882</v>
      </c>
      <c r="F766" s="273">
        <f>ROUND(AI63,0)</f>
        <v>0</v>
      </c>
      <c r="G766" s="273">
        <f>ROUND(AI64,0)</f>
        <v>332036</v>
      </c>
      <c r="H766" s="273">
        <f>ROUND(AI65,0)</f>
        <v>0</v>
      </c>
      <c r="I766" s="273">
        <f>ROUND(AI66,0)</f>
        <v>9176</v>
      </c>
      <c r="J766" s="273">
        <f>ROUND(AI67,0)</f>
        <v>0</v>
      </c>
      <c r="K766" s="273">
        <f>ROUND(AI68,0)</f>
        <v>1</v>
      </c>
      <c r="L766" s="273">
        <f>ROUND(AI69,0)</f>
        <v>54875</v>
      </c>
      <c r="M766" s="273">
        <f>ROUND(AI70,0)</f>
        <v>0</v>
      </c>
      <c r="N766" s="273">
        <f>ROUND(AI75,0)</f>
        <v>2253203</v>
      </c>
      <c r="O766" s="273">
        <f>ROUND(AI73,0)</f>
        <v>353987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1269</v>
      </c>
      <c r="S766" s="273">
        <f>IF(AI79&gt;0,ROUND(AI79,0),0)</f>
        <v>33224</v>
      </c>
      <c r="T766" s="275">
        <f>IF(AI80&gt;0,ROUND(AI80,2),0)</f>
        <v>16.579999999999998</v>
      </c>
      <c r="U766" s="273"/>
      <c r="V766" s="274"/>
      <c r="W766" s="273"/>
      <c r="X766" s="273"/>
      <c r="Y766" s="273">
        <f t="shared" si="26"/>
        <v>899042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>
      <c r="A767" s="209" t="str">
        <f>RIGHT($C$83,3)&amp;"*"&amp;RIGHT($C$82,4)&amp;"*"&amp;AJ$55&amp;"*"&amp;"A"</f>
        <v>197*2021*7260*A</v>
      </c>
      <c r="B767" s="273">
        <f>ROUND(AJ59,0)</f>
        <v>0</v>
      </c>
      <c r="C767" s="275">
        <f>ROUND(AJ60,2)</f>
        <v>2.2999999999999998</v>
      </c>
      <c r="D767" s="273">
        <f>ROUND(AJ61,0)</f>
        <v>208732</v>
      </c>
      <c r="E767" s="273">
        <f>ROUND(AJ62,0)</f>
        <v>32345</v>
      </c>
      <c r="F767" s="273">
        <f>ROUND(AJ63,0)</f>
        <v>0</v>
      </c>
      <c r="G767" s="273">
        <f>ROUND(AJ64,0)</f>
        <v>20923</v>
      </c>
      <c r="H767" s="273">
        <f>ROUND(AJ65,0)</f>
        <v>3217</v>
      </c>
      <c r="I767" s="273">
        <f>ROUND(AJ66,0)</f>
        <v>164815</v>
      </c>
      <c r="J767" s="273">
        <f>ROUND(AJ67,0)</f>
        <v>2553468</v>
      </c>
      <c r="K767" s="273">
        <f>ROUND(AJ68,0)</f>
        <v>1485</v>
      </c>
      <c r="L767" s="273">
        <f>ROUND(AJ69,0)</f>
        <v>0</v>
      </c>
      <c r="M767" s="273">
        <f>ROUND(AJ70,0)</f>
        <v>0</v>
      </c>
      <c r="N767" s="273">
        <f>ROUND(AJ75,0)</f>
        <v>0</v>
      </c>
      <c r="O767" s="273">
        <f>ROUND(AJ73,0)</f>
        <v>0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0</v>
      </c>
      <c r="U767" s="273"/>
      <c r="V767" s="274"/>
      <c r="W767" s="273"/>
      <c r="X767" s="273"/>
      <c r="Y767" s="273">
        <f t="shared" si="26"/>
        <v>614750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>
      <c r="A768" s="209" t="str">
        <f>RIGHT($C$83,3)&amp;"*"&amp;RIGHT($C$82,4)&amp;"*"&amp;AK$55&amp;"*"&amp;"A"</f>
        <v>197*2021*7310*A</v>
      </c>
      <c r="B768" s="273">
        <f>ROUND(AK59,0)</f>
        <v>957</v>
      </c>
      <c r="C768" s="275">
        <f>ROUND(AK60,2)</f>
        <v>1.57</v>
      </c>
      <c r="D768" s="273">
        <f>ROUND(AK61,0)</f>
        <v>99682</v>
      </c>
      <c r="E768" s="273">
        <f>ROUND(AK62,0)</f>
        <v>12386</v>
      </c>
      <c r="F768" s="273">
        <f>ROUND(AK63,0)</f>
        <v>0</v>
      </c>
      <c r="G768" s="273">
        <f>ROUND(AK64,0)</f>
        <v>1415</v>
      </c>
      <c r="H768" s="273">
        <f>ROUND(AK65,0)</f>
        <v>125</v>
      </c>
      <c r="I768" s="273">
        <f>ROUND(AK66,0)</f>
        <v>3</v>
      </c>
      <c r="J768" s="273">
        <f>ROUND(AK67,0)</f>
        <v>0</v>
      </c>
      <c r="K768" s="273">
        <f>ROUND(AK68,0)</f>
        <v>1</v>
      </c>
      <c r="L768" s="273">
        <f>ROUND(AK69,0)</f>
        <v>11472</v>
      </c>
      <c r="M768" s="273">
        <f>ROUND(AK70,0)</f>
        <v>0</v>
      </c>
      <c r="N768" s="273">
        <f>ROUND(AK75,0)</f>
        <v>264513</v>
      </c>
      <c r="O768" s="273">
        <f>ROUND(AK73,0)</f>
        <v>97840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0.67</v>
      </c>
      <c r="U768" s="273"/>
      <c r="V768" s="274"/>
      <c r="W768" s="273"/>
      <c r="X768" s="273"/>
      <c r="Y768" s="273">
        <f t="shared" si="26"/>
        <v>35253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>
      <c r="A769" s="209" t="str">
        <f>RIGHT($C$83,3)&amp;"*"&amp;RIGHT($C$82,4)&amp;"*"&amp;AL$55&amp;"*"&amp;"A"</f>
        <v>197*2021*7320*A</v>
      </c>
      <c r="B769" s="273">
        <f>ROUND(AL59,0)</f>
        <v>0</v>
      </c>
      <c r="C769" s="275">
        <f>ROUND(AL60,2)</f>
        <v>0</v>
      </c>
      <c r="D769" s="273">
        <f>ROUND(AL61,0)</f>
        <v>50145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6"/>
        <v>10102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>
      <c r="A770" s="209" t="str">
        <f>RIGHT($C$83,3)&amp;"*"&amp;RIGHT($C$82,4)&amp;"*"&amp;AM$55&amp;"*"&amp;"A"</f>
        <v>197*2021*7330*A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20669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6"/>
        <v>4164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>
      <c r="A771" s="209" t="str">
        <f>RIGHT($C$83,3)&amp;"*"&amp;RIGHT($C$82,4)&amp;"*"&amp;AN$55&amp;"*"&amp;"A"</f>
        <v>197*2021*7340*A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1217444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6"/>
        <v>245256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>
      <c r="A772" s="209" t="str">
        <f>RIGHT($C$83,3)&amp;"*"&amp;RIGHT($C$82,4)&amp;"*"&amp;AO$55&amp;"*"&amp;"A"</f>
        <v>197*2021*7350*A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6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>
      <c r="A773" s="209" t="str">
        <f>RIGHT($C$83,3)&amp;"*"&amp;RIGHT($C$82,4)&amp;"*"&amp;AP$55&amp;"*"&amp;"A"</f>
        <v>197*2021*7380*A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6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>
      <c r="A774" s="209" t="str">
        <f>RIGHT($C$83,3)&amp;"*"&amp;RIGHT($C$82,4)&amp;"*"&amp;AQ$55&amp;"*"&amp;"A"</f>
        <v>197*2021*7390*A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6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>
      <c r="A775" s="209" t="str">
        <f>RIGHT($C$83,3)&amp;"*"&amp;RIGHT($C$82,4)&amp;"*"&amp;AR$55&amp;"*"&amp;"A"</f>
        <v>197*2021*7400*A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6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>
      <c r="A776" s="209" t="str">
        <f>RIGHT($C$83,3)&amp;"*"&amp;RIGHT($C$82,4)&amp;"*"&amp;AS$55&amp;"*"&amp;"A"</f>
        <v>197*2021*7410*A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6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>
      <c r="A777" s="209" t="str">
        <f>RIGHT($C$83,3)&amp;"*"&amp;RIGHT($C$82,4)&amp;"*"&amp;AT$55&amp;"*"&amp;"A"</f>
        <v>197*2021*7420*A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6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>
      <c r="A778" s="209" t="str">
        <f>RIGHT($C$83,3)&amp;"*"&amp;RIGHT($C$82,4)&amp;"*"&amp;AU$55&amp;"*"&amp;"A"</f>
        <v>197*2021*7430*A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6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>
      <c r="A779" s="209" t="str">
        <f>RIGHT($C$83,3)&amp;"*"&amp;RIGHT($C$82,4)&amp;"*"&amp;AV$55&amp;"*"&amp;"A"</f>
        <v>197*2021*7490*A</v>
      </c>
      <c r="B779" s="273"/>
      <c r="C779" s="275">
        <f>ROUND(AV60,2)</f>
        <v>43.96</v>
      </c>
      <c r="D779" s="273">
        <f>ROUND(AV61,0)</f>
        <v>1250419</v>
      </c>
      <c r="E779" s="273">
        <f>ROUND(AV62,0)</f>
        <v>185332</v>
      </c>
      <c r="F779" s="273">
        <f>ROUND(AV63,0)</f>
        <v>543210</v>
      </c>
      <c r="G779" s="273">
        <f>ROUND(AV64,0)</f>
        <v>242512</v>
      </c>
      <c r="H779" s="273">
        <f>ROUND(AV65,0)</f>
        <v>165</v>
      </c>
      <c r="I779" s="273">
        <f>ROUND(AV66,0)</f>
        <v>804334</v>
      </c>
      <c r="J779" s="273">
        <f>ROUND(AV67,0)</f>
        <v>0</v>
      </c>
      <c r="K779" s="273">
        <f>ROUND(AV68,0)</f>
        <v>12125</v>
      </c>
      <c r="L779" s="273">
        <f>ROUND(AV69,0)</f>
        <v>14703</v>
      </c>
      <c r="M779" s="273">
        <f>ROUND(AV70,0)</f>
        <v>0</v>
      </c>
      <c r="N779" s="273">
        <f>ROUND(AV75,0)</f>
        <v>17112784</v>
      </c>
      <c r="O779" s="273">
        <f>ROUND(AV73,0)</f>
        <v>7186636</v>
      </c>
      <c r="P779" s="273">
        <f>IF(AV76&gt;0,ROUND(AV76,0),0)</f>
        <v>2191</v>
      </c>
      <c r="Q779" s="273">
        <f>IF(AV77&gt;0,ROUND(AV77,0),0)</f>
        <v>0</v>
      </c>
      <c r="R779" s="273">
        <f>IF(AV78&gt;0,ROUND(AV78,0),0)</f>
        <v>11460</v>
      </c>
      <c r="S779" s="273">
        <f>IF(AV79&gt;0,ROUND(AV79,0),0)</f>
        <v>1367</v>
      </c>
      <c r="T779" s="275">
        <f>IF(AV80&gt;0,ROUND(AV80,2),0)</f>
        <v>131.51</v>
      </c>
      <c r="U779" s="273"/>
      <c r="V779" s="274"/>
      <c r="W779" s="273"/>
      <c r="X779" s="273"/>
      <c r="Y779" s="273">
        <f t="shared" si="26"/>
        <v>2195048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>
      <c r="A780" s="209" t="str">
        <f>RIGHT($C$83,3)&amp;"*"&amp;RIGHT($C$82,4)&amp;"*"&amp;AW$55&amp;"*"&amp;"A"</f>
        <v>197*2021*8200*A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>
      <c r="A781" s="209" t="str">
        <f>RIGHT($C$83,3)&amp;"*"&amp;RIGHT($C$82,4)&amp;"*"&amp;AX$55&amp;"*"&amp;"A"</f>
        <v>197*2021*8310*A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62357</v>
      </c>
      <c r="L781" s="273">
        <f>ROUND(AX69,0)</f>
        <v>13452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>
      <c r="A782" s="209" t="str">
        <f>RIGHT($C$83,3)&amp;"*"&amp;RIGHT($C$82,4)&amp;"*"&amp;AY$55&amp;"*"&amp;"A"</f>
        <v>197*2021*8320*A</v>
      </c>
      <c r="B782" s="273">
        <f>ROUND(AY59,0)</f>
        <v>42236</v>
      </c>
      <c r="C782" s="275">
        <f>ROUND(AY60,2)</f>
        <v>34.6</v>
      </c>
      <c r="D782" s="273">
        <f>ROUND(AY61,0)</f>
        <v>963010</v>
      </c>
      <c r="E782" s="273">
        <f>ROUND(AY62,0)</f>
        <v>194187</v>
      </c>
      <c r="F782" s="273">
        <f>ROUND(AY63,0)</f>
        <v>0</v>
      </c>
      <c r="G782" s="273">
        <f>ROUND(AY64,0)</f>
        <v>571581</v>
      </c>
      <c r="H782" s="273">
        <f>ROUND(AY65,0)</f>
        <v>0</v>
      </c>
      <c r="I782" s="273">
        <f>ROUND(AY66,0)</f>
        <v>44429</v>
      </c>
      <c r="J782" s="273">
        <f>ROUND(AY67,0)</f>
        <v>0</v>
      </c>
      <c r="K782" s="273">
        <f>ROUND(AY68,0)</f>
        <v>0</v>
      </c>
      <c r="L782" s="273">
        <f>ROUND(AY69,0)</f>
        <v>13968</v>
      </c>
      <c r="M782" s="273">
        <f>ROUND(AY70,0)</f>
        <v>124439</v>
      </c>
      <c r="N782" s="273"/>
      <c r="O782" s="273"/>
      <c r="P782" s="273">
        <f>IF(AY76&gt;0,ROUND(AY76,0),0)</f>
        <v>5479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>
      <c r="A783" s="209" t="str">
        <f>RIGHT($C$83,3)&amp;"*"&amp;RIGHT($C$82,4)&amp;"*"&amp;AZ$55&amp;"*"&amp;"A"</f>
        <v>197*2021*8330*A</v>
      </c>
      <c r="B783" s="273">
        <f>ROUND(AZ59,0)</f>
        <v>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>
      <c r="A784" s="209" t="str">
        <f>RIGHT($C$83,3)&amp;"*"&amp;RIGHT($C$82,4)&amp;"*"&amp;BA$55&amp;"*"&amp;"A"</f>
        <v>197*2021*8350*A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306209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>
      <c r="A785" s="209" t="str">
        <f>RIGHT($C$83,3)&amp;"*"&amp;RIGHT($C$82,4)&amp;"*"&amp;BB$55&amp;"*"&amp;"A"</f>
        <v>197*2021*8360*A</v>
      </c>
      <c r="B785" s="273"/>
      <c r="C785" s="275">
        <f>ROUND(BB60,2)</f>
        <v>7.19</v>
      </c>
      <c r="D785" s="273">
        <f>ROUND(BB61,0)</f>
        <v>174039</v>
      </c>
      <c r="E785" s="273">
        <f>ROUND(BB62,0)</f>
        <v>15784</v>
      </c>
      <c r="F785" s="273">
        <f>ROUND(BB63,0)</f>
        <v>13749</v>
      </c>
      <c r="G785" s="273">
        <f>ROUND(BB64,0)</f>
        <v>2621</v>
      </c>
      <c r="H785" s="273">
        <f>ROUND(BB65,0)</f>
        <v>0</v>
      </c>
      <c r="I785" s="273">
        <f>ROUND(BB66,0)</f>
        <v>1181</v>
      </c>
      <c r="J785" s="273">
        <f>ROUND(BB67,0)</f>
        <v>0</v>
      </c>
      <c r="K785" s="273">
        <f>ROUND(BB68,0)</f>
        <v>12</v>
      </c>
      <c r="L785" s="273">
        <f>ROUND(BB69,0)</f>
        <v>68726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189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>
      <c r="A786" s="209" t="str">
        <f>RIGHT($C$83,3)&amp;"*"&amp;RIGHT($C$82,4)&amp;"*"&amp;BC$55&amp;"*"&amp;"A"</f>
        <v>197*2021*8370*A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>
      <c r="A787" s="209" t="str">
        <f>RIGHT($C$83,3)&amp;"*"&amp;RIGHT($C$82,4)&amp;"*"&amp;BD$55&amp;"*"&amp;"A"</f>
        <v>197*2021*8420*A</v>
      </c>
      <c r="B787" s="273"/>
      <c r="C787" s="275">
        <f>ROUND(BD60,2)</f>
        <v>5.56</v>
      </c>
      <c r="D787" s="273">
        <f>ROUND(BD61,0)</f>
        <v>464085</v>
      </c>
      <c r="E787" s="273">
        <f>ROUND(BD62,0)</f>
        <v>74303</v>
      </c>
      <c r="F787" s="273">
        <f>ROUND(BD63,0)</f>
        <v>5280</v>
      </c>
      <c r="G787" s="273">
        <f>ROUND(BD64,0)</f>
        <v>4385886</v>
      </c>
      <c r="H787" s="273">
        <f>ROUND(BD65,0)</f>
        <v>0</v>
      </c>
      <c r="I787" s="273">
        <f>ROUND(BD66,0)</f>
        <v>155584</v>
      </c>
      <c r="J787" s="273">
        <f>ROUND(BD67,0)</f>
        <v>0</v>
      </c>
      <c r="K787" s="273">
        <f>ROUND(BD68,0)</f>
        <v>446</v>
      </c>
      <c r="L787" s="273">
        <f>ROUND(BD69,0)</f>
        <v>79577</v>
      </c>
      <c r="M787" s="273">
        <f>ROUND(BD70,0)</f>
        <v>0</v>
      </c>
      <c r="N787" s="273"/>
      <c r="O787" s="273"/>
      <c r="P787" s="273">
        <f>IF(BD76&gt;0,ROUND(BD76,0),0)</f>
        <v>2565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>
      <c r="A788" s="209" t="str">
        <f>RIGHT($C$83,3)&amp;"*"&amp;RIGHT($C$82,4)&amp;"*"&amp;BE$55&amp;"*"&amp;"A"</f>
        <v>197*2021*8430*A</v>
      </c>
      <c r="B788" s="273">
        <f>ROUND(BE59,0)</f>
        <v>209704</v>
      </c>
      <c r="C788" s="275">
        <f>ROUND(BE60,2)</f>
        <v>19.2</v>
      </c>
      <c r="D788" s="273">
        <f>ROUND(BE61,0)</f>
        <v>655376</v>
      </c>
      <c r="E788" s="273">
        <f>ROUND(BE62,0)</f>
        <v>83049</v>
      </c>
      <c r="F788" s="273">
        <f>ROUND(BE63,0)</f>
        <v>6544</v>
      </c>
      <c r="G788" s="273">
        <f>ROUND(BE64,0)</f>
        <v>47668</v>
      </c>
      <c r="H788" s="273">
        <f>ROUND(BE65,0)</f>
        <v>782371</v>
      </c>
      <c r="I788" s="273">
        <f>ROUND(BE66,0)</f>
        <v>1323997</v>
      </c>
      <c r="J788" s="273">
        <f>ROUND(BE67,0)</f>
        <v>0</v>
      </c>
      <c r="K788" s="273">
        <f>ROUND(BE68,0)</f>
        <v>2804</v>
      </c>
      <c r="L788" s="273">
        <f>ROUND(BE69,0)</f>
        <v>323168</v>
      </c>
      <c r="M788" s="273">
        <f>ROUND(BE70,0)</f>
        <v>0</v>
      </c>
      <c r="N788" s="273"/>
      <c r="O788" s="273"/>
      <c r="P788" s="273">
        <f>IF(BE76&gt;0,ROUND(BE76,0),0)</f>
        <v>45772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>
      <c r="A789" s="209" t="str">
        <f>RIGHT($C$83,3)&amp;"*"&amp;RIGHT($C$82,4)&amp;"*"&amp;BF$55&amp;"*"&amp;"A"</f>
        <v>197*2021*8460*A</v>
      </c>
      <c r="B789" s="273"/>
      <c r="C789" s="275">
        <f>ROUND(BF60,2)</f>
        <v>35.83</v>
      </c>
      <c r="D789" s="273">
        <f>ROUND(BF61,0)</f>
        <v>725007</v>
      </c>
      <c r="E789" s="273">
        <f>ROUND(BF62,0)</f>
        <v>171377</v>
      </c>
      <c r="F789" s="273">
        <f>ROUND(BF63,0)</f>
        <v>0</v>
      </c>
      <c r="G789" s="273">
        <f>ROUND(BF64,0)</f>
        <v>134280</v>
      </c>
      <c r="H789" s="273">
        <f>ROUND(BF65,0)</f>
        <v>0</v>
      </c>
      <c r="I789" s="273">
        <f>ROUND(BF66,0)</f>
        <v>316330</v>
      </c>
      <c r="J789" s="273">
        <f>ROUND(BF67,0)</f>
        <v>0</v>
      </c>
      <c r="K789" s="273">
        <f>ROUND(BF68,0)</f>
        <v>0</v>
      </c>
      <c r="L789" s="273">
        <f>ROUND(BF69,0)</f>
        <v>6751</v>
      </c>
      <c r="M789" s="273">
        <f>ROUND(BF70,0)</f>
        <v>160</v>
      </c>
      <c r="N789" s="273"/>
      <c r="O789" s="273"/>
      <c r="P789" s="273">
        <f>IF(BF76&gt;0,ROUND(BF76,0),0)</f>
        <v>2289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>
      <c r="A790" s="209" t="str">
        <f>RIGHT($C$83,3)&amp;"*"&amp;RIGHT($C$82,4)&amp;"*"&amp;BG$55&amp;"*"&amp;"A"</f>
        <v>197*2021*8470*A</v>
      </c>
      <c r="B790" s="273"/>
      <c r="C790" s="275">
        <f>ROUND(BG60,2)</f>
        <v>2.79</v>
      </c>
      <c r="D790" s="273">
        <f>ROUND(BG61,0)</f>
        <v>65026</v>
      </c>
      <c r="E790" s="273">
        <f>ROUND(BG62,0)</f>
        <v>16633</v>
      </c>
      <c r="F790" s="273">
        <f>ROUND(BG63,0)</f>
        <v>0</v>
      </c>
      <c r="G790" s="273">
        <f>ROUND(BG64,0)</f>
        <v>0</v>
      </c>
      <c r="H790" s="273">
        <f>ROUND(BG65,0)</f>
        <v>69016</v>
      </c>
      <c r="I790" s="273">
        <f>ROUND(BG66,0)</f>
        <v>854</v>
      </c>
      <c r="J790" s="273">
        <f>ROUND(BG67,0)</f>
        <v>0</v>
      </c>
      <c r="K790" s="273">
        <f>ROUND(BG68,0)</f>
        <v>0</v>
      </c>
      <c r="L790" s="273">
        <f>ROUND(BG69,0)</f>
        <v>110497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>
      <c r="A791" s="209" t="str">
        <f>RIGHT($C$83,3)&amp;"*"&amp;RIGHT($C$82,4)&amp;"*"&amp;BH$55&amp;"*"&amp;"A"</f>
        <v>197*2021*8480*A</v>
      </c>
      <c r="B791" s="273"/>
      <c r="C791" s="275">
        <f>ROUND(BH60,2)</f>
        <v>5.44</v>
      </c>
      <c r="D791" s="273">
        <f>ROUND(BH61,0)</f>
        <v>129029</v>
      </c>
      <c r="E791" s="273">
        <f>ROUND(BH62,0)</f>
        <v>9932</v>
      </c>
      <c r="F791" s="273">
        <f>ROUND(BH63,0)</f>
        <v>0</v>
      </c>
      <c r="G791" s="273">
        <f>ROUND(BH64,0)</f>
        <v>17403</v>
      </c>
      <c r="H791" s="273">
        <f>ROUND(BH65,0)</f>
        <v>0</v>
      </c>
      <c r="I791" s="273">
        <f>ROUND(BH66,0)</f>
        <v>446582</v>
      </c>
      <c r="J791" s="273">
        <f>ROUND(BH67,0)</f>
        <v>0</v>
      </c>
      <c r="K791" s="273">
        <f>ROUND(BH68,0)</f>
        <v>0</v>
      </c>
      <c r="L791" s="273">
        <f>ROUND(BH69,0)</f>
        <v>75002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192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>
      <c r="A792" s="209" t="str">
        <f>RIGHT($C$83,3)&amp;"*"&amp;RIGHT($C$82,4)&amp;"*"&amp;BI$55&amp;"*"&amp;"A"</f>
        <v>197*2021*8490*A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>
      <c r="A793" s="209" t="str">
        <f>RIGHT($C$83,3)&amp;"*"&amp;RIGHT($C$82,4)&amp;"*"&amp;BJ$55&amp;"*"&amp;"A"</f>
        <v>197*2021*8510*A</v>
      </c>
      <c r="B793" s="273"/>
      <c r="C793" s="275">
        <f>ROUND(BJ60,2)</f>
        <v>6.52</v>
      </c>
      <c r="D793" s="273">
        <f>ROUND(BJ61,0)</f>
        <v>285619</v>
      </c>
      <c r="E793" s="273">
        <f>ROUND(BJ62,0)</f>
        <v>31379</v>
      </c>
      <c r="F793" s="273">
        <f>ROUND(BJ63,0)</f>
        <v>2756</v>
      </c>
      <c r="G793" s="273">
        <f>ROUND(BJ64,0)</f>
        <v>6953</v>
      </c>
      <c r="H793" s="273">
        <f>ROUND(BJ65,0)</f>
        <v>0</v>
      </c>
      <c r="I793" s="273">
        <f>ROUND(BJ66,0)</f>
        <v>259654</v>
      </c>
      <c r="J793" s="273">
        <f>ROUND(BJ67,0)</f>
        <v>0</v>
      </c>
      <c r="K793" s="273">
        <f>ROUND(BJ68,0)</f>
        <v>7</v>
      </c>
      <c r="L793" s="273">
        <f>ROUND(BJ69,0)</f>
        <v>36809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>
      <c r="A794" s="209" t="str">
        <f>RIGHT($C$83,3)&amp;"*"&amp;RIGHT($C$82,4)&amp;"*"&amp;BK$55&amp;"*"&amp;"A"</f>
        <v>197*2021*8530*A</v>
      </c>
      <c r="B794" s="273"/>
      <c r="C794" s="275">
        <f>ROUND(BK60,2)</f>
        <v>0</v>
      </c>
      <c r="D794" s="273">
        <f>ROUND(BK61,0)</f>
        <v>687</v>
      </c>
      <c r="E794" s="273">
        <f>ROUND(BK62,0)</f>
        <v>169</v>
      </c>
      <c r="F794" s="273">
        <f>ROUND(BK63,0)</f>
        <v>-172</v>
      </c>
      <c r="G794" s="273">
        <f>ROUND(BK64,0)</f>
        <v>6</v>
      </c>
      <c r="H794" s="273">
        <f>ROUND(BK65,0)</f>
        <v>0</v>
      </c>
      <c r="I794" s="273">
        <f>ROUND(BK66,0)</f>
        <v>2234371</v>
      </c>
      <c r="J794" s="273">
        <f>ROUND(BK67,0)</f>
        <v>0</v>
      </c>
      <c r="K794" s="273">
        <f>ROUND(BK68,0)</f>
        <v>0</v>
      </c>
      <c r="L794" s="273">
        <f>ROUND(BK69,0)</f>
        <v>8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>
      <c r="A795" s="209" t="str">
        <f>RIGHT($C$83,3)&amp;"*"&amp;RIGHT($C$82,4)&amp;"*"&amp;BL$55&amp;"*"&amp;"A"</f>
        <v>197*2021*8560*A</v>
      </c>
      <c r="B795" s="273"/>
      <c r="C795" s="275">
        <f>ROUND(BL60,2)</f>
        <v>5.67</v>
      </c>
      <c r="D795" s="273">
        <f>ROUND(BL61,0)</f>
        <v>163581</v>
      </c>
      <c r="E795" s="273">
        <f>ROUND(BL62,0)</f>
        <v>30912</v>
      </c>
      <c r="F795" s="273">
        <f>ROUND(BL63,0)</f>
        <v>0</v>
      </c>
      <c r="G795" s="273">
        <f>ROUND(BL64,0)</f>
        <v>2960</v>
      </c>
      <c r="H795" s="273">
        <f>ROUND(BL65,0)</f>
        <v>0</v>
      </c>
      <c r="I795" s="273">
        <f>ROUND(BL66,0)</f>
        <v>0</v>
      </c>
      <c r="J795" s="273">
        <f>ROUND(BL67,0)</f>
        <v>0</v>
      </c>
      <c r="K795" s="273">
        <f>ROUND(BL68,0)</f>
        <v>0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459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>
      <c r="A796" s="209" t="str">
        <f>RIGHT($C$83,3)&amp;"*"&amp;RIGHT($C$82,4)&amp;"*"&amp;BM$55&amp;"*"&amp;"A"</f>
        <v>197*2021*8590*A</v>
      </c>
      <c r="B796" s="273"/>
      <c r="C796" s="275">
        <f>ROUND(BM60,2)</f>
        <v>16.420000000000002</v>
      </c>
      <c r="D796" s="273">
        <f>ROUND(BM61,0)</f>
        <v>184879</v>
      </c>
      <c r="E796" s="273">
        <f>ROUND(BM62,0)</f>
        <v>13574</v>
      </c>
      <c r="F796" s="273">
        <f>ROUND(BM63,0)</f>
        <v>0</v>
      </c>
      <c r="G796" s="273">
        <f>ROUND(BM64,0)</f>
        <v>5248</v>
      </c>
      <c r="H796" s="273">
        <f>ROUND(BM65,0)</f>
        <v>0</v>
      </c>
      <c r="I796" s="273">
        <f>ROUND(BM66,0)</f>
        <v>10154</v>
      </c>
      <c r="J796" s="273">
        <f>ROUND(BM67,0)</f>
        <v>0</v>
      </c>
      <c r="K796" s="273">
        <f>ROUND(BM68,0)</f>
        <v>0</v>
      </c>
      <c r="L796" s="273">
        <f>ROUND(BM69,0)</f>
        <v>60305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>
      <c r="A797" s="209" t="str">
        <f>RIGHT($C$83,3)&amp;"*"&amp;RIGHT($C$82,4)&amp;"*"&amp;BN$55&amp;"*"&amp;"A"</f>
        <v>197*2021*8610*A</v>
      </c>
      <c r="B797" s="273"/>
      <c r="C797" s="275">
        <f>ROUND(BN60,2)</f>
        <v>17.68</v>
      </c>
      <c r="D797" s="273">
        <f>ROUND(BN61,0)</f>
        <v>1044596</v>
      </c>
      <c r="E797" s="273">
        <f>ROUND(BN62,0)</f>
        <v>318665</v>
      </c>
      <c r="F797" s="273">
        <f>ROUND(BN63,0)</f>
        <v>323993</v>
      </c>
      <c r="G797" s="273">
        <f>ROUND(BN64,0)</f>
        <v>96479</v>
      </c>
      <c r="H797" s="273">
        <f>ROUND(BN65,0)</f>
        <v>90</v>
      </c>
      <c r="I797" s="273">
        <f>ROUND(BN66,0)</f>
        <v>1751196</v>
      </c>
      <c r="J797" s="273">
        <f>ROUND(BN67,0)</f>
        <v>0</v>
      </c>
      <c r="K797" s="273">
        <f>ROUND(BN68,0)</f>
        <v>121716</v>
      </c>
      <c r="L797" s="273">
        <f>ROUND(BN69,0)</f>
        <v>975089</v>
      </c>
      <c r="M797" s="273">
        <f>ROUND(BN70,0)</f>
        <v>2507030</v>
      </c>
      <c r="N797" s="273"/>
      <c r="O797" s="273"/>
      <c r="P797" s="273">
        <f>IF(BN76&gt;0,ROUND(BN76,0),0)</f>
        <v>10381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>
      <c r="A798" s="209" t="str">
        <f>RIGHT($C$83,3)&amp;"*"&amp;RIGHT($C$82,4)&amp;"*"&amp;BO$55&amp;"*"&amp;"A"</f>
        <v>197*2021*8620*A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>
      <c r="A799" s="209" t="str">
        <f>RIGHT($C$83,3)&amp;"*"&amp;RIGHT($C$82,4)&amp;"*"&amp;BP$55&amp;"*"&amp;"A"</f>
        <v>197*2021*8630*A</v>
      </c>
      <c r="B799" s="273"/>
      <c r="C799" s="275">
        <f>ROUND(BP60,2)</f>
        <v>1.07</v>
      </c>
      <c r="D799" s="273">
        <f>ROUND(BP61,0)</f>
        <v>16562</v>
      </c>
      <c r="E799" s="273">
        <f>ROUND(BP62,0)</f>
        <v>1245</v>
      </c>
      <c r="F799" s="273">
        <f>ROUND(BP63,0)</f>
        <v>0</v>
      </c>
      <c r="G799" s="273">
        <f>ROUND(BP64,0)</f>
        <v>255</v>
      </c>
      <c r="H799" s="273">
        <f>ROUND(BP65,0)</f>
        <v>0</v>
      </c>
      <c r="I799" s="273">
        <f>ROUND(BP66,0)</f>
        <v>3401</v>
      </c>
      <c r="J799" s="273">
        <f>ROUND(BP67,0)</f>
        <v>0</v>
      </c>
      <c r="K799" s="273">
        <f>ROUND(BP68,0)</f>
        <v>0</v>
      </c>
      <c r="L799" s="273">
        <f>ROUND(BP69,0)</f>
        <v>45999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>
      <c r="A800" s="209" t="str">
        <f>RIGHT($C$83,3)&amp;"*"&amp;RIGHT($C$82,4)&amp;"*"&amp;BQ$55&amp;"*"&amp;"A"</f>
        <v>197*2021*8640*A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>
      <c r="A801" s="209" t="str">
        <f>RIGHT($C$83,3)&amp;"*"&amp;RIGHT($C$82,4)&amp;"*"&amp;BR$55&amp;"*"&amp;"A"</f>
        <v>197*2021*8650*A</v>
      </c>
      <c r="B801" s="273"/>
      <c r="C801" s="275">
        <f>ROUND(BR60,2)</f>
        <v>4.75</v>
      </c>
      <c r="D801" s="273">
        <f>ROUND(BR61,0)</f>
        <v>86565</v>
      </c>
      <c r="E801" s="273">
        <f>ROUND(BR62,0)</f>
        <v>1148366</v>
      </c>
      <c r="F801" s="273">
        <f>ROUND(BR63,0)</f>
        <v>0</v>
      </c>
      <c r="G801" s="273">
        <f>ROUND(BR64,0)</f>
        <v>936</v>
      </c>
      <c r="H801" s="273">
        <f>ROUND(BR65,0)</f>
        <v>0</v>
      </c>
      <c r="I801" s="273">
        <f>ROUND(BR66,0)</f>
        <v>44171</v>
      </c>
      <c r="J801" s="273">
        <f>ROUND(BR67,0)</f>
        <v>0</v>
      </c>
      <c r="K801" s="273">
        <f>ROUND(BR68,0)</f>
        <v>0</v>
      </c>
      <c r="L801" s="273">
        <f>ROUND(BR69,0)</f>
        <v>47357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>
      <c r="A802" s="209" t="str">
        <f>RIGHT($C$83,3)&amp;"*"&amp;RIGHT($C$82,4)&amp;"*"&amp;BS$55&amp;"*"&amp;"A"</f>
        <v>197*2021*8660*A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73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>
      <c r="A803" s="209" t="str">
        <f>RIGHT($C$83,3)&amp;"*"&amp;RIGHT($C$82,4)&amp;"*"&amp;BT$55&amp;"*"&amp;"A"</f>
        <v>197*2021*8670*A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>
      <c r="A804" s="209" t="str">
        <f>RIGHT($C$83,3)&amp;"*"&amp;RIGHT($C$82,4)&amp;"*"&amp;BU$55&amp;"*"&amp;"A"</f>
        <v>197*2021*8680*A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>
      <c r="A805" s="209" t="str">
        <f>RIGHT($C$83,3)&amp;"*"&amp;RIGHT($C$82,4)&amp;"*"&amp;BV$55&amp;"*"&amp;"A"</f>
        <v>197*2021*8690*A</v>
      </c>
      <c r="B805" s="273"/>
      <c r="C805" s="275">
        <f>ROUND(BV60,2)</f>
        <v>11.21</v>
      </c>
      <c r="D805" s="273">
        <f>ROUND(BV61,0)</f>
        <v>176289</v>
      </c>
      <c r="E805" s="273">
        <f>ROUND(BV62,0)</f>
        <v>13983</v>
      </c>
      <c r="F805" s="273">
        <f>ROUND(BV63,0)</f>
        <v>0</v>
      </c>
      <c r="G805" s="273">
        <f>ROUND(BV64,0)</f>
        <v>1532</v>
      </c>
      <c r="H805" s="273">
        <f>ROUND(BV65,0)</f>
        <v>0</v>
      </c>
      <c r="I805" s="273">
        <f>ROUND(BV66,0)</f>
        <v>53038</v>
      </c>
      <c r="J805" s="273">
        <f>ROUND(BV67,0)</f>
        <v>0</v>
      </c>
      <c r="K805" s="273">
        <f>ROUND(BV68,0)</f>
        <v>10243</v>
      </c>
      <c r="L805" s="273">
        <f>ROUND(BV69,0)</f>
        <v>2018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855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>
      <c r="A806" s="209" t="str">
        <f>RIGHT($C$83,3)&amp;"*"&amp;RIGHT($C$82,4)&amp;"*"&amp;BW$55&amp;"*"&amp;"A"</f>
        <v>197*2021*8700*A</v>
      </c>
      <c r="B806" s="273"/>
      <c r="C806" s="275">
        <f>ROUND(BW60,2)</f>
        <v>2.67</v>
      </c>
      <c r="D806" s="273">
        <f>ROUND(BW61,0)</f>
        <v>163285</v>
      </c>
      <c r="E806" s="273">
        <f>ROUND(BW62,0)</f>
        <v>23769</v>
      </c>
      <c r="F806" s="273">
        <f>ROUND(BW63,0)</f>
        <v>3419</v>
      </c>
      <c r="G806" s="273">
        <f>ROUND(BW64,0)</f>
        <v>3526</v>
      </c>
      <c r="H806" s="273">
        <f>ROUND(BW65,0)</f>
        <v>0</v>
      </c>
      <c r="I806" s="273">
        <f>ROUND(BW66,0)</f>
        <v>12880</v>
      </c>
      <c r="J806" s="273">
        <f>ROUND(BW67,0)</f>
        <v>0</v>
      </c>
      <c r="K806" s="273">
        <f>ROUND(BW68,0)</f>
        <v>238</v>
      </c>
      <c r="L806" s="273">
        <f>ROUND(BW69,0)</f>
        <v>-1382</v>
      </c>
      <c r="M806" s="273">
        <f>ROUND(BW70,0)</f>
        <v>0</v>
      </c>
      <c r="N806" s="273"/>
      <c r="O806" s="273"/>
      <c r="P806" s="273">
        <f>IF(BW76&gt;0,ROUND(BW76,0),0)</f>
        <v>1901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>
      <c r="A807" s="209" t="str">
        <f>RIGHT($C$83,3)&amp;"*"&amp;RIGHT($C$82,4)&amp;"*"&amp;BX$55&amp;"*"&amp;"A"</f>
        <v>197*2021*8710*A</v>
      </c>
      <c r="B807" s="273"/>
      <c r="C807" s="275">
        <f>ROUND(BX60,2)</f>
        <v>8.84</v>
      </c>
      <c r="D807" s="273">
        <f>ROUND(BX61,0)</f>
        <v>744400</v>
      </c>
      <c r="E807" s="273">
        <f>ROUND(BX62,0)</f>
        <v>65144</v>
      </c>
      <c r="F807" s="273">
        <f>ROUND(BX63,0)</f>
        <v>39531</v>
      </c>
      <c r="G807" s="273">
        <f>ROUND(BX64,0)</f>
        <v>2002</v>
      </c>
      <c r="H807" s="273">
        <f>ROUND(BX65,0)</f>
        <v>0</v>
      </c>
      <c r="I807" s="273">
        <f>ROUND(BX66,0)</f>
        <v>45442</v>
      </c>
      <c r="J807" s="273">
        <f>ROUND(BX67,0)</f>
        <v>0</v>
      </c>
      <c r="K807" s="273">
        <f>ROUND(BX68,0)</f>
        <v>0</v>
      </c>
      <c r="L807" s="273">
        <f>ROUND(BX69,0)</f>
        <v>83156</v>
      </c>
      <c r="M807" s="273">
        <f>ROUND(BX70,0)</f>
        <v>5846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21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>
      <c r="A808" s="209" t="str">
        <f>RIGHT($C$83,3)&amp;"*"&amp;RIGHT($C$82,4)&amp;"*"&amp;BY$55&amp;"*"&amp;"A"</f>
        <v>197*2021*8720*A</v>
      </c>
      <c r="B808" s="273"/>
      <c r="C808" s="275">
        <f>ROUND(BY60,2)</f>
        <v>8.5</v>
      </c>
      <c r="D808" s="273">
        <f>ROUND(BY61,0)</f>
        <v>974750</v>
      </c>
      <c r="E808" s="273">
        <f>ROUND(BY62,0)</f>
        <v>120956</v>
      </c>
      <c r="F808" s="273">
        <f>ROUND(BY63,0)</f>
        <v>0</v>
      </c>
      <c r="G808" s="273">
        <f>ROUND(BY64,0)</f>
        <v>7207</v>
      </c>
      <c r="H808" s="273">
        <f>ROUND(BY65,0)</f>
        <v>0</v>
      </c>
      <c r="I808" s="273">
        <f>ROUND(BY66,0)</f>
        <v>7614</v>
      </c>
      <c r="J808" s="273">
        <f>ROUND(BY67,0)</f>
        <v>0</v>
      </c>
      <c r="K808" s="273">
        <f>ROUND(BY68,0)</f>
        <v>119</v>
      </c>
      <c r="L808" s="273">
        <f>ROUND(BY69,0)</f>
        <v>42706</v>
      </c>
      <c r="M808" s="273">
        <f>ROUND(BY70,0)</f>
        <v>0</v>
      </c>
      <c r="N808" s="273"/>
      <c r="O808" s="273"/>
      <c r="P808" s="273">
        <f>IF(BY76&gt;0,ROUND(BY76,0),0)</f>
        <v>1165</v>
      </c>
      <c r="Q808" s="273">
        <f>IF(BY77&gt;0,ROUND(BY77,0),0)</f>
        <v>0</v>
      </c>
      <c r="R808" s="273">
        <f>IF(BY78&gt;0,ROUND(BY78,0),0)</f>
        <v>297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>
      <c r="A809" s="209" t="str">
        <f>RIGHT($C$83,3)&amp;"*"&amp;RIGHT($C$82,4)&amp;"*"&amp;BZ$55&amp;"*"&amp;"A"</f>
        <v>197*2021*8730*A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>
      <c r="A810" s="209" t="str">
        <f>RIGHT($C$83,3)&amp;"*"&amp;RIGHT($C$82,4)&amp;"*"&amp;CA$55&amp;"*"&amp;"A"</f>
        <v>197*2021*8740*A</v>
      </c>
      <c r="B810" s="273"/>
      <c r="C810" s="275">
        <f>ROUND(CA60,2)</f>
        <v>1.87</v>
      </c>
      <c r="D810" s="273">
        <f>ROUND(CA61,0)</f>
        <v>64761</v>
      </c>
      <c r="E810" s="273">
        <f>ROUND(CA62,0)</f>
        <v>4834</v>
      </c>
      <c r="F810" s="273">
        <f>ROUND(CA63,0)</f>
        <v>0</v>
      </c>
      <c r="G810" s="273">
        <f>ROUND(CA64,0)</f>
        <v>693</v>
      </c>
      <c r="H810" s="273">
        <f>ROUND(CA65,0)</f>
        <v>0</v>
      </c>
      <c r="I810" s="273">
        <f>ROUND(CA66,0)</f>
        <v>1000</v>
      </c>
      <c r="J810" s="273">
        <f>ROUND(CA67,0)</f>
        <v>0</v>
      </c>
      <c r="K810" s="273">
        <f>ROUND(CA68,0)</f>
        <v>0</v>
      </c>
      <c r="L810" s="273">
        <f>ROUND(CA69,0)</f>
        <v>20022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571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>
      <c r="A811" s="209" t="str">
        <f>RIGHT($C$83,3)&amp;"*"&amp;RIGHT($C$82,4)&amp;"*"&amp;CB$55&amp;"*"&amp;"A"</f>
        <v>197*2021*8770*A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>
      <c r="A812" s="209" t="str">
        <f>RIGHT($C$83,3)&amp;"*"&amp;RIGHT($C$82,4)&amp;"*"&amp;CC$55&amp;"*"&amp;"A"</f>
        <v>197*2021*8790*A</v>
      </c>
      <c r="B812" s="273"/>
      <c r="C812" s="275">
        <f>ROUND(CC60,2)</f>
        <v>39.520000000000003</v>
      </c>
      <c r="D812" s="273">
        <f>ROUND(CC61,0)</f>
        <v>2545130</v>
      </c>
      <c r="E812" s="273">
        <f>ROUND(CC62,0)</f>
        <v>477673</v>
      </c>
      <c r="F812" s="273">
        <f>ROUND(CC63,0)</f>
        <v>212864</v>
      </c>
      <c r="G812" s="273">
        <f>ROUND(CC64,0)</f>
        <v>206550</v>
      </c>
      <c r="H812" s="273">
        <f>ROUND(CC65,0)</f>
        <v>185308</v>
      </c>
      <c r="I812" s="273">
        <f>ROUND(CC66,0)</f>
        <v>6039802</v>
      </c>
      <c r="J812" s="273">
        <f>ROUND(CC67,0)</f>
        <v>0</v>
      </c>
      <c r="K812" s="273">
        <f>ROUND(CC68,0)</f>
        <v>8657872</v>
      </c>
      <c r="L812" s="273">
        <f>ROUND(CC69,0)</f>
        <v>3198772</v>
      </c>
      <c r="M812" s="273">
        <f>ROUND(CC70,0)</f>
        <v>7247883</v>
      </c>
      <c r="N812" s="273"/>
      <c r="O812" s="273"/>
      <c r="P812" s="273">
        <f>IF(CC76&gt;0,ROUND(CC76,0),0)</f>
        <v>42094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>
      <c r="A813" s="209" t="str">
        <f>RIGHT($C$83,3)&amp;"*"&amp;RIGHT($C$82,4)&amp;"*"&amp;"9000"&amp;"*"&amp;"A"</f>
        <v>197*2021*9000*A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2106925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>
      <c r="B815" s="277" t="s">
        <v>1004</v>
      </c>
      <c r="C815" s="278">
        <f t="shared" ref="C815:K815" si="27">SUM(C734:C813)</f>
        <v>800.3900000000001</v>
      </c>
      <c r="D815" s="274">
        <f t="shared" si="27"/>
        <v>44946489</v>
      </c>
      <c r="E815" s="274">
        <f t="shared" si="27"/>
        <v>6704635</v>
      </c>
      <c r="F815" s="274">
        <f t="shared" si="27"/>
        <v>5190751</v>
      </c>
      <c r="G815" s="274">
        <f t="shared" si="27"/>
        <v>21385903</v>
      </c>
      <c r="H815" s="274">
        <f t="shared" si="27"/>
        <v>1043834</v>
      </c>
      <c r="I815" s="274">
        <f t="shared" si="27"/>
        <v>18434721</v>
      </c>
      <c r="J815" s="274">
        <f t="shared" si="27"/>
        <v>4947739</v>
      </c>
      <c r="K815" s="274">
        <f t="shared" si="27"/>
        <v>11308757</v>
      </c>
      <c r="L815" s="274">
        <f>SUM(L734:L813)+SUM(U734:U813)</f>
        <v>10195107</v>
      </c>
      <c r="M815" s="274">
        <f>SUM(M734:M813)+SUM(V734:V813)</f>
        <v>10030849</v>
      </c>
      <c r="N815" s="274">
        <f t="shared" ref="N815:Y815" si="28">SUM(N734:N813)</f>
        <v>599564642</v>
      </c>
      <c r="O815" s="274">
        <f t="shared" si="28"/>
        <v>243571797</v>
      </c>
      <c r="P815" s="274">
        <f t="shared" si="28"/>
        <v>209705</v>
      </c>
      <c r="Q815" s="274">
        <f t="shared" si="28"/>
        <v>42236</v>
      </c>
      <c r="R815" s="274">
        <f t="shared" si="28"/>
        <v>39604</v>
      </c>
      <c r="S815" s="274" t="e">
        <f t="shared" si="28"/>
        <v>#REF!</v>
      </c>
      <c r="T815" s="278">
        <f t="shared" si="28"/>
        <v>366.69999999999993</v>
      </c>
      <c r="U815" s="274">
        <f t="shared" si="28"/>
        <v>2106925</v>
      </c>
      <c r="V815" s="274">
        <f t="shared" si="28"/>
        <v>0</v>
      </c>
      <c r="W815" s="274">
        <f t="shared" si="28"/>
        <v>0</v>
      </c>
      <c r="X815" s="274">
        <f t="shared" si="28"/>
        <v>0</v>
      </c>
      <c r="Y815" s="274" t="e">
        <f t="shared" si="28"/>
        <v>#REF!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>
      <c r="B816" s="274" t="s">
        <v>1005</v>
      </c>
      <c r="C816" s="278">
        <f>CE60</f>
        <v>800.34884652600056</v>
      </c>
      <c r="D816" s="274">
        <f>CE61</f>
        <v>44946486.840000011</v>
      </c>
      <c r="E816" s="274">
        <f>CE62</f>
        <v>6704635</v>
      </c>
      <c r="F816" s="274">
        <f>CE63</f>
        <v>5190751.7599999988</v>
      </c>
      <c r="G816" s="274">
        <f>CE64</f>
        <v>21385901.969999999</v>
      </c>
      <c r="H816" s="277">
        <f>CE65</f>
        <v>1043833.3</v>
      </c>
      <c r="I816" s="277">
        <f>CE66</f>
        <v>18434720.610000007</v>
      </c>
      <c r="J816" s="277">
        <f>CE67</f>
        <v>4947739</v>
      </c>
      <c r="K816" s="277">
        <f>CE68</f>
        <v>11308756.129999999</v>
      </c>
      <c r="L816" s="277">
        <f>CE69</f>
        <v>10195107.359999999</v>
      </c>
      <c r="M816" s="277">
        <f>CE70</f>
        <v>10030849.42</v>
      </c>
      <c r="N816" s="274">
        <f>CE75</f>
        <v>599564641.79999995</v>
      </c>
      <c r="O816" s="274">
        <f>CE73</f>
        <v>243571795.96999997</v>
      </c>
      <c r="P816" s="274">
        <f>CE76</f>
        <v>209704.37</v>
      </c>
      <c r="Q816" s="274">
        <f>CE77</f>
        <v>42236</v>
      </c>
      <c r="R816" s="274">
        <f>CE78</f>
        <v>39604</v>
      </c>
      <c r="S816" s="274">
        <f>CE79</f>
        <v>490191</v>
      </c>
      <c r="T816" s="278">
        <f>CE80</f>
        <v>366.69999999999993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38918412.739999995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>
      <c r="B817" s="180" t="s">
        <v>471</v>
      </c>
      <c r="C817" s="199" t="s">
        <v>1007</v>
      </c>
      <c r="D817" s="180">
        <f>C378</f>
        <v>44946486.840000011</v>
      </c>
      <c r="E817" s="180">
        <f>C379</f>
        <v>6704634.8699999992</v>
      </c>
      <c r="F817" s="180">
        <f>C380</f>
        <v>5190751.76</v>
      </c>
      <c r="G817" s="238">
        <f>C381</f>
        <v>21385901.969999999</v>
      </c>
      <c r="H817" s="238">
        <f>C382</f>
        <v>1043833.3</v>
      </c>
      <c r="I817" s="238">
        <f>C383</f>
        <v>18434720.609999999</v>
      </c>
      <c r="J817" s="238">
        <f>C384</f>
        <v>4947738.2</v>
      </c>
      <c r="K817" s="238">
        <f>C385</f>
        <v>11308756.129999999</v>
      </c>
      <c r="L817" s="238">
        <f>C386+C387+C388+C389</f>
        <v>10195107.359999999</v>
      </c>
      <c r="M817" s="238">
        <f>C370</f>
        <v>10079234.42</v>
      </c>
      <c r="N817" s="180">
        <f>D361</f>
        <v>599564641.79999995</v>
      </c>
      <c r="O817" s="180">
        <f>C359</f>
        <v>243571795.97</v>
      </c>
    </row>
  </sheetData>
  <mergeCells count="1">
    <mergeCell ref="B220:C220"/>
  </mergeCells>
  <hyperlinks>
    <hyperlink ref="F16" r:id="rId1" xr:uid="{4C30EADC-CAEC-46B4-8B28-20071B83CB8C}"/>
    <hyperlink ref="C17" r:id="rId2" xr:uid="{5EE0CAB8-7A21-4F0A-A6A1-72E646B26048}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537" transitionEvaluation="1" transitionEntry="1" codeName="Sheet1">
    <pageSetUpPr autoPageBreaks="0" fitToPage="1"/>
  </sheetPr>
  <dimension ref="A1:CF817"/>
  <sheetViews>
    <sheetView showGridLines="0" topLeftCell="A43" zoomScale="75" zoomScaleNormal="75" workbookViewId="0">
      <pane xSplit="2" ySplit="4" topLeftCell="C537" activePane="bottomRight" state="frozen"/>
      <selection pane="topRight" activeCell="C1" sqref="C1"/>
      <selection pane="bottomLeft"/>
      <selection pane="bottomRight" activeCell="F141" sqref="F141:G142"/>
    </sheetView>
  </sheetViews>
  <sheetFormatPr defaultColWidth="11.75" defaultRowHeight="12.65" customHeight="1" outlineLevelRow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hidden="1" customHeight="1" outlineLevel="1">
      <c r="A1" s="231" t="s">
        <v>1232</v>
      </c>
      <c r="B1" s="232"/>
      <c r="C1" s="232"/>
      <c r="D1" s="232"/>
      <c r="E1" s="232"/>
      <c r="F1" s="232"/>
    </row>
    <row r="2" spans="1:6" ht="12.75" hidden="1" customHeight="1" outlineLevel="1">
      <c r="A2" s="232" t="s">
        <v>1233</v>
      </c>
      <c r="B2" s="232"/>
      <c r="C2" s="233"/>
      <c r="D2" s="232"/>
      <c r="E2" s="232"/>
      <c r="F2" s="232"/>
    </row>
    <row r="3" spans="1:6" ht="12.75" hidden="1" customHeight="1" outlineLevel="1">
      <c r="A3" s="199"/>
      <c r="C3" s="234"/>
    </row>
    <row r="4" spans="1:6" ht="12.75" hidden="1" customHeight="1" outlineLevel="1">
      <c r="C4" s="234"/>
    </row>
    <row r="5" spans="1:6" ht="12.75" hidden="1" customHeight="1" outlineLevel="1">
      <c r="A5" s="199" t="s">
        <v>1258</v>
      </c>
      <c r="C5" s="234"/>
    </row>
    <row r="6" spans="1:6" ht="12.75" hidden="1" customHeight="1" outlineLevel="1">
      <c r="A6" s="199" t="s">
        <v>0</v>
      </c>
      <c r="C6" s="234"/>
    </row>
    <row r="7" spans="1:6" ht="12.75" hidden="1" customHeight="1" outlineLevel="1">
      <c r="A7" s="199" t="s">
        <v>1</v>
      </c>
      <c r="C7" s="234"/>
    </row>
    <row r="8" spans="1:6" ht="12.75" hidden="1" customHeight="1" outlineLevel="1">
      <c r="C8" s="234"/>
    </row>
    <row r="9" spans="1:6" ht="12.75" hidden="1" customHeight="1" outlineLevel="1">
      <c r="C9" s="234"/>
    </row>
    <row r="10" spans="1:6" ht="12.75" hidden="1" customHeight="1" outlineLevel="1">
      <c r="A10" s="198" t="s">
        <v>1228</v>
      </c>
      <c r="C10" s="234"/>
    </row>
    <row r="11" spans="1:6" ht="12.75" hidden="1" customHeight="1" outlineLevel="1">
      <c r="A11" s="198" t="s">
        <v>1231</v>
      </c>
      <c r="C11" s="234"/>
    </row>
    <row r="12" spans="1:6" ht="12.75" hidden="1" customHeight="1" outlineLevel="1">
      <c r="C12" s="234"/>
    </row>
    <row r="13" spans="1:6" ht="12.75" hidden="1" customHeight="1" outlineLevel="1">
      <c r="C13" s="234"/>
    </row>
    <row r="14" spans="1:6" ht="12.75" hidden="1" customHeight="1" outlineLevel="1">
      <c r="A14" s="199" t="s">
        <v>2</v>
      </c>
      <c r="C14" s="234"/>
    </row>
    <row r="15" spans="1:6" ht="12.75" hidden="1" customHeight="1" outlineLevel="1">
      <c r="A15" s="199"/>
      <c r="C15" s="234"/>
    </row>
    <row r="16" spans="1:6" ht="12.75" hidden="1" customHeight="1" outlineLevel="1">
      <c r="A16" s="180" t="s">
        <v>1260</v>
      </c>
      <c r="C16" s="234"/>
      <c r="F16" s="280" t="s">
        <v>1259</v>
      </c>
    </row>
    <row r="17" spans="1:6" ht="12.75" hidden="1" customHeight="1" outlineLevel="1">
      <c r="A17" s="180" t="s">
        <v>1230</v>
      </c>
      <c r="C17" s="280" t="s">
        <v>1259</v>
      </c>
    </row>
    <row r="18" spans="1:6" ht="12.75" hidden="1" customHeight="1" outlineLevel="1">
      <c r="A18" s="226"/>
      <c r="C18" s="234"/>
    </row>
    <row r="19" spans="1:6" ht="12.75" hidden="1" customHeight="1" outlineLevel="1">
      <c r="C19" s="234"/>
    </row>
    <row r="20" spans="1:6" ht="12.75" hidden="1" customHeight="1" outlineLevel="1">
      <c r="A20" s="270" t="s">
        <v>1234</v>
      </c>
      <c r="B20" s="270"/>
      <c r="C20" s="281"/>
      <c r="D20" s="270"/>
      <c r="E20" s="270"/>
      <c r="F20" s="270"/>
    </row>
    <row r="21" spans="1:6" ht="22.5" hidden="1" customHeight="1" outlineLevel="1">
      <c r="A21" s="199"/>
      <c r="C21" s="234"/>
    </row>
    <row r="22" spans="1:6" ht="12.65" hidden="1" customHeight="1" outlineLevel="1">
      <c r="A22" s="235" t="s">
        <v>1254</v>
      </c>
      <c r="B22" s="236"/>
      <c r="C22" s="237"/>
      <c r="D22" s="235"/>
      <c r="E22" s="235"/>
    </row>
    <row r="23" spans="1:6" ht="12.65" hidden="1" customHeight="1" outlineLevel="1">
      <c r="B23" s="199"/>
      <c r="C23" s="234"/>
    </row>
    <row r="24" spans="1:6" ht="12.65" hidden="1" customHeight="1" outlineLevel="1">
      <c r="A24" s="238" t="s">
        <v>3</v>
      </c>
      <c r="C24" s="234"/>
    </row>
    <row r="25" spans="1:6" ht="12.65" hidden="1" customHeight="1" outlineLevel="1">
      <c r="A25" s="198" t="s">
        <v>1235</v>
      </c>
      <c r="C25" s="234"/>
    </row>
    <row r="26" spans="1:6" ht="12.65" hidden="1" customHeight="1" outlineLevel="1">
      <c r="A26" s="199" t="s">
        <v>4</v>
      </c>
      <c r="C26" s="234"/>
    </row>
    <row r="27" spans="1:6" ht="12.65" hidden="1" customHeight="1" outlineLevel="1">
      <c r="A27" s="198" t="s">
        <v>1236</v>
      </c>
      <c r="C27" s="234"/>
    </row>
    <row r="28" spans="1:6" ht="12.65" hidden="1" customHeight="1" outlineLevel="1">
      <c r="A28" s="199" t="s">
        <v>5</v>
      </c>
      <c r="C28" s="234"/>
    </row>
    <row r="29" spans="1:6" ht="12.65" hidden="1" customHeight="1" outlineLevel="1">
      <c r="A29" s="198"/>
      <c r="C29" s="234"/>
    </row>
    <row r="30" spans="1:6" ht="12.65" hidden="1" customHeight="1" outlineLevel="1">
      <c r="A30" s="180" t="s">
        <v>6</v>
      </c>
      <c r="C30" s="234"/>
    </row>
    <row r="31" spans="1:6" ht="12.65" hidden="1" customHeight="1" outlineLevel="1">
      <c r="A31" s="199" t="s">
        <v>7</v>
      </c>
      <c r="C31" s="234"/>
    </row>
    <row r="32" spans="1:6" ht="12.65" hidden="1" customHeight="1" outlineLevel="1">
      <c r="A32" s="199" t="s">
        <v>8</v>
      </c>
      <c r="C32" s="234"/>
    </row>
    <row r="33" spans="1:83" ht="12.65" hidden="1" customHeight="1" outlineLevel="1">
      <c r="A33" s="198" t="s">
        <v>1237</v>
      </c>
      <c r="C33" s="234"/>
    </row>
    <row r="34" spans="1:83" ht="12.65" hidden="1" customHeight="1" outlineLevel="1">
      <c r="A34" s="199" t="s">
        <v>9</v>
      </c>
      <c r="C34" s="234"/>
    </row>
    <row r="35" spans="1:83" ht="12.65" hidden="1" customHeight="1" outlineLevel="1">
      <c r="A35" s="199"/>
      <c r="C35" s="234"/>
    </row>
    <row r="36" spans="1:83" ht="12.65" hidden="1" customHeight="1" outlineLevel="1">
      <c r="A36" s="198" t="s">
        <v>1238</v>
      </c>
      <c r="C36" s="234"/>
    </row>
    <row r="37" spans="1:83" ht="12.65" hidden="1" customHeight="1" outlineLevel="1">
      <c r="A37" s="199" t="s">
        <v>1229</v>
      </c>
      <c r="C37" s="234"/>
    </row>
    <row r="38" spans="1:83" ht="12" hidden="1" customHeight="1" outlineLevel="1">
      <c r="A38" s="198"/>
      <c r="C38" s="234"/>
    </row>
    <row r="39" spans="1:83" ht="12.65" hidden="1" customHeight="1" outlineLevel="1">
      <c r="A39" s="199"/>
      <c r="C39" s="234"/>
    </row>
    <row r="40" spans="1:83" ht="12" hidden="1" customHeight="1" outlineLevel="1">
      <c r="A40" s="199"/>
      <c r="C40" s="234"/>
    </row>
    <row r="41" spans="1:83" ht="12" hidden="1" customHeight="1" outlineLevel="1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hidden="1" customHeight="1" outlineLevel="1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collapsed="1">
      <c r="A43" s="199"/>
      <c r="C43" s="234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/>
      <c r="C47" s="184">
        <v>598300.67000000004</v>
      </c>
      <c r="D47" s="184">
        <v>0</v>
      </c>
      <c r="E47" s="184">
        <v>438944.8</v>
      </c>
      <c r="F47" s="184">
        <v>267191.75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184.61</v>
      </c>
      <c r="P47" s="184">
        <v>187737.54</v>
      </c>
      <c r="Q47" s="184">
        <v>0</v>
      </c>
      <c r="R47" s="184">
        <v>105800.56</v>
      </c>
      <c r="S47" s="184">
        <v>100911.43</v>
      </c>
      <c r="T47" s="184">
        <v>0</v>
      </c>
      <c r="U47" s="184">
        <v>199247.63</v>
      </c>
      <c r="V47" s="184">
        <v>0</v>
      </c>
      <c r="W47" s="184">
        <v>17129.46</v>
      </c>
      <c r="X47" s="184">
        <v>34129.609999999993</v>
      </c>
      <c r="Y47" s="184">
        <v>280835.20999999996</v>
      </c>
      <c r="Z47" s="184">
        <v>74326.3</v>
      </c>
      <c r="AA47" s="184">
        <v>19171.549999999996</v>
      </c>
      <c r="AB47" s="184">
        <v>132034.04</v>
      </c>
      <c r="AC47" s="184">
        <v>107031.62000000001</v>
      </c>
      <c r="AD47" s="184">
        <v>0</v>
      </c>
      <c r="AE47" s="184">
        <v>89880.609999999986</v>
      </c>
      <c r="AF47" s="184">
        <v>0</v>
      </c>
      <c r="AG47" s="184">
        <v>314649.06</v>
      </c>
      <c r="AH47" s="184">
        <v>0</v>
      </c>
      <c r="AI47" s="184">
        <v>180985.21999999997</v>
      </c>
      <c r="AJ47" s="184">
        <v>32344.77</v>
      </c>
      <c r="AK47" s="184">
        <v>10846.72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175964.53</v>
      </c>
      <c r="AW47" s="184">
        <v>0</v>
      </c>
      <c r="AX47" s="184">
        <v>0</v>
      </c>
      <c r="AY47" s="184">
        <v>175642.05</v>
      </c>
      <c r="AZ47" s="184">
        <v>0</v>
      </c>
      <c r="BA47" s="184">
        <v>0</v>
      </c>
      <c r="BB47" s="184">
        <v>0</v>
      </c>
      <c r="BC47" s="184">
        <v>0</v>
      </c>
      <c r="BD47" s="184">
        <v>65176.02</v>
      </c>
      <c r="BE47" s="184">
        <v>65097.7</v>
      </c>
      <c r="BF47" s="184">
        <v>155960.92000000001</v>
      </c>
      <c r="BG47" s="184">
        <v>15458.21</v>
      </c>
      <c r="BH47" s="184">
        <v>0</v>
      </c>
      <c r="BI47" s="184">
        <v>0</v>
      </c>
      <c r="BJ47" s="184">
        <v>27334.71</v>
      </c>
      <c r="BK47" s="184">
        <v>168.63</v>
      </c>
      <c r="BL47" s="184">
        <v>28139.64</v>
      </c>
      <c r="BM47" s="184">
        <v>0</v>
      </c>
      <c r="BN47" s="184">
        <v>300699.90999999997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21124.78</v>
      </c>
      <c r="BX47" s="184">
        <v>56188.84</v>
      </c>
      <c r="BY47" s="184">
        <v>102421.81</v>
      </c>
      <c r="BZ47" s="184">
        <v>0</v>
      </c>
      <c r="CA47" s="184">
        <v>0</v>
      </c>
      <c r="CB47" s="184">
        <v>0</v>
      </c>
      <c r="CC47" s="184">
        <v>477672.96000000002</v>
      </c>
      <c r="CD47" s="195"/>
      <c r="CE47" s="195">
        <f>SUM(C47:CC47)</f>
        <v>4858733.8699999992</v>
      </c>
    </row>
    <row r="48" spans="1:83" ht="12.65" customHeight="1">
      <c r="A48" s="175" t="s">
        <v>205</v>
      </c>
      <c r="B48" s="183"/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>
        <v>36511.61</v>
      </c>
      <c r="D51" s="184">
        <v>36838.789999999994</v>
      </c>
      <c r="E51" s="184">
        <v>16178.900000000001</v>
      </c>
      <c r="F51" s="184">
        <v>4460.3899999999994</v>
      </c>
      <c r="G51" s="184">
        <v>557649.53999999992</v>
      </c>
      <c r="H51" s="184">
        <v>7212.12</v>
      </c>
      <c r="I51" s="184">
        <v>77251.22</v>
      </c>
      <c r="J51" s="184">
        <v>5567.5200000000013</v>
      </c>
      <c r="K51" s="184">
        <v>7039.64</v>
      </c>
      <c r="L51" s="184">
        <v>0</v>
      </c>
      <c r="M51" s="184">
        <v>85216.65</v>
      </c>
      <c r="N51" s="184">
        <v>79866.289999999994</v>
      </c>
      <c r="O51" s="184">
        <v>1969.8800000000003</v>
      </c>
      <c r="P51" s="184">
        <v>0</v>
      </c>
      <c r="Q51" s="184">
        <v>1591.32</v>
      </c>
      <c r="R51" s="184">
        <v>0</v>
      </c>
      <c r="S51" s="184">
        <v>16383.63</v>
      </c>
      <c r="T51" s="184">
        <v>0</v>
      </c>
      <c r="U51" s="184">
        <v>87513.52</v>
      </c>
      <c r="V51" s="184">
        <v>0</v>
      </c>
      <c r="W51" s="184">
        <v>0</v>
      </c>
      <c r="X51" s="184">
        <v>110326.74</v>
      </c>
      <c r="Y51" s="184">
        <v>0</v>
      </c>
      <c r="Z51" s="184">
        <v>0</v>
      </c>
      <c r="AA51" s="184">
        <v>5537.82</v>
      </c>
      <c r="AB51" s="184">
        <v>0</v>
      </c>
      <c r="AC51" s="184">
        <v>0</v>
      </c>
      <c r="AD51" s="184">
        <v>8329.869999999999</v>
      </c>
      <c r="AE51" s="184">
        <v>0</v>
      </c>
      <c r="AF51" s="184">
        <v>0</v>
      </c>
      <c r="AG51" s="184">
        <v>10709.74</v>
      </c>
      <c r="AH51" s="184">
        <v>0</v>
      </c>
      <c r="AI51" s="184">
        <v>0</v>
      </c>
      <c r="AJ51" s="184">
        <v>2553468.0699999998</v>
      </c>
      <c r="AK51" s="184">
        <v>0</v>
      </c>
      <c r="AL51" s="184">
        <v>0</v>
      </c>
      <c r="AM51" s="184">
        <v>20669.22</v>
      </c>
      <c r="AN51" s="184">
        <v>1217443.7200000002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4947736.2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>
      <c r="A59" s="171" t="s">
        <v>233</v>
      </c>
      <c r="B59" s="175"/>
      <c r="C59" s="184">
        <v>5341</v>
      </c>
      <c r="D59" s="184">
        <v>4939</v>
      </c>
      <c r="E59" s="184">
        <v>922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6"/>
      <c r="T59" s="246"/>
      <c r="U59" s="224"/>
      <c r="V59" s="185"/>
      <c r="W59" s="185"/>
      <c r="X59" s="185"/>
      <c r="Y59" s="185"/>
      <c r="Z59" s="185"/>
      <c r="AA59" s="185"/>
      <c r="AB59" s="246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42236</v>
      </c>
      <c r="AZ59" s="185"/>
      <c r="BA59" s="246"/>
      <c r="BB59" s="246"/>
      <c r="BC59" s="246"/>
      <c r="BD59" s="246"/>
      <c r="BE59" s="368">
        <v>1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5" customHeight="1">
      <c r="A60" s="248" t="s">
        <v>234</v>
      </c>
      <c r="B60" s="175"/>
      <c r="C60" s="186">
        <v>45.338928075980974</v>
      </c>
      <c r="D60" s="187">
        <v>0</v>
      </c>
      <c r="E60" s="187">
        <v>34.077639721359226</v>
      </c>
      <c r="F60" s="223">
        <v>19.115245202860926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1.0945890409459466E-2</v>
      </c>
      <c r="P60" s="221">
        <v>16.145226710117093</v>
      </c>
      <c r="Q60" s="221">
        <v>0</v>
      </c>
      <c r="R60" s="221">
        <v>6.505919862122477</v>
      </c>
      <c r="S60" s="221">
        <v>10.212798628737973</v>
      </c>
      <c r="T60" s="221">
        <v>0</v>
      </c>
      <c r="U60" s="221">
        <v>15.926083559462182</v>
      </c>
      <c r="V60" s="221">
        <v>0</v>
      </c>
      <c r="W60" s="221">
        <v>1.1559541094306911</v>
      </c>
      <c r="X60" s="221">
        <v>2.435621232543066</v>
      </c>
      <c r="Y60" s="221">
        <v>23.298334928315295</v>
      </c>
      <c r="Z60" s="221">
        <v>5.441042465008076</v>
      </c>
      <c r="AA60" s="221">
        <v>1.6166643833401828</v>
      </c>
      <c r="AB60" s="221">
        <v>9.3989719165206882</v>
      </c>
      <c r="AC60" s="221">
        <v>8.1640328755939677</v>
      </c>
      <c r="AD60" s="221">
        <v>0</v>
      </c>
      <c r="AE60" s="221">
        <v>6.9302349305575026</v>
      </c>
      <c r="AF60" s="221">
        <v>0</v>
      </c>
      <c r="AG60" s="221">
        <v>20.101262326013526</v>
      </c>
      <c r="AH60" s="221">
        <v>0</v>
      </c>
      <c r="AI60" s="221">
        <v>12.749090409212453</v>
      </c>
      <c r="AJ60" s="221">
        <v>2.3019356161230222</v>
      </c>
      <c r="AK60" s="221">
        <v>0.62795273964000653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13.698232874835858</v>
      </c>
      <c r="AW60" s="221">
        <v>0</v>
      </c>
      <c r="AX60" s="221">
        <v>0</v>
      </c>
      <c r="AY60" s="221">
        <v>16.415834244326597</v>
      </c>
      <c r="AZ60" s="221">
        <v>0</v>
      </c>
      <c r="BA60" s="221">
        <v>0</v>
      </c>
      <c r="BB60" s="221">
        <v>0</v>
      </c>
      <c r="BC60" s="221">
        <v>0</v>
      </c>
      <c r="BD60" s="221">
        <v>5.5593664375946075</v>
      </c>
      <c r="BE60" s="221">
        <v>4.916061643162184</v>
      </c>
      <c r="BF60" s="221">
        <v>16.076861641633307</v>
      </c>
      <c r="BG60" s="221">
        <v>1.4148294518609823</v>
      </c>
      <c r="BH60" s="221">
        <v>0</v>
      </c>
      <c r="BI60" s="221">
        <v>0</v>
      </c>
      <c r="BJ60" s="221">
        <v>2.0942273969733942</v>
      </c>
      <c r="BK60" s="221">
        <v>0</v>
      </c>
      <c r="BL60" s="221">
        <v>2.6282410955303783</v>
      </c>
      <c r="BM60" s="221">
        <v>0</v>
      </c>
      <c r="BN60" s="221">
        <v>2.966326711922421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1.4477102737742864</v>
      </c>
      <c r="BX60" s="221">
        <v>5.4754767115787022</v>
      </c>
      <c r="BY60" s="221">
        <v>6.4303486292561169</v>
      </c>
      <c r="BZ60" s="221">
        <v>0</v>
      </c>
      <c r="CA60" s="221">
        <v>0</v>
      </c>
      <c r="CB60" s="221">
        <v>0</v>
      </c>
      <c r="CC60" s="221">
        <v>39.521443830202543</v>
      </c>
      <c r="CD60" s="247" t="s">
        <v>221</v>
      </c>
      <c r="CE60" s="249">
        <f t="shared" ref="CE60:CE70" si="0">SUM(C60:CD60)</f>
        <v>360.19884652600024</v>
      </c>
    </row>
    <row r="61" spans="1:84" ht="12.65" customHeight="1">
      <c r="A61" s="171" t="s">
        <v>235</v>
      </c>
      <c r="B61" s="175"/>
      <c r="C61" s="184">
        <v>5231630.33</v>
      </c>
      <c r="D61" s="184">
        <v>0</v>
      </c>
      <c r="E61" s="184">
        <v>3686250.07</v>
      </c>
      <c r="F61" s="185">
        <v>2317226.1800000002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1183.1400000000001</v>
      </c>
      <c r="P61" s="185">
        <v>2028007.45</v>
      </c>
      <c r="Q61" s="185">
        <v>0</v>
      </c>
      <c r="R61" s="185">
        <v>894694.73999999987</v>
      </c>
      <c r="S61" s="185">
        <v>715229.74</v>
      </c>
      <c r="T61" s="185">
        <v>0</v>
      </c>
      <c r="U61" s="185">
        <v>1126335.32</v>
      </c>
      <c r="V61" s="185">
        <v>0</v>
      </c>
      <c r="W61" s="185">
        <v>139821.75</v>
      </c>
      <c r="X61" s="185">
        <v>237783.16999999998</v>
      </c>
      <c r="Y61" s="185">
        <v>2888952.6100000003</v>
      </c>
      <c r="Z61" s="185">
        <v>466765.17</v>
      </c>
      <c r="AA61" s="185">
        <v>161965.71000000002</v>
      </c>
      <c r="AB61" s="185">
        <v>1059167.0900000001</v>
      </c>
      <c r="AC61" s="185">
        <v>854614.7300000001</v>
      </c>
      <c r="AD61" s="185">
        <v>0</v>
      </c>
      <c r="AE61" s="185">
        <v>541073.62</v>
      </c>
      <c r="AF61" s="185">
        <v>0</v>
      </c>
      <c r="AG61" s="185">
        <v>3037690.76</v>
      </c>
      <c r="AH61" s="185">
        <v>0</v>
      </c>
      <c r="AI61" s="185">
        <v>1473646.0299999998</v>
      </c>
      <c r="AJ61" s="185">
        <v>208731.87</v>
      </c>
      <c r="AK61" s="185">
        <v>79518.720000000001</v>
      </c>
      <c r="AL61" s="185">
        <v>50145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1096310.69</v>
      </c>
      <c r="AW61" s="185">
        <v>0</v>
      </c>
      <c r="AX61" s="185">
        <v>0</v>
      </c>
      <c r="AY61" s="185">
        <v>718301.2699999999</v>
      </c>
      <c r="AZ61" s="185">
        <v>0</v>
      </c>
      <c r="BA61" s="185">
        <v>0</v>
      </c>
      <c r="BB61" s="185">
        <v>0</v>
      </c>
      <c r="BC61" s="185">
        <v>0</v>
      </c>
      <c r="BD61" s="185">
        <v>339137.66000000003</v>
      </c>
      <c r="BE61" s="185">
        <v>409132.59</v>
      </c>
      <c r="BF61" s="185">
        <v>514611.85000000003</v>
      </c>
      <c r="BG61" s="185">
        <v>49819.85</v>
      </c>
      <c r="BH61" s="185">
        <v>0</v>
      </c>
      <c r="BI61" s="185">
        <v>0</v>
      </c>
      <c r="BJ61" s="185">
        <v>225122.47</v>
      </c>
      <c r="BK61" s="185">
        <v>686.85</v>
      </c>
      <c r="BL61" s="185">
        <v>125399.21999999999</v>
      </c>
      <c r="BM61" s="185">
        <v>0</v>
      </c>
      <c r="BN61" s="185">
        <v>738881.84000000008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128169.76999999999</v>
      </c>
      <c r="BX61" s="185">
        <v>622868.78</v>
      </c>
      <c r="BY61" s="185">
        <v>724379.83000000007</v>
      </c>
      <c r="BZ61" s="185">
        <v>0</v>
      </c>
      <c r="CA61" s="185">
        <v>0</v>
      </c>
      <c r="CB61" s="185">
        <v>0</v>
      </c>
      <c r="CC61" s="185">
        <v>2545129.9699999997</v>
      </c>
      <c r="CD61" s="247" t="s">
        <v>221</v>
      </c>
      <c r="CE61" s="195">
        <f t="shared" si="0"/>
        <v>35438385.840000011</v>
      </c>
      <c r="CF61" s="250">
        <f>'data 1Q21 (2)'!CE61</f>
        <v>9508106</v>
      </c>
    </row>
    <row r="62" spans="1:84" ht="12.65" customHeight="1">
      <c r="A62" s="171" t="s">
        <v>3</v>
      </c>
      <c r="B62" s="175"/>
      <c r="C62" s="195">
        <f t="shared" ref="C62:BN62" si="1">ROUND(C47+C48,0)</f>
        <v>598301</v>
      </c>
      <c r="D62" s="195">
        <f t="shared" si="1"/>
        <v>0</v>
      </c>
      <c r="E62" s="195">
        <f t="shared" si="1"/>
        <v>438945</v>
      </c>
      <c r="F62" s="195">
        <f t="shared" si="1"/>
        <v>267192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185</v>
      </c>
      <c r="P62" s="195">
        <f t="shared" si="1"/>
        <v>187738</v>
      </c>
      <c r="Q62" s="195">
        <f t="shared" si="1"/>
        <v>0</v>
      </c>
      <c r="R62" s="195">
        <f t="shared" si="1"/>
        <v>105801</v>
      </c>
      <c r="S62" s="195">
        <f t="shared" si="1"/>
        <v>100911</v>
      </c>
      <c r="T62" s="195">
        <f t="shared" si="1"/>
        <v>0</v>
      </c>
      <c r="U62" s="195">
        <f t="shared" si="1"/>
        <v>199248</v>
      </c>
      <c r="V62" s="195">
        <f t="shared" si="1"/>
        <v>0</v>
      </c>
      <c r="W62" s="195">
        <f t="shared" si="1"/>
        <v>17129</v>
      </c>
      <c r="X62" s="195">
        <f t="shared" si="1"/>
        <v>34130</v>
      </c>
      <c r="Y62" s="195">
        <f t="shared" si="1"/>
        <v>280835</v>
      </c>
      <c r="Z62" s="195">
        <f t="shared" si="1"/>
        <v>74326</v>
      </c>
      <c r="AA62" s="195">
        <f t="shared" si="1"/>
        <v>19172</v>
      </c>
      <c r="AB62" s="195">
        <f t="shared" si="1"/>
        <v>132034</v>
      </c>
      <c r="AC62" s="195">
        <f t="shared" si="1"/>
        <v>107032</v>
      </c>
      <c r="AD62" s="195">
        <f t="shared" si="1"/>
        <v>0</v>
      </c>
      <c r="AE62" s="195">
        <f t="shared" si="1"/>
        <v>89881</v>
      </c>
      <c r="AF62" s="195">
        <f t="shared" si="1"/>
        <v>0</v>
      </c>
      <c r="AG62" s="195">
        <f t="shared" si="1"/>
        <v>314649</v>
      </c>
      <c r="AH62" s="195">
        <f t="shared" si="1"/>
        <v>0</v>
      </c>
      <c r="AI62" s="195">
        <f t="shared" si="1"/>
        <v>180985</v>
      </c>
      <c r="AJ62" s="195">
        <f t="shared" si="1"/>
        <v>32345</v>
      </c>
      <c r="AK62" s="195">
        <f t="shared" si="1"/>
        <v>10847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175965</v>
      </c>
      <c r="AW62" s="195">
        <f t="shared" si="1"/>
        <v>0</v>
      </c>
      <c r="AX62" s="195">
        <f t="shared" si="1"/>
        <v>0</v>
      </c>
      <c r="AY62" s="195">
        <f>ROUND(AY47+AY48,0)</f>
        <v>175642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65176</v>
      </c>
      <c r="BE62" s="195">
        <f t="shared" si="1"/>
        <v>65098</v>
      </c>
      <c r="BF62" s="195">
        <f t="shared" si="1"/>
        <v>155961</v>
      </c>
      <c r="BG62" s="195">
        <f t="shared" si="1"/>
        <v>15458</v>
      </c>
      <c r="BH62" s="195">
        <f t="shared" si="1"/>
        <v>0</v>
      </c>
      <c r="BI62" s="195">
        <f t="shared" si="1"/>
        <v>0</v>
      </c>
      <c r="BJ62" s="195">
        <f t="shared" si="1"/>
        <v>27335</v>
      </c>
      <c r="BK62" s="195">
        <f t="shared" si="1"/>
        <v>169</v>
      </c>
      <c r="BL62" s="195">
        <f t="shared" si="1"/>
        <v>28140</v>
      </c>
      <c r="BM62" s="195">
        <f t="shared" si="1"/>
        <v>0</v>
      </c>
      <c r="BN62" s="195">
        <f t="shared" si="1"/>
        <v>300700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21125</v>
      </c>
      <c r="BX62" s="195">
        <f t="shared" si="2"/>
        <v>56189</v>
      </c>
      <c r="BY62" s="195">
        <f t="shared" si="2"/>
        <v>102422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477673</v>
      </c>
      <c r="CD62" s="247" t="s">
        <v>221</v>
      </c>
      <c r="CE62" s="195">
        <f t="shared" si="0"/>
        <v>4858739</v>
      </c>
      <c r="CF62" s="250"/>
    </row>
    <row r="63" spans="1:84" ht="12.65" customHeight="1">
      <c r="A63" s="171" t="s">
        <v>236</v>
      </c>
      <c r="B63" s="175"/>
      <c r="C63" s="184">
        <v>487833.17</v>
      </c>
      <c r="D63" s="184">
        <v>0</v>
      </c>
      <c r="E63" s="184">
        <v>0</v>
      </c>
      <c r="F63" s="185">
        <v>71435.25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486518</v>
      </c>
      <c r="P63" s="185">
        <v>335581.77999999997</v>
      </c>
      <c r="Q63" s="185">
        <v>0</v>
      </c>
      <c r="R63" s="185">
        <v>669081</v>
      </c>
      <c r="S63" s="185">
        <v>477028.85</v>
      </c>
      <c r="T63" s="185">
        <v>0</v>
      </c>
      <c r="U63" s="185">
        <v>7123.17</v>
      </c>
      <c r="V63" s="185">
        <v>0</v>
      </c>
      <c r="W63" s="185">
        <v>0</v>
      </c>
      <c r="X63" s="185">
        <v>0</v>
      </c>
      <c r="Y63" s="185">
        <v>436542.32000000007</v>
      </c>
      <c r="Z63" s="185">
        <v>53101</v>
      </c>
      <c r="AA63" s="185">
        <v>8972</v>
      </c>
      <c r="AB63" s="185">
        <v>0</v>
      </c>
      <c r="AC63" s="185">
        <v>21909</v>
      </c>
      <c r="AD63" s="185">
        <v>0</v>
      </c>
      <c r="AE63" s="185">
        <v>0</v>
      </c>
      <c r="AF63" s="185">
        <v>0</v>
      </c>
      <c r="AG63" s="185">
        <v>216320.30000000002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5280</v>
      </c>
      <c r="BE63" s="185">
        <v>6543.83</v>
      </c>
      <c r="BF63" s="185">
        <v>0</v>
      </c>
      <c r="BG63" s="185">
        <v>0</v>
      </c>
      <c r="BH63" s="185">
        <v>0</v>
      </c>
      <c r="BI63" s="185">
        <v>0</v>
      </c>
      <c r="BJ63" s="185">
        <v>2756.13</v>
      </c>
      <c r="BK63" s="185">
        <v>-171.53999999999996</v>
      </c>
      <c r="BL63" s="185">
        <v>0</v>
      </c>
      <c r="BM63" s="185">
        <v>0</v>
      </c>
      <c r="BN63" s="185">
        <v>323993.06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3418.5499999999984</v>
      </c>
      <c r="BX63" s="185">
        <v>25580.999999999996</v>
      </c>
      <c r="BY63" s="185">
        <v>0</v>
      </c>
      <c r="BZ63" s="185">
        <v>0</v>
      </c>
      <c r="CA63" s="185">
        <v>0</v>
      </c>
      <c r="CB63" s="185">
        <v>0</v>
      </c>
      <c r="CC63" s="185">
        <v>212863.88999999998</v>
      </c>
      <c r="CD63" s="247" t="s">
        <v>221</v>
      </c>
      <c r="CE63" s="195">
        <f t="shared" si="0"/>
        <v>3851710.76</v>
      </c>
      <c r="CF63" s="250"/>
    </row>
    <row r="64" spans="1:84" ht="12.65" customHeight="1">
      <c r="A64" s="171" t="s">
        <v>237</v>
      </c>
      <c r="B64" s="175"/>
      <c r="C64" s="184">
        <v>557990.12</v>
      </c>
      <c r="D64" s="184">
        <v>0</v>
      </c>
      <c r="E64" s="185">
        <v>4153097.94</v>
      </c>
      <c r="F64" s="185">
        <v>260112.49999999997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22071.77</v>
      </c>
      <c r="P64" s="185">
        <v>2588410.36</v>
      </c>
      <c r="Q64" s="185">
        <v>0</v>
      </c>
      <c r="R64" s="185">
        <v>145629.09</v>
      </c>
      <c r="S64" s="185">
        <v>1695042.0000000002</v>
      </c>
      <c r="T64" s="185">
        <v>0</v>
      </c>
      <c r="U64" s="185">
        <v>1135386.22</v>
      </c>
      <c r="V64" s="185">
        <v>0</v>
      </c>
      <c r="W64" s="185">
        <v>3531.0399999999995</v>
      </c>
      <c r="X64" s="185">
        <v>45840.63</v>
      </c>
      <c r="Y64" s="185">
        <v>290537.7</v>
      </c>
      <c r="Z64" s="185">
        <v>222676.44999999998</v>
      </c>
      <c r="AA64" s="185">
        <v>57319.76</v>
      </c>
      <c r="AB64" s="185">
        <v>1811538.18</v>
      </c>
      <c r="AC64" s="185">
        <v>201650.59</v>
      </c>
      <c r="AD64" s="185">
        <v>0</v>
      </c>
      <c r="AE64" s="185">
        <v>19013.36</v>
      </c>
      <c r="AF64" s="185">
        <v>0</v>
      </c>
      <c r="AG64" s="185">
        <v>317779.7</v>
      </c>
      <c r="AH64" s="185">
        <v>0</v>
      </c>
      <c r="AI64" s="185">
        <v>240093.65999999997</v>
      </c>
      <c r="AJ64" s="185">
        <v>20922.8</v>
      </c>
      <c r="AK64" s="185">
        <v>71.66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231612.44</v>
      </c>
      <c r="AW64" s="185">
        <v>0</v>
      </c>
      <c r="AX64" s="185">
        <v>0</v>
      </c>
      <c r="AY64" s="185">
        <v>424073.2300000001</v>
      </c>
      <c r="AZ64" s="185">
        <v>0</v>
      </c>
      <c r="BA64" s="185">
        <v>0</v>
      </c>
      <c r="BB64" s="185">
        <v>0</v>
      </c>
      <c r="BC64" s="185">
        <v>0</v>
      </c>
      <c r="BD64" s="185">
        <v>2480103.83</v>
      </c>
      <c r="BE64" s="185">
        <v>41411.660000000003</v>
      </c>
      <c r="BF64" s="185">
        <v>109460.57</v>
      </c>
      <c r="BG64" s="185">
        <v>0</v>
      </c>
      <c r="BH64" s="185">
        <v>0</v>
      </c>
      <c r="BI64" s="185">
        <v>0</v>
      </c>
      <c r="BJ64" s="185">
        <v>5902.15</v>
      </c>
      <c r="BK64" s="185">
        <v>5.9700000000000006</v>
      </c>
      <c r="BL64" s="185">
        <v>2960</v>
      </c>
      <c r="BM64" s="185">
        <v>0</v>
      </c>
      <c r="BN64" s="185">
        <v>30737.87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3274.1600000000017</v>
      </c>
      <c r="BX64" s="185">
        <v>1993.2600000000002</v>
      </c>
      <c r="BY64" s="185">
        <v>2021.3400000000001</v>
      </c>
      <c r="BZ64" s="185">
        <v>0</v>
      </c>
      <c r="CA64" s="185">
        <v>0</v>
      </c>
      <c r="CB64" s="185">
        <v>0</v>
      </c>
      <c r="CC64" s="185">
        <v>206549.96000000002</v>
      </c>
      <c r="CD64" s="247" t="s">
        <v>221</v>
      </c>
      <c r="CE64" s="195">
        <f t="shared" si="0"/>
        <v>17328821.969999999</v>
      </c>
      <c r="CF64" s="250"/>
    </row>
    <row r="65" spans="1:84" ht="12.65" customHeight="1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1763.01</v>
      </c>
      <c r="AF65" s="185">
        <v>0</v>
      </c>
      <c r="AG65" s="185">
        <v>0</v>
      </c>
      <c r="AH65" s="185">
        <v>0</v>
      </c>
      <c r="AI65" s="185">
        <v>0</v>
      </c>
      <c r="AJ65" s="185">
        <v>3217.07</v>
      </c>
      <c r="AK65" s="185">
        <v>72.52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592450.63</v>
      </c>
      <c r="BF65" s="185">
        <v>0</v>
      </c>
      <c r="BG65" s="185">
        <v>12240.16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185307.91</v>
      </c>
      <c r="CD65" s="247" t="s">
        <v>221</v>
      </c>
      <c r="CE65" s="195">
        <f t="shared" si="0"/>
        <v>795051.3</v>
      </c>
      <c r="CF65" s="250"/>
    </row>
    <row r="66" spans="1:84" ht="12.65" customHeight="1">
      <c r="A66" s="171" t="s">
        <v>239</v>
      </c>
      <c r="B66" s="175"/>
      <c r="C66" s="184">
        <v>115308.94</v>
      </c>
      <c r="D66" s="184">
        <v>0</v>
      </c>
      <c r="E66" s="184">
        <v>75354.77</v>
      </c>
      <c r="F66" s="184">
        <v>111216.03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38527.89</v>
      </c>
      <c r="P66" s="185">
        <v>470328.9</v>
      </c>
      <c r="Q66" s="185">
        <v>0</v>
      </c>
      <c r="R66" s="185">
        <v>6432.42</v>
      </c>
      <c r="S66" s="184">
        <v>442218.56</v>
      </c>
      <c r="T66" s="184">
        <v>0</v>
      </c>
      <c r="U66" s="185">
        <v>453968.15</v>
      </c>
      <c r="V66" s="185">
        <v>0</v>
      </c>
      <c r="W66" s="185">
        <v>79152.149999999994</v>
      </c>
      <c r="X66" s="185">
        <v>55065.120000000003</v>
      </c>
      <c r="Y66" s="185">
        <v>343802.57</v>
      </c>
      <c r="Z66" s="185">
        <v>532788.98</v>
      </c>
      <c r="AA66" s="185">
        <v>329225.81</v>
      </c>
      <c r="AB66" s="185">
        <v>34650.74</v>
      </c>
      <c r="AC66" s="185">
        <v>37381.120000000003</v>
      </c>
      <c r="AD66" s="185">
        <v>0</v>
      </c>
      <c r="AE66" s="185">
        <v>7740.03</v>
      </c>
      <c r="AF66" s="185">
        <v>0</v>
      </c>
      <c r="AG66" s="185">
        <v>260764.79</v>
      </c>
      <c r="AH66" s="185">
        <v>0</v>
      </c>
      <c r="AI66" s="185">
        <v>8905.41</v>
      </c>
      <c r="AJ66" s="185">
        <v>164815.19</v>
      </c>
      <c r="AK66" s="185">
        <v>3.04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615084.15</v>
      </c>
      <c r="AW66" s="185">
        <v>0</v>
      </c>
      <c r="AX66" s="185">
        <v>0</v>
      </c>
      <c r="AY66" s="185">
        <v>43539.61</v>
      </c>
      <c r="AZ66" s="185">
        <v>0</v>
      </c>
      <c r="BA66" s="185">
        <v>306209.12</v>
      </c>
      <c r="BB66" s="185">
        <v>0</v>
      </c>
      <c r="BC66" s="185">
        <v>0</v>
      </c>
      <c r="BD66" s="185">
        <v>155115.13</v>
      </c>
      <c r="BE66" s="185">
        <v>1255555.04</v>
      </c>
      <c r="BF66" s="185">
        <v>177325.13</v>
      </c>
      <c r="BG66" s="185">
        <v>0</v>
      </c>
      <c r="BH66" s="185">
        <v>0</v>
      </c>
      <c r="BI66" s="185">
        <v>0</v>
      </c>
      <c r="BJ66" s="185">
        <v>264653.52</v>
      </c>
      <c r="BK66" s="185">
        <v>1815242.37</v>
      </c>
      <c r="BL66" s="185">
        <v>0</v>
      </c>
      <c r="BM66" s="185">
        <v>0</v>
      </c>
      <c r="BN66" s="185">
        <v>1431711.99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-4545.09</v>
      </c>
      <c r="BX66" s="185">
        <v>1421.25</v>
      </c>
      <c r="BY66" s="185">
        <v>7556.88</v>
      </c>
      <c r="BZ66" s="185">
        <v>0</v>
      </c>
      <c r="CA66" s="185">
        <v>0</v>
      </c>
      <c r="CB66" s="185">
        <v>0</v>
      </c>
      <c r="CC66" s="185">
        <v>6039801.9000000004</v>
      </c>
      <c r="CD66" s="247" t="s">
        <v>221</v>
      </c>
      <c r="CE66" s="195">
        <f t="shared" si="0"/>
        <v>15676321.610000001</v>
      </c>
      <c r="CF66" s="250"/>
    </row>
    <row r="67" spans="1:84" ht="12.65" customHeight="1">
      <c r="A67" s="171" t="s">
        <v>6</v>
      </c>
      <c r="B67" s="175"/>
      <c r="C67" s="195">
        <f>ROUND(C51+C52,0)</f>
        <v>36512</v>
      </c>
      <c r="D67" s="195">
        <f>ROUND(D51+D52,0)</f>
        <v>36839</v>
      </c>
      <c r="E67" s="195">
        <f t="shared" ref="E67:BP67" si="3">ROUND(E51+E52,0)</f>
        <v>16179</v>
      </c>
      <c r="F67" s="195">
        <f t="shared" si="3"/>
        <v>4460</v>
      </c>
      <c r="G67" s="195">
        <f t="shared" si="3"/>
        <v>557650</v>
      </c>
      <c r="H67" s="195">
        <f t="shared" si="3"/>
        <v>7212</v>
      </c>
      <c r="I67" s="195">
        <f t="shared" si="3"/>
        <v>77251</v>
      </c>
      <c r="J67" s="195">
        <f>ROUND(J51+J52,0)</f>
        <v>5568</v>
      </c>
      <c r="K67" s="195">
        <f t="shared" si="3"/>
        <v>7040</v>
      </c>
      <c r="L67" s="195">
        <f t="shared" si="3"/>
        <v>0</v>
      </c>
      <c r="M67" s="195">
        <f t="shared" si="3"/>
        <v>85217</v>
      </c>
      <c r="N67" s="195">
        <f t="shared" si="3"/>
        <v>79866</v>
      </c>
      <c r="O67" s="195">
        <f t="shared" si="3"/>
        <v>1970</v>
      </c>
      <c r="P67" s="195">
        <f t="shared" si="3"/>
        <v>0</v>
      </c>
      <c r="Q67" s="195">
        <f t="shared" si="3"/>
        <v>1591</v>
      </c>
      <c r="R67" s="195">
        <f t="shared" si="3"/>
        <v>0</v>
      </c>
      <c r="S67" s="195">
        <f t="shared" si="3"/>
        <v>16384</v>
      </c>
      <c r="T67" s="195">
        <f t="shared" si="3"/>
        <v>0</v>
      </c>
      <c r="U67" s="195">
        <f t="shared" si="3"/>
        <v>87514</v>
      </c>
      <c r="V67" s="195">
        <f t="shared" si="3"/>
        <v>0</v>
      </c>
      <c r="W67" s="195">
        <f t="shared" si="3"/>
        <v>0</v>
      </c>
      <c r="X67" s="195">
        <f t="shared" si="3"/>
        <v>110327</v>
      </c>
      <c r="Y67" s="195">
        <f t="shared" si="3"/>
        <v>0</v>
      </c>
      <c r="Z67" s="195">
        <f t="shared" si="3"/>
        <v>0</v>
      </c>
      <c r="AA67" s="195">
        <f t="shared" si="3"/>
        <v>5538</v>
      </c>
      <c r="AB67" s="195">
        <f t="shared" si="3"/>
        <v>0</v>
      </c>
      <c r="AC67" s="195">
        <f t="shared" si="3"/>
        <v>0</v>
      </c>
      <c r="AD67" s="195">
        <f t="shared" si="3"/>
        <v>8330</v>
      </c>
      <c r="AE67" s="195">
        <f t="shared" si="3"/>
        <v>0</v>
      </c>
      <c r="AF67" s="195">
        <f t="shared" si="3"/>
        <v>0</v>
      </c>
      <c r="AG67" s="195">
        <f t="shared" si="3"/>
        <v>10710</v>
      </c>
      <c r="AH67" s="195">
        <f t="shared" si="3"/>
        <v>0</v>
      </c>
      <c r="AI67" s="195">
        <f t="shared" si="3"/>
        <v>0</v>
      </c>
      <c r="AJ67" s="195">
        <f t="shared" si="3"/>
        <v>2553468</v>
      </c>
      <c r="AK67" s="195">
        <f t="shared" si="3"/>
        <v>0</v>
      </c>
      <c r="AL67" s="195">
        <f t="shared" si="3"/>
        <v>0</v>
      </c>
      <c r="AM67" s="195">
        <f t="shared" si="3"/>
        <v>20669</v>
      </c>
      <c r="AN67" s="195">
        <f t="shared" si="3"/>
        <v>1217444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7" t="s">
        <v>221</v>
      </c>
      <c r="CE67" s="195">
        <f t="shared" si="0"/>
        <v>4947739</v>
      </c>
      <c r="CF67" s="250"/>
    </row>
    <row r="68" spans="1:84" ht="12.65" customHeight="1">
      <c r="A68" s="171" t="s">
        <v>240</v>
      </c>
      <c r="B68" s="175"/>
      <c r="C68" s="184">
        <v>22219.64</v>
      </c>
      <c r="D68" s="184">
        <v>0</v>
      </c>
      <c r="E68" s="184">
        <v>55185.630000000005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537036.88</v>
      </c>
      <c r="Q68" s="185">
        <v>0</v>
      </c>
      <c r="R68" s="185">
        <v>76336</v>
      </c>
      <c r="S68" s="185">
        <v>876118.53000000014</v>
      </c>
      <c r="T68" s="185">
        <v>0</v>
      </c>
      <c r="U68" s="185">
        <v>124005.87</v>
      </c>
      <c r="V68" s="185">
        <v>0</v>
      </c>
      <c r="W68" s="185">
        <v>0</v>
      </c>
      <c r="X68" s="185">
        <v>0</v>
      </c>
      <c r="Y68" s="185">
        <v>78535.960000000021</v>
      </c>
      <c r="Z68" s="185">
        <v>0</v>
      </c>
      <c r="AA68" s="185">
        <v>0</v>
      </c>
      <c r="AB68" s="185">
        <v>101420.1</v>
      </c>
      <c r="AC68" s="185">
        <v>83517</v>
      </c>
      <c r="AD68" s="185">
        <v>0</v>
      </c>
      <c r="AE68" s="185">
        <v>651.01</v>
      </c>
      <c r="AF68" s="185">
        <v>0</v>
      </c>
      <c r="AG68" s="185">
        <v>0</v>
      </c>
      <c r="AH68" s="185">
        <v>0</v>
      </c>
      <c r="AI68" s="185">
        <v>0</v>
      </c>
      <c r="AJ68" s="185">
        <v>1485.41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8514.39</v>
      </c>
      <c r="AW68" s="185">
        <v>0</v>
      </c>
      <c r="AX68" s="185">
        <v>62356.78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-473.04</v>
      </c>
      <c r="BE68" s="185">
        <v>2418.2299999999996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109.72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8657872.0199999996</v>
      </c>
      <c r="CD68" s="247" t="s">
        <v>221</v>
      </c>
      <c r="CE68" s="195">
        <f t="shared" si="0"/>
        <v>10687310.129999999</v>
      </c>
      <c r="CF68" s="250"/>
    </row>
    <row r="69" spans="1:84" ht="12.65" customHeight="1">
      <c r="A69" s="171" t="s">
        <v>241</v>
      </c>
      <c r="B69" s="175"/>
      <c r="C69" s="184">
        <v>200319.27000000002</v>
      </c>
      <c r="D69" s="184">
        <v>0</v>
      </c>
      <c r="E69" s="185">
        <v>110446.26</v>
      </c>
      <c r="F69" s="185">
        <v>56560.98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72174.109999999986</v>
      </c>
      <c r="Q69" s="185">
        <v>0</v>
      </c>
      <c r="R69" s="224">
        <v>8000.0000000000009</v>
      </c>
      <c r="S69" s="185">
        <v>171184.74000000002</v>
      </c>
      <c r="T69" s="184">
        <v>0</v>
      </c>
      <c r="U69" s="185">
        <v>46303.420000000006</v>
      </c>
      <c r="V69" s="185">
        <v>0</v>
      </c>
      <c r="W69" s="184">
        <v>318.8</v>
      </c>
      <c r="X69" s="185">
        <v>0</v>
      </c>
      <c r="Y69" s="185">
        <v>89503.189999999988</v>
      </c>
      <c r="Z69" s="185">
        <v>18720.400000000001</v>
      </c>
      <c r="AA69" s="185">
        <v>738.42000000000007</v>
      </c>
      <c r="AB69" s="185">
        <v>17954.559999999998</v>
      </c>
      <c r="AC69" s="185">
        <v>10270.99</v>
      </c>
      <c r="AD69" s="185">
        <v>0</v>
      </c>
      <c r="AE69" s="185">
        <v>29611.48</v>
      </c>
      <c r="AF69" s="185">
        <v>0</v>
      </c>
      <c r="AG69" s="185">
        <v>185747.12000000002</v>
      </c>
      <c r="AH69" s="185">
        <v>0</v>
      </c>
      <c r="AI69" s="185">
        <v>33302.670000000006</v>
      </c>
      <c r="AJ69" s="185">
        <v>0</v>
      </c>
      <c r="AK69" s="185">
        <v>351.51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9750.77</v>
      </c>
      <c r="AW69" s="185">
        <v>0</v>
      </c>
      <c r="AX69" s="185">
        <v>13452.29</v>
      </c>
      <c r="AY69" s="185">
        <v>4151.46</v>
      </c>
      <c r="AZ69" s="185">
        <v>0</v>
      </c>
      <c r="BA69" s="185">
        <v>0</v>
      </c>
      <c r="BB69" s="185">
        <v>0</v>
      </c>
      <c r="BC69" s="185">
        <v>0</v>
      </c>
      <c r="BD69" s="185">
        <v>29881.600000000002</v>
      </c>
      <c r="BE69" s="185">
        <v>120168.78000000003</v>
      </c>
      <c r="BF69" s="185">
        <v>4941.24</v>
      </c>
      <c r="BG69" s="185">
        <v>110497.26</v>
      </c>
      <c r="BH69" s="224">
        <v>0</v>
      </c>
      <c r="BI69" s="185">
        <v>0</v>
      </c>
      <c r="BJ69" s="185">
        <v>111.5</v>
      </c>
      <c r="BK69" s="185">
        <v>8.0099999999999909</v>
      </c>
      <c r="BL69" s="185">
        <v>0</v>
      </c>
      <c r="BM69" s="185">
        <v>0</v>
      </c>
      <c r="BN69" s="185">
        <v>268627.62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609.98999999999978</v>
      </c>
      <c r="BX69" s="185">
        <v>64440.2</v>
      </c>
      <c r="BY69" s="185">
        <v>42755.869999999995</v>
      </c>
      <c r="BZ69" s="185">
        <v>0</v>
      </c>
      <c r="CA69" s="185">
        <v>0</v>
      </c>
      <c r="CB69" s="185">
        <v>0</v>
      </c>
      <c r="CC69" s="185">
        <v>3198771.87</v>
      </c>
      <c r="CD69" s="185">
        <v>2179098.98</v>
      </c>
      <c r="CE69" s="195">
        <f t="shared" si="0"/>
        <v>7098775.3600000013</v>
      </c>
      <c r="CF69" s="250"/>
    </row>
    <row r="70" spans="1:84" ht="12.65" customHeight="1">
      <c r="A70" s="171" t="s">
        <v>242</v>
      </c>
      <c r="B70" s="175"/>
      <c r="C70" s="184">
        <v>30583.040000000005</v>
      </c>
      <c r="D70" s="184">
        <v>0</v>
      </c>
      <c r="E70" s="184">
        <v>0</v>
      </c>
      <c r="F70" s="185">
        <v>8845.7699999999986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23221.439999999999</v>
      </c>
      <c r="Q70" s="184">
        <v>0</v>
      </c>
      <c r="R70" s="184">
        <v>0</v>
      </c>
      <c r="S70" s="184">
        <v>0</v>
      </c>
      <c r="T70" s="184">
        <v>0</v>
      </c>
      <c r="U70" s="185">
        <v>19676.22</v>
      </c>
      <c r="V70" s="184">
        <v>0</v>
      </c>
      <c r="W70" s="184">
        <v>0</v>
      </c>
      <c r="X70" s="185">
        <v>0</v>
      </c>
      <c r="Y70" s="185">
        <v>12367.32</v>
      </c>
      <c r="Z70" s="185">
        <v>0</v>
      </c>
      <c r="AA70" s="185">
        <v>0</v>
      </c>
      <c r="AB70" s="185">
        <v>43959.71</v>
      </c>
      <c r="AC70" s="185">
        <v>9788.64</v>
      </c>
      <c r="AD70" s="185">
        <v>0</v>
      </c>
      <c r="AE70" s="185">
        <v>10269.219999999999</v>
      </c>
      <c r="AF70" s="185">
        <v>0</v>
      </c>
      <c r="AG70" s="185">
        <v>-13220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124439.33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160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2507029.81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5845.7599999999984</v>
      </c>
      <c r="BY70" s="185">
        <v>0</v>
      </c>
      <c r="BZ70" s="185">
        <v>0</v>
      </c>
      <c r="CA70" s="185">
        <v>0</v>
      </c>
      <c r="CB70" s="185">
        <v>0</v>
      </c>
      <c r="CC70" s="185">
        <v>7247883.1600000001</v>
      </c>
      <c r="CD70" s="188">
        <v>0</v>
      </c>
      <c r="CE70" s="195">
        <f t="shared" si="0"/>
        <v>10030849.42</v>
      </c>
      <c r="CF70" s="250"/>
    </row>
    <row r="71" spans="1:84" ht="12.65" customHeight="1">
      <c r="A71" s="171" t="s">
        <v>243</v>
      </c>
      <c r="B71" s="175"/>
      <c r="C71" s="195">
        <f>SUM(C61:C68)+C69-C70</f>
        <v>7219531.4300000006</v>
      </c>
      <c r="D71" s="195">
        <f t="shared" ref="D71:AI71" si="5">SUM(D61:D69)-D70</f>
        <v>36839</v>
      </c>
      <c r="E71" s="195">
        <f t="shared" si="5"/>
        <v>8535458.6699999999</v>
      </c>
      <c r="F71" s="195">
        <f t="shared" si="5"/>
        <v>3079357.17</v>
      </c>
      <c r="G71" s="195">
        <f t="shared" si="5"/>
        <v>557650</v>
      </c>
      <c r="H71" s="195">
        <f t="shared" si="5"/>
        <v>7212</v>
      </c>
      <c r="I71" s="195">
        <f t="shared" si="5"/>
        <v>77251</v>
      </c>
      <c r="J71" s="195">
        <f t="shared" si="5"/>
        <v>5568</v>
      </c>
      <c r="K71" s="195">
        <f t="shared" si="5"/>
        <v>7040</v>
      </c>
      <c r="L71" s="195">
        <f t="shared" si="5"/>
        <v>0</v>
      </c>
      <c r="M71" s="195">
        <f t="shared" si="5"/>
        <v>85217</v>
      </c>
      <c r="N71" s="195">
        <f t="shared" si="5"/>
        <v>79866</v>
      </c>
      <c r="O71" s="195">
        <f t="shared" si="5"/>
        <v>550455.80000000005</v>
      </c>
      <c r="P71" s="195">
        <f t="shared" si="5"/>
        <v>6196056.04</v>
      </c>
      <c r="Q71" s="195">
        <f t="shared" si="5"/>
        <v>1591</v>
      </c>
      <c r="R71" s="195">
        <f t="shared" si="5"/>
        <v>1905974.2499999998</v>
      </c>
      <c r="S71" s="195">
        <f t="shared" si="5"/>
        <v>4494117.42</v>
      </c>
      <c r="T71" s="195">
        <f t="shared" si="5"/>
        <v>0</v>
      </c>
      <c r="U71" s="195">
        <f t="shared" si="5"/>
        <v>3160207.9299999997</v>
      </c>
      <c r="V71" s="195">
        <f t="shared" si="5"/>
        <v>0</v>
      </c>
      <c r="W71" s="195">
        <f t="shared" si="5"/>
        <v>239952.74</v>
      </c>
      <c r="X71" s="195">
        <f t="shared" si="5"/>
        <v>483145.92</v>
      </c>
      <c r="Y71" s="195">
        <f t="shared" si="5"/>
        <v>4396342.0300000012</v>
      </c>
      <c r="Z71" s="195">
        <f t="shared" si="5"/>
        <v>1368377.9999999998</v>
      </c>
      <c r="AA71" s="195">
        <f t="shared" si="5"/>
        <v>582931.70000000007</v>
      </c>
      <c r="AB71" s="195">
        <f t="shared" si="5"/>
        <v>3112804.9600000004</v>
      </c>
      <c r="AC71" s="195">
        <f t="shared" si="5"/>
        <v>1306586.7900000003</v>
      </c>
      <c r="AD71" s="195">
        <f t="shared" si="5"/>
        <v>8330</v>
      </c>
      <c r="AE71" s="195">
        <f t="shared" si="5"/>
        <v>679464.29</v>
      </c>
      <c r="AF71" s="195">
        <f t="shared" si="5"/>
        <v>0</v>
      </c>
      <c r="AG71" s="195">
        <f t="shared" si="5"/>
        <v>4356881.67</v>
      </c>
      <c r="AH71" s="195">
        <f t="shared" si="5"/>
        <v>0</v>
      </c>
      <c r="AI71" s="195">
        <f t="shared" si="5"/>
        <v>1936932.7699999996</v>
      </c>
      <c r="AJ71" s="195">
        <f t="shared" ref="AJ71:BO71" si="6">SUM(AJ61:AJ69)-AJ70</f>
        <v>2984985.3400000003</v>
      </c>
      <c r="AK71" s="195">
        <f t="shared" si="6"/>
        <v>90864.45</v>
      </c>
      <c r="AL71" s="195">
        <f t="shared" si="6"/>
        <v>50145</v>
      </c>
      <c r="AM71" s="195">
        <f t="shared" si="6"/>
        <v>20669</v>
      </c>
      <c r="AN71" s="195">
        <f t="shared" si="6"/>
        <v>1217444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2137237.44</v>
      </c>
      <c r="AW71" s="195">
        <f t="shared" si="6"/>
        <v>0</v>
      </c>
      <c r="AX71" s="195">
        <f t="shared" si="6"/>
        <v>75809.070000000007</v>
      </c>
      <c r="AY71" s="195">
        <f t="shared" si="6"/>
        <v>1241268.24</v>
      </c>
      <c r="AZ71" s="195">
        <f t="shared" si="6"/>
        <v>0</v>
      </c>
      <c r="BA71" s="195">
        <f t="shared" si="6"/>
        <v>306209.12</v>
      </c>
      <c r="BB71" s="195">
        <f t="shared" si="6"/>
        <v>0</v>
      </c>
      <c r="BC71" s="195">
        <f t="shared" si="6"/>
        <v>0</v>
      </c>
      <c r="BD71" s="195">
        <f t="shared" si="6"/>
        <v>3074221.18</v>
      </c>
      <c r="BE71" s="195">
        <f t="shared" si="6"/>
        <v>2492778.7599999998</v>
      </c>
      <c r="BF71" s="195">
        <f t="shared" si="6"/>
        <v>962139.79000000015</v>
      </c>
      <c r="BG71" s="195">
        <f t="shared" si="6"/>
        <v>188015.27</v>
      </c>
      <c r="BH71" s="195">
        <f t="shared" si="6"/>
        <v>0</v>
      </c>
      <c r="BI71" s="195">
        <f t="shared" si="6"/>
        <v>0</v>
      </c>
      <c r="BJ71" s="195">
        <f t="shared" si="6"/>
        <v>525880.77</v>
      </c>
      <c r="BK71" s="195">
        <f t="shared" si="6"/>
        <v>1815940.6600000001</v>
      </c>
      <c r="BL71" s="195">
        <f t="shared" si="6"/>
        <v>156499.21999999997</v>
      </c>
      <c r="BM71" s="195">
        <f t="shared" si="6"/>
        <v>0</v>
      </c>
      <c r="BN71" s="195">
        <f t="shared" si="6"/>
        <v>587622.5700000003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152162.09999999998</v>
      </c>
      <c r="BX71" s="195">
        <f t="shared" si="7"/>
        <v>766647.73</v>
      </c>
      <c r="BY71" s="195">
        <f t="shared" si="7"/>
        <v>879135.92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14276087.359999999</v>
      </c>
      <c r="CD71" s="243">
        <f>CD69-CD70</f>
        <v>2179098.98</v>
      </c>
      <c r="CE71" s="195">
        <f>SUM(CE61:CE69)-CE70</f>
        <v>90652005.549999997</v>
      </c>
      <c r="CF71" s="250"/>
    </row>
    <row r="72" spans="1:84" ht="12.65" customHeight="1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250"/>
    </row>
    <row r="73" spans="1:84" ht="12.65" customHeight="1">
      <c r="A73" s="171" t="s">
        <v>245</v>
      </c>
      <c r="B73" s="175"/>
      <c r="C73" s="184">
        <v>31441629.940000001</v>
      </c>
      <c r="D73" s="184">
        <v>32456352.789999995</v>
      </c>
      <c r="E73" s="185">
        <v>14433570.129999999</v>
      </c>
      <c r="F73" s="185">
        <v>2213339</v>
      </c>
      <c r="G73" s="184">
        <v>23213770.040000003</v>
      </c>
      <c r="H73" s="184">
        <v>9219773</v>
      </c>
      <c r="I73" s="185">
        <v>0</v>
      </c>
      <c r="J73" s="185">
        <v>20784352</v>
      </c>
      <c r="K73" s="185">
        <v>1085184.1500000001</v>
      </c>
      <c r="L73" s="185">
        <v>11012817.66</v>
      </c>
      <c r="M73" s="184">
        <v>10736203.630000001</v>
      </c>
      <c r="N73" s="184">
        <v>1602715.55</v>
      </c>
      <c r="O73" s="184">
        <v>573309</v>
      </c>
      <c r="P73" s="185">
        <v>10768090.57</v>
      </c>
      <c r="Q73" s="185">
        <v>6584035</v>
      </c>
      <c r="R73" s="185">
        <v>1572162</v>
      </c>
      <c r="S73" s="185">
        <v>9865455.4700000007</v>
      </c>
      <c r="T73" s="185">
        <v>111101</v>
      </c>
      <c r="U73" s="185">
        <v>70963</v>
      </c>
      <c r="V73" s="185">
        <v>401084</v>
      </c>
      <c r="W73" s="185">
        <v>128392</v>
      </c>
      <c r="X73" s="185">
        <v>1415557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  <c r="AJ73" s="185">
        <v>0</v>
      </c>
      <c r="AK73" s="185">
        <v>0</v>
      </c>
      <c r="AL73" s="185">
        <v>0</v>
      </c>
      <c r="AM73" s="185">
        <v>0</v>
      </c>
      <c r="AN73" s="185">
        <v>0.04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83">
        <v>0</v>
      </c>
      <c r="CD73" s="247" t="s">
        <v>221</v>
      </c>
      <c r="CE73" s="195">
        <f t="shared" ref="CE73:CE79" si="8">SUM(C73:CD73)</f>
        <v>189689856.97</v>
      </c>
      <c r="CF73" s="250"/>
    </row>
    <row r="74" spans="1:84" ht="12.65" customHeight="1">
      <c r="A74" s="171" t="s">
        <v>246</v>
      </c>
      <c r="B74" s="175"/>
      <c r="C74" s="184">
        <v>1934110.03</v>
      </c>
      <c r="D74" s="184">
        <v>19457760.800000001</v>
      </c>
      <c r="E74" s="185">
        <v>2091751</v>
      </c>
      <c r="F74" s="185">
        <v>250053</v>
      </c>
      <c r="G74" s="184">
        <v>34588172.810000002</v>
      </c>
      <c r="H74" s="184">
        <v>17562324</v>
      </c>
      <c r="I74" s="184">
        <v>0</v>
      </c>
      <c r="J74" s="185">
        <v>18560878.809999999</v>
      </c>
      <c r="K74" s="185">
        <v>1943239.24</v>
      </c>
      <c r="L74" s="185">
        <v>29283283.07</v>
      </c>
      <c r="M74" s="184">
        <v>21905985.879999999</v>
      </c>
      <c r="N74" s="184">
        <v>31386407.43</v>
      </c>
      <c r="O74" s="184">
        <v>6907810.0500000007</v>
      </c>
      <c r="P74" s="185">
        <v>6674379.9200000009</v>
      </c>
      <c r="Q74" s="185">
        <v>2746229</v>
      </c>
      <c r="R74" s="185">
        <v>1909235.9999999998</v>
      </c>
      <c r="S74" s="185">
        <v>38012001.399999999</v>
      </c>
      <c r="T74" s="185">
        <v>3446450.2100000004</v>
      </c>
      <c r="U74" s="185">
        <v>19959346.379999999</v>
      </c>
      <c r="V74" s="185">
        <v>267941</v>
      </c>
      <c r="W74" s="185">
        <v>175258</v>
      </c>
      <c r="X74" s="185">
        <v>9581110.8000000007</v>
      </c>
      <c r="Y74" s="185">
        <v>0</v>
      </c>
      <c r="Z74" s="185">
        <v>0</v>
      </c>
      <c r="AA74" s="185">
        <v>0</v>
      </c>
      <c r="AB74" s="185">
        <v>0</v>
      </c>
      <c r="AC74" s="185">
        <v>0</v>
      </c>
      <c r="AD74" s="185">
        <v>0</v>
      </c>
      <c r="AE74" s="185">
        <v>0</v>
      </c>
      <c r="AF74" s="185">
        <v>0</v>
      </c>
      <c r="AG74" s="185">
        <v>0</v>
      </c>
      <c r="AH74" s="185">
        <v>0</v>
      </c>
      <c r="AI74" s="185">
        <v>0</v>
      </c>
      <c r="AJ74" s="185">
        <v>0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>
        <v>0</v>
      </c>
      <c r="BZ74" s="247" t="s">
        <v>221</v>
      </c>
      <c r="CA74" s="247" t="s">
        <v>221</v>
      </c>
      <c r="CB74" s="247" t="s">
        <v>221</v>
      </c>
      <c r="CC74" s="283">
        <v>0</v>
      </c>
      <c r="CD74" s="247" t="s">
        <v>221</v>
      </c>
      <c r="CE74" s="195">
        <f t="shared" si="8"/>
        <v>268643728.82999998</v>
      </c>
      <c r="CF74" s="250"/>
    </row>
    <row r="75" spans="1:84" ht="12.65" customHeight="1">
      <c r="A75" s="171" t="s">
        <v>247</v>
      </c>
      <c r="B75" s="175"/>
      <c r="C75" s="195">
        <f t="shared" ref="C75:AV75" si="9">SUM(C73:C74)</f>
        <v>33375739.970000003</v>
      </c>
      <c r="D75" s="195">
        <f t="shared" si="9"/>
        <v>51914113.589999996</v>
      </c>
      <c r="E75" s="195">
        <f t="shared" si="9"/>
        <v>16525321.129999999</v>
      </c>
      <c r="F75" s="195">
        <f t="shared" si="9"/>
        <v>2463392</v>
      </c>
      <c r="G75" s="195">
        <f t="shared" si="9"/>
        <v>57801942.850000009</v>
      </c>
      <c r="H75" s="195">
        <f t="shared" si="9"/>
        <v>26782097</v>
      </c>
      <c r="I75" s="195">
        <f t="shared" si="9"/>
        <v>0</v>
      </c>
      <c r="J75" s="195">
        <f t="shared" si="9"/>
        <v>39345230.810000002</v>
      </c>
      <c r="K75" s="195">
        <f t="shared" si="9"/>
        <v>3028423.39</v>
      </c>
      <c r="L75" s="195">
        <f t="shared" si="9"/>
        <v>40296100.730000004</v>
      </c>
      <c r="M75" s="195">
        <f t="shared" si="9"/>
        <v>32642189.509999998</v>
      </c>
      <c r="N75" s="195">
        <f t="shared" si="9"/>
        <v>32989122.98</v>
      </c>
      <c r="O75" s="195">
        <f t="shared" si="9"/>
        <v>7481119.0500000007</v>
      </c>
      <c r="P75" s="195">
        <f t="shared" si="9"/>
        <v>17442470.490000002</v>
      </c>
      <c r="Q75" s="195">
        <f t="shared" si="9"/>
        <v>9330264</v>
      </c>
      <c r="R75" s="195">
        <f t="shared" si="9"/>
        <v>3481398</v>
      </c>
      <c r="S75" s="195">
        <f t="shared" si="9"/>
        <v>47877456.869999997</v>
      </c>
      <c r="T75" s="195">
        <f t="shared" si="9"/>
        <v>3557551.2100000004</v>
      </c>
      <c r="U75" s="195">
        <f t="shared" si="9"/>
        <v>20030309.379999999</v>
      </c>
      <c r="V75" s="195">
        <f t="shared" si="9"/>
        <v>669025</v>
      </c>
      <c r="W75" s="195">
        <f t="shared" si="9"/>
        <v>303650</v>
      </c>
      <c r="X75" s="195">
        <f t="shared" si="9"/>
        <v>10996667.800000001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0.04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195">
        <f t="shared" ref="CC75" si="10">SUM(CC73:CC74)</f>
        <v>0</v>
      </c>
      <c r="CD75" s="247" t="s">
        <v>221</v>
      </c>
      <c r="CE75" s="195">
        <f t="shared" si="8"/>
        <v>458333585.80000007</v>
      </c>
      <c r="CF75" s="250"/>
    </row>
    <row r="76" spans="1:84" ht="12.65" customHeight="1">
      <c r="A76" s="171" t="s">
        <v>248</v>
      </c>
      <c r="B76" s="175"/>
      <c r="C76" s="284"/>
      <c r="D76" s="184"/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7" t="s">
        <v>221</v>
      </c>
      <c r="CE76" s="195">
        <f>SUM(C76:CD76)</f>
        <v>0</v>
      </c>
      <c r="CF76" s="195">
        <f>BE59-CE76</f>
        <v>1</v>
      </c>
    </row>
    <row r="77" spans="1:84" ht="12.65" customHeight="1">
      <c r="A77" s="171" t="s">
        <v>249</v>
      </c>
      <c r="B77" s="175"/>
      <c r="C77" s="284">
        <v>4193.2556893203891</v>
      </c>
      <c r="D77" s="184">
        <v>0</v>
      </c>
      <c r="E77" s="184">
        <v>16151.192198489753</v>
      </c>
      <c r="F77" s="184">
        <v>0</v>
      </c>
      <c r="G77" s="184">
        <v>0</v>
      </c>
      <c r="H77" s="184">
        <v>0</v>
      </c>
      <c r="I77" s="184">
        <v>0</v>
      </c>
      <c r="J77" s="184">
        <v>3137.6746235167202</v>
      </c>
      <c r="K77" s="184">
        <v>0</v>
      </c>
      <c r="L77" s="184">
        <v>0</v>
      </c>
      <c r="M77" s="184">
        <v>0</v>
      </c>
      <c r="N77" s="184">
        <v>0</v>
      </c>
      <c r="O77" s="184">
        <v>18753.877488673137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7" t="s">
        <v>221</v>
      </c>
      <c r="AY77" s="247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7" t="s">
        <v>221</v>
      </c>
      <c r="BE77" s="247" t="s">
        <v>221</v>
      </c>
      <c r="BF77" s="184">
        <v>0</v>
      </c>
      <c r="BG77" s="247" t="s">
        <v>221</v>
      </c>
      <c r="BH77" s="184">
        <v>0</v>
      </c>
      <c r="BI77" s="184">
        <v>0</v>
      </c>
      <c r="BJ77" s="247" t="s">
        <v>221</v>
      </c>
      <c r="BK77" s="184">
        <v>0</v>
      </c>
      <c r="BL77" s="184">
        <v>0</v>
      </c>
      <c r="BM77" s="184">
        <v>0</v>
      </c>
      <c r="BN77" s="247" t="s">
        <v>221</v>
      </c>
      <c r="BO77" s="247" t="s">
        <v>221</v>
      </c>
      <c r="BP77" s="247" t="s">
        <v>221</v>
      </c>
      <c r="BQ77" s="247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7" t="s">
        <v>221</v>
      </c>
      <c r="CD77" s="247" t="s">
        <v>221</v>
      </c>
      <c r="CE77" s="195">
        <f>SUM(C77:CD77)</f>
        <v>42236</v>
      </c>
      <c r="CF77" s="195">
        <f>AY59-CE77</f>
        <v>0</v>
      </c>
    </row>
    <row r="78" spans="1:84" ht="12.65" customHeight="1">
      <c r="A78" s="171" t="s">
        <v>250</v>
      </c>
      <c r="B78" s="175"/>
      <c r="C78" s="2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7" t="s">
        <v>221</v>
      </c>
      <c r="AY78" s="247" t="s">
        <v>221</v>
      </c>
      <c r="AZ78" s="247" t="s">
        <v>221</v>
      </c>
      <c r="BA78" s="184"/>
      <c r="BB78" s="184"/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/>
      <c r="BI78" s="184"/>
      <c r="BJ78" s="247" t="s">
        <v>221</v>
      </c>
      <c r="BK78" s="184"/>
      <c r="BL78" s="184"/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0</v>
      </c>
      <c r="CF78" s="195"/>
    </row>
    <row r="79" spans="1:84" ht="12.65" customHeight="1">
      <c r="A79" s="171" t="s">
        <v>251</v>
      </c>
      <c r="B79" s="175"/>
      <c r="C79" s="225">
        <v>69876.105830478467</v>
      </c>
      <c r="D79" s="225">
        <v>0</v>
      </c>
      <c r="E79" s="184">
        <v>129025.31172354239</v>
      </c>
      <c r="F79" s="184">
        <v>0</v>
      </c>
      <c r="G79" s="184">
        <v>0</v>
      </c>
      <c r="H79" s="184">
        <v>0</v>
      </c>
      <c r="I79" s="184">
        <v>0</v>
      </c>
      <c r="J79" s="184">
        <v>460.71687822876618</v>
      </c>
      <c r="K79" s="184">
        <v>0</v>
      </c>
      <c r="L79" s="184">
        <v>0</v>
      </c>
      <c r="M79" s="184">
        <v>0</v>
      </c>
      <c r="N79" s="184">
        <v>0</v>
      </c>
      <c r="O79" s="184">
        <v>57002.756956907622</v>
      </c>
      <c r="P79" s="184">
        <v>81551.163241185161</v>
      </c>
      <c r="Q79" s="184">
        <v>0</v>
      </c>
      <c r="R79" s="184">
        <v>0</v>
      </c>
      <c r="S79" s="184">
        <v>0</v>
      </c>
      <c r="T79" s="184">
        <v>0</v>
      </c>
      <c r="U79" s="180">
        <v>2569.7526108165985</v>
      </c>
      <c r="V79" s="184">
        <v>0</v>
      </c>
      <c r="W79" s="184">
        <v>4205.2440810950493</v>
      </c>
      <c r="X79" s="184">
        <v>6317.486659703035</v>
      </c>
      <c r="Y79" s="184">
        <v>37030.519943389598</v>
      </c>
      <c r="Z79" s="184">
        <v>0</v>
      </c>
      <c r="AA79" s="184">
        <v>1244.2562558196842</v>
      </c>
      <c r="AB79" s="184">
        <v>11405.682345013771</v>
      </c>
      <c r="AC79" s="184">
        <v>2553.7183807158294</v>
      </c>
      <c r="AD79" s="184">
        <v>0</v>
      </c>
      <c r="AE79" s="184">
        <v>5533.947282112118</v>
      </c>
      <c r="AF79" s="184">
        <v>0</v>
      </c>
      <c r="AG79" s="184">
        <v>46823.158740265993</v>
      </c>
      <c r="AH79" s="184">
        <v>0</v>
      </c>
      <c r="AI79" s="184">
        <v>33223.993717467012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1367.1853532589141</v>
      </c>
      <c r="AW79" s="184">
        <v>0</v>
      </c>
      <c r="AX79" s="247" t="s">
        <v>221</v>
      </c>
      <c r="AY79" s="247" t="s">
        <v>221</v>
      </c>
      <c r="AZ79" s="247" t="s">
        <v>221</v>
      </c>
      <c r="BA79" s="247" t="s">
        <v>221</v>
      </c>
      <c r="BB79" s="184">
        <v>0</v>
      </c>
      <c r="BC79" s="184">
        <v>0</v>
      </c>
      <c r="BD79" s="247" t="s">
        <v>221</v>
      </c>
      <c r="BE79" s="247" t="s">
        <v>221</v>
      </c>
      <c r="BF79" s="247" t="s">
        <v>221</v>
      </c>
      <c r="BG79" s="247" t="s">
        <v>221</v>
      </c>
      <c r="BH79" s="184">
        <v>0</v>
      </c>
      <c r="BI79" s="184">
        <v>0</v>
      </c>
      <c r="BJ79" s="247" t="s">
        <v>221</v>
      </c>
      <c r="BK79" s="184">
        <v>0</v>
      </c>
      <c r="BL79" s="184">
        <v>0</v>
      </c>
      <c r="BM79" s="184">
        <v>0</v>
      </c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0</v>
      </c>
      <c r="CD79" s="247" t="s">
        <v>221</v>
      </c>
      <c r="CE79" s="195">
        <f t="shared" si="8"/>
        <v>490191</v>
      </c>
      <c r="CF79" s="195">
        <f>BA59</f>
        <v>0</v>
      </c>
    </row>
    <row r="80" spans="1:84" ht="14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83"/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83"/>
      <c r="CD80" s="247" t="s">
        <v>221</v>
      </c>
      <c r="CE80" s="195">
        <f>SUM(C80:CD80)</f>
        <v>0</v>
      </c>
      <c r="CF80" s="253"/>
    </row>
    <row r="81" spans="1:5" ht="12.65" customHeight="1">
      <c r="A81" s="208" t="s">
        <v>253</v>
      </c>
      <c r="B81" s="208"/>
      <c r="C81" s="208"/>
      <c r="D81" s="208"/>
      <c r="E81" s="208"/>
    </row>
    <row r="82" spans="1:5" ht="12.65" customHeight="1">
      <c r="A82" s="171" t="s">
        <v>254</v>
      </c>
      <c r="B82" s="172"/>
      <c r="C82" s="279" t="s">
        <v>1267</v>
      </c>
      <c r="D82" s="254"/>
      <c r="E82" s="175"/>
    </row>
    <row r="83" spans="1:5" ht="12.65" customHeight="1">
      <c r="A83" s="173" t="s">
        <v>255</v>
      </c>
      <c r="B83" s="172" t="s">
        <v>256</v>
      </c>
      <c r="C83" s="331">
        <v>197</v>
      </c>
      <c r="D83" s="254"/>
      <c r="E83" s="175"/>
    </row>
    <row r="84" spans="1:5" ht="12.65" customHeight="1">
      <c r="A84" s="173" t="s">
        <v>257</v>
      </c>
      <c r="B84" s="172" t="s">
        <v>256</v>
      </c>
      <c r="C84" s="228" t="s">
        <v>1272</v>
      </c>
      <c r="D84" s="205"/>
      <c r="E84" s="204"/>
    </row>
    <row r="85" spans="1:5" ht="12.65" customHeight="1">
      <c r="A85" s="173" t="s">
        <v>1251</v>
      </c>
      <c r="B85" s="172"/>
      <c r="C85" s="268" t="s">
        <v>1273</v>
      </c>
      <c r="D85" s="205"/>
      <c r="E85" s="204"/>
    </row>
    <row r="86" spans="1:5" ht="12.65" customHeight="1">
      <c r="A86" s="173" t="s">
        <v>1252</v>
      </c>
      <c r="B86" s="172" t="s">
        <v>256</v>
      </c>
      <c r="C86" s="229"/>
      <c r="D86" s="205"/>
      <c r="E86" s="204"/>
    </row>
    <row r="87" spans="1:5" ht="12.65" customHeight="1">
      <c r="A87" s="173" t="s">
        <v>258</v>
      </c>
      <c r="B87" s="172" t="s">
        <v>256</v>
      </c>
      <c r="C87" s="228" t="s">
        <v>1274</v>
      </c>
      <c r="D87" s="205"/>
      <c r="E87" s="204"/>
    </row>
    <row r="88" spans="1:5" ht="12.65" customHeight="1">
      <c r="A88" s="173" t="s">
        <v>259</v>
      </c>
      <c r="B88" s="172" t="s">
        <v>256</v>
      </c>
      <c r="C88" s="228" t="s">
        <v>1275</v>
      </c>
      <c r="D88" s="205"/>
      <c r="E88" s="204"/>
    </row>
    <row r="89" spans="1:5" ht="12.65" customHeight="1">
      <c r="A89" s="173" t="s">
        <v>260</v>
      </c>
      <c r="B89" s="172" t="s">
        <v>256</v>
      </c>
      <c r="C89" s="228" t="s">
        <v>1280</v>
      </c>
      <c r="D89" s="205"/>
      <c r="E89" s="204"/>
    </row>
    <row r="90" spans="1:5" ht="12.65" customHeight="1">
      <c r="A90" s="173" t="s">
        <v>261</v>
      </c>
      <c r="B90" s="172" t="s">
        <v>256</v>
      </c>
      <c r="C90" s="228" t="s">
        <v>1276</v>
      </c>
      <c r="D90" s="205"/>
      <c r="E90" s="204"/>
    </row>
    <row r="91" spans="1:5" ht="12.65" customHeight="1">
      <c r="A91" s="173" t="s">
        <v>262</v>
      </c>
      <c r="B91" s="172" t="s">
        <v>256</v>
      </c>
      <c r="C91" s="228" t="s">
        <v>1277</v>
      </c>
      <c r="D91" s="205"/>
      <c r="E91" s="204"/>
    </row>
    <row r="92" spans="1:5" ht="12.65" customHeight="1">
      <c r="A92" s="173" t="s">
        <v>263</v>
      </c>
      <c r="B92" s="172" t="s">
        <v>256</v>
      </c>
      <c r="C92" s="333" t="s">
        <v>1281</v>
      </c>
      <c r="D92" s="254"/>
      <c r="E92" s="175"/>
    </row>
    <row r="93" spans="1:5" ht="12.65" customHeight="1">
      <c r="A93" s="173" t="s">
        <v>264</v>
      </c>
      <c r="B93" s="172" t="s">
        <v>256</v>
      </c>
      <c r="C93" s="334" t="s">
        <v>1279</v>
      </c>
      <c r="D93" s="254"/>
      <c r="E93" s="175"/>
    </row>
    <row r="94" spans="1:5" ht="12.65" customHeight="1">
      <c r="A94" s="173"/>
      <c r="B94" s="173"/>
      <c r="C94" s="191"/>
      <c r="D94" s="175"/>
      <c r="E94" s="175"/>
    </row>
    <row r="95" spans="1:5" ht="12.65" customHeight="1">
      <c r="A95" s="208" t="s">
        <v>265</v>
      </c>
      <c r="B95" s="208"/>
      <c r="C95" s="208"/>
      <c r="D95" s="208"/>
      <c r="E95" s="208"/>
    </row>
    <row r="96" spans="1:5" ht="12.65" customHeight="1">
      <c r="A96" s="255" t="s">
        <v>266</v>
      </c>
      <c r="B96" s="255"/>
      <c r="C96" s="255"/>
      <c r="D96" s="255"/>
      <c r="E96" s="255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5" t="s">
        <v>269</v>
      </c>
      <c r="B100" s="255"/>
      <c r="C100" s="255"/>
      <c r="D100" s="255"/>
      <c r="E100" s="255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5" t="s">
        <v>271</v>
      </c>
      <c r="B103" s="255"/>
      <c r="C103" s="255"/>
      <c r="D103" s="255"/>
      <c r="E103" s="255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9">
        <v>2840</v>
      </c>
      <c r="D111" s="174">
        <v>14011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479</v>
      </c>
      <c r="D114" s="174">
        <v>661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189">
        <v>41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>
      <c r="A124" s="173" t="s">
        <v>289</v>
      </c>
      <c r="B124" s="172"/>
      <c r="C124" s="189">
        <v>0</v>
      </c>
      <c r="D124" s="175"/>
      <c r="E124" s="175"/>
    </row>
    <row r="125" spans="1:5" ht="12.65" customHeight="1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88</v>
      </c>
    </row>
    <row r="128" spans="1:5" ht="12.65" customHeight="1">
      <c r="A128" s="173" t="s">
        <v>292</v>
      </c>
      <c r="B128" s="172" t="s">
        <v>256</v>
      </c>
      <c r="C128" s="189">
        <v>107</v>
      </c>
      <c r="D128" s="175"/>
      <c r="E128" s="175"/>
    </row>
    <row r="129" spans="1:7" ht="12.65" customHeight="1">
      <c r="A129" s="173" t="s">
        <v>293</v>
      </c>
      <c r="B129" s="172" t="s">
        <v>256</v>
      </c>
      <c r="C129" s="285">
        <v>7</v>
      </c>
      <c r="D129" s="175"/>
      <c r="E129" s="175"/>
    </row>
    <row r="130" spans="1:7" ht="12.65" customHeight="1">
      <c r="A130" s="173"/>
      <c r="B130" s="175"/>
      <c r="C130" s="191"/>
      <c r="D130" s="175"/>
      <c r="E130" s="175"/>
    </row>
    <row r="131" spans="1:7" ht="12.65" customHeight="1">
      <c r="A131" s="173" t="s">
        <v>294</v>
      </c>
      <c r="B131" s="172" t="s">
        <v>256</v>
      </c>
      <c r="C131" s="189">
        <v>0</v>
      </c>
      <c r="D131" s="175"/>
      <c r="E131" s="175"/>
    </row>
    <row r="132" spans="1:7" ht="12.65" customHeight="1">
      <c r="A132" s="173"/>
      <c r="B132" s="173"/>
      <c r="C132" s="191"/>
      <c r="D132" s="175"/>
      <c r="E132" s="175"/>
    </row>
    <row r="133" spans="1:7" ht="12.65" customHeight="1">
      <c r="A133" s="173"/>
      <c r="B133" s="173"/>
      <c r="C133" s="191"/>
      <c r="D133" s="175"/>
      <c r="E133" s="175"/>
    </row>
    <row r="134" spans="1:7" ht="12.65" customHeight="1">
      <c r="A134" s="173"/>
      <c r="B134" s="173"/>
      <c r="C134" s="191"/>
      <c r="D134" s="175"/>
      <c r="E134" s="175"/>
    </row>
    <row r="135" spans="1:7" ht="18" customHeight="1">
      <c r="A135" s="173"/>
      <c r="B135" s="173"/>
      <c r="C135" s="191"/>
      <c r="D135" s="175"/>
      <c r="E135" s="175"/>
    </row>
    <row r="136" spans="1:7" ht="12.65" customHeight="1">
      <c r="A136" s="208" t="s">
        <v>1240</v>
      </c>
      <c r="B136" s="207"/>
      <c r="C136" s="207"/>
      <c r="D136" s="207"/>
      <c r="E136" s="207"/>
    </row>
    <row r="137" spans="1:7" ht="12.65" customHeight="1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>
      <c r="A138" s="173" t="s">
        <v>277</v>
      </c>
      <c r="B138" s="174">
        <v>961.52814665127016</v>
      </c>
      <c r="C138" s="189">
        <v>72.954821016166278</v>
      </c>
      <c r="D138" s="174">
        <v>1805.0170323325635</v>
      </c>
      <c r="E138" s="175">
        <f>SUM(B138:D138)</f>
        <v>2839.5</v>
      </c>
    </row>
    <row r="139" spans="1:7" ht="12.65" customHeight="1">
      <c r="A139" s="173" t="s">
        <v>215</v>
      </c>
      <c r="B139" s="174">
        <v>5745.1875256126541</v>
      </c>
      <c r="C139" s="189">
        <v>267.56519957380544</v>
      </c>
      <c r="D139" s="174">
        <v>7998.2472748135397</v>
      </c>
      <c r="E139" s="175">
        <f>SUM(B139:D139)</f>
        <v>14011</v>
      </c>
    </row>
    <row r="140" spans="1:7" ht="12.65" customHeight="1">
      <c r="A140" s="173" t="s">
        <v>298</v>
      </c>
      <c r="B140" s="174">
        <v>4374.0598641539118</v>
      </c>
      <c r="C140" s="174">
        <v>177.26264951138765</v>
      </c>
      <c r="D140" s="174">
        <v>9042.6774863347018</v>
      </c>
      <c r="E140" s="175">
        <f>SUM(B140:D140)</f>
        <v>13594</v>
      </c>
      <c r="F140" s="180" t="s">
        <v>1292</v>
      </c>
      <c r="G140" s="180" t="s">
        <v>1291</v>
      </c>
    </row>
    <row r="141" spans="1:7" ht="12.65" customHeight="1">
      <c r="A141" s="173" t="s">
        <v>245</v>
      </c>
      <c r="B141" s="174">
        <v>74145571.744104743</v>
      </c>
      <c r="C141" s="189">
        <v>3321770.5393794239</v>
      </c>
      <c r="D141" s="174">
        <v>112222514.68651584</v>
      </c>
      <c r="E141" s="175">
        <f>SUM(B141:D141)</f>
        <v>189689856.97</v>
      </c>
      <c r="F141" s="199">
        <f>C359-E141</f>
        <v>0</v>
      </c>
      <c r="G141" s="180">
        <f>CE73-E141</f>
        <v>0</v>
      </c>
    </row>
    <row r="142" spans="1:7" ht="12.65" customHeight="1">
      <c r="A142" s="173" t="s">
        <v>246</v>
      </c>
      <c r="B142" s="174">
        <v>86439881.714870527</v>
      </c>
      <c r="C142" s="189">
        <v>3503052.7546729851</v>
      </c>
      <c r="D142" s="174">
        <v>178700794.36045647</v>
      </c>
      <c r="E142" s="175">
        <f>SUM(B142:D142)</f>
        <v>268643728.82999998</v>
      </c>
      <c r="F142" s="199">
        <f>C360-E142</f>
        <v>0</v>
      </c>
      <c r="G142" s="180">
        <f>CE74-E142</f>
        <v>0</v>
      </c>
    </row>
    <row r="143" spans="1:7" ht="12.65" customHeight="1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5" t="s">
        <v>306</v>
      </c>
      <c r="B164" s="255"/>
      <c r="C164" s="255"/>
      <c r="D164" s="255"/>
      <c r="E164" s="255"/>
    </row>
    <row r="165" spans="1:5" ht="11.5" customHeight="1">
      <c r="A165" s="173" t="s">
        <v>307</v>
      </c>
      <c r="B165" s="172" t="s">
        <v>256</v>
      </c>
      <c r="C165" s="189">
        <v>2138874.2400000002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/>
      <c r="D166" s="175"/>
      <c r="E166" s="175"/>
    </row>
    <row r="167" spans="1:5" ht="11.5" customHeight="1">
      <c r="A167" s="177" t="s">
        <v>309</v>
      </c>
      <c r="B167" s="172" t="s">
        <v>256</v>
      </c>
      <c r="C167" s="189"/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1906222.2399999998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/>
      <c r="D169" s="175"/>
      <c r="E169" s="175"/>
    </row>
    <row r="170" spans="1:5" ht="11.5" customHeight="1">
      <c r="A170" s="173" t="s">
        <v>312</v>
      </c>
      <c r="B170" s="172" t="s">
        <v>256</v>
      </c>
      <c r="C170" s="189"/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800140.30999999994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13497.08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4858733.87</v>
      </c>
      <c r="E173" s="175"/>
    </row>
    <row r="174" spans="1:5" ht="11.5" customHeight="1">
      <c r="A174" s="255" t="s">
        <v>314</v>
      </c>
      <c r="B174" s="255"/>
      <c r="C174" s="255"/>
      <c r="D174" s="255"/>
      <c r="E174" s="255"/>
    </row>
    <row r="175" spans="1:5" ht="11.5" customHeight="1">
      <c r="A175" s="173" t="s">
        <v>315</v>
      </c>
      <c r="B175" s="172" t="s">
        <v>256</v>
      </c>
      <c r="C175" s="189">
        <v>8653354.7399999984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2033955.3900000001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10687310.129999999</v>
      </c>
      <c r="E177" s="175"/>
    </row>
    <row r="178" spans="1:5" ht="11.5" customHeight="1">
      <c r="A178" s="255" t="s">
        <v>317</v>
      </c>
      <c r="B178" s="255"/>
      <c r="C178" s="255"/>
      <c r="D178" s="255"/>
      <c r="E178" s="255"/>
    </row>
    <row r="179" spans="1:5" ht="11.5" customHeight="1">
      <c r="A179" s="173" t="s">
        <v>318</v>
      </c>
      <c r="B179" s="172" t="s">
        <v>256</v>
      </c>
      <c r="C179" s="189">
        <v>39362.33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39362.33</v>
      </c>
      <c r="E181" s="175"/>
    </row>
    <row r="182" spans="1:5" ht="11.5" customHeight="1">
      <c r="A182" s="255" t="s">
        <v>320</v>
      </c>
      <c r="B182" s="255"/>
      <c r="C182" s="255"/>
      <c r="D182" s="255"/>
      <c r="E182" s="255"/>
    </row>
    <row r="183" spans="1:5" ht="11.5" customHeight="1">
      <c r="A183" s="173" t="s">
        <v>321</v>
      </c>
      <c r="B183" s="172" t="s">
        <v>256</v>
      </c>
      <c r="C183" s="189">
        <v>141081.07999999999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1998655.5700000003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/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2139736.6500000004</v>
      </c>
      <c r="E186" s="175"/>
    </row>
    <row r="187" spans="1:5" ht="11.5" customHeight="1">
      <c r="A187" s="255" t="s">
        <v>323</v>
      </c>
      <c r="B187" s="255"/>
      <c r="C187" s="255"/>
      <c r="D187" s="255"/>
      <c r="E187" s="255"/>
    </row>
    <row r="188" spans="1:5" ht="11.5" customHeight="1">
      <c r="A188" s="173" t="s">
        <v>324</v>
      </c>
      <c r="B188" s="172" t="s">
        <v>256</v>
      </c>
      <c r="C188" s="189"/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0</v>
      </c>
      <c r="C195" s="189">
        <v>5174183.28</v>
      </c>
      <c r="D195" s="174">
        <v>0</v>
      </c>
      <c r="E195" s="175">
        <f t="shared" ref="E195:E203" si="11">SUM(B195:C195)-D195</f>
        <v>5174183.28</v>
      </c>
    </row>
    <row r="196" spans="1:8" ht="12.65" customHeight="1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1"/>
        <v>0</v>
      </c>
    </row>
    <row r="197" spans="1:8" ht="12.65" customHeight="1">
      <c r="A197" s="173" t="s">
        <v>334</v>
      </c>
      <c r="B197" s="174">
        <v>0</v>
      </c>
      <c r="C197" s="189">
        <v>150542675.78999999</v>
      </c>
      <c r="D197" s="174"/>
      <c r="E197" s="175">
        <f t="shared" si="11"/>
        <v>150542675.78999999</v>
      </c>
    </row>
    <row r="198" spans="1:8" ht="12.65" customHeight="1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>
      <c r="A199" s="173" t="s">
        <v>336</v>
      </c>
      <c r="B199" s="174">
        <v>0</v>
      </c>
      <c r="C199" s="189">
        <v>1470047.52</v>
      </c>
      <c r="D199" s="174">
        <v>0</v>
      </c>
      <c r="E199" s="175">
        <f t="shared" si="11"/>
        <v>1470047.52</v>
      </c>
    </row>
    <row r="200" spans="1:8" ht="12.65" customHeight="1">
      <c r="A200" s="173" t="s">
        <v>337</v>
      </c>
      <c r="B200" s="174">
        <v>0</v>
      </c>
      <c r="C200" s="189">
        <v>12278572.66</v>
      </c>
      <c r="D200" s="174">
        <v>0</v>
      </c>
      <c r="E200" s="175">
        <f t="shared" si="11"/>
        <v>12278572.66</v>
      </c>
    </row>
    <row r="201" spans="1:8" ht="12.65" customHeight="1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>
      <c r="A202" s="173" t="s">
        <v>339</v>
      </c>
      <c r="B202" s="174">
        <v>0</v>
      </c>
      <c r="C202" s="189">
        <v>1292855.5</v>
      </c>
      <c r="D202" s="174">
        <v>0</v>
      </c>
      <c r="E202" s="175">
        <f t="shared" si="11"/>
        <v>1292855.5</v>
      </c>
    </row>
    <row r="203" spans="1:8" ht="12.65" customHeight="1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1"/>
        <v>0</v>
      </c>
    </row>
    <row r="204" spans="1:8" ht="12.65" customHeight="1">
      <c r="A204" s="173" t="s">
        <v>203</v>
      </c>
      <c r="B204" s="175">
        <f>SUM(B195:B203)</f>
        <v>0</v>
      </c>
      <c r="C204" s="191">
        <f>SUM(C195:C203)</f>
        <v>170758334.75</v>
      </c>
      <c r="D204" s="175">
        <f>SUM(D195:D203)</f>
        <v>0</v>
      </c>
      <c r="E204" s="175">
        <f>SUM(E195:E203)</f>
        <v>170758334.75</v>
      </c>
    </row>
    <row r="205" spans="1:8" ht="12.65" customHeight="1">
      <c r="A205" s="173"/>
      <c r="B205" s="173"/>
      <c r="C205" s="191"/>
      <c r="D205" s="175"/>
      <c r="E205" s="175"/>
      <c r="G205" s="180" t="s">
        <v>1265</v>
      </c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>
      <c r="A208" s="173" t="s">
        <v>332</v>
      </c>
      <c r="B208" s="178"/>
      <c r="C208" s="193"/>
      <c r="D208" s="178"/>
      <c r="E208" s="175"/>
      <c r="H208" s="257"/>
    </row>
    <row r="209" spans="1:8" ht="12.65" customHeight="1">
      <c r="A209" s="173" t="s">
        <v>333</v>
      </c>
      <c r="B209" s="174">
        <v>0</v>
      </c>
      <c r="C209" s="189">
        <v>0</v>
      </c>
      <c r="D209" s="174">
        <v>0</v>
      </c>
      <c r="E209" s="175">
        <f t="shared" ref="E209:E216" si="12">SUM(B209:C209)-D209</f>
        <v>0</v>
      </c>
      <c r="H209" s="257"/>
    </row>
    <row r="210" spans="1:8" ht="12.65" customHeight="1">
      <c r="A210" s="173" t="s">
        <v>334</v>
      </c>
      <c r="B210" s="174">
        <v>0</v>
      </c>
      <c r="C210" s="189">
        <v>724365.8899999999</v>
      </c>
      <c r="D210" s="174">
        <v>0</v>
      </c>
      <c r="E210" s="175">
        <f t="shared" si="12"/>
        <v>724365.8899999999</v>
      </c>
      <c r="H210" s="257"/>
    </row>
    <row r="211" spans="1:8" ht="12.65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7"/>
    </row>
    <row r="212" spans="1:8" ht="12.65" customHeight="1">
      <c r="A212" s="173" t="s">
        <v>336</v>
      </c>
      <c r="B212" s="174">
        <v>0</v>
      </c>
      <c r="C212" s="189">
        <v>106233.05999999998</v>
      </c>
      <c r="D212" s="174">
        <v>0</v>
      </c>
      <c r="E212" s="175">
        <f t="shared" si="12"/>
        <v>106233.05999999998</v>
      </c>
      <c r="H212" s="257"/>
    </row>
    <row r="213" spans="1:8" ht="12.65" customHeight="1">
      <c r="A213" s="173" t="s">
        <v>337</v>
      </c>
      <c r="B213" s="174">
        <v>0</v>
      </c>
      <c r="C213" s="189">
        <v>1574427.5299999996</v>
      </c>
      <c r="D213" s="174">
        <v>0</v>
      </c>
      <c r="E213" s="175">
        <f t="shared" si="12"/>
        <v>1574427.5299999996</v>
      </c>
      <c r="H213" s="257"/>
    </row>
    <row r="214" spans="1:8" ht="12.65" customHeight="1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7"/>
    </row>
    <row r="215" spans="1:8" ht="12.65" customHeight="1">
      <c r="A215" s="173" t="s">
        <v>339</v>
      </c>
      <c r="B215" s="174">
        <v>0</v>
      </c>
      <c r="C215" s="189">
        <v>129285.54000000001</v>
      </c>
      <c r="D215" s="174">
        <v>0</v>
      </c>
      <c r="E215" s="175">
        <f t="shared" si="12"/>
        <v>129285.54000000001</v>
      </c>
      <c r="H215" s="257"/>
    </row>
    <row r="216" spans="1:8" ht="12.65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7"/>
    </row>
    <row r="217" spans="1:8" ht="12.65" customHeight="1">
      <c r="A217" s="173" t="s">
        <v>203</v>
      </c>
      <c r="B217" s="175">
        <f>SUM(B208:B216)</f>
        <v>0</v>
      </c>
      <c r="C217" s="191">
        <f>SUM(C208:C216)</f>
        <v>2534312.0199999996</v>
      </c>
      <c r="D217" s="175">
        <f>SUM(D208:D216)</f>
        <v>0</v>
      </c>
      <c r="E217" s="175">
        <f>SUM(E208:E216)</f>
        <v>2534312.0199999996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89" t="s">
        <v>1255</v>
      </c>
      <c r="C220" s="389"/>
      <c r="D220" s="208"/>
      <c r="E220" s="208"/>
    </row>
    <row r="221" spans="1:8" ht="12.65" customHeight="1">
      <c r="A221" s="269" t="s">
        <v>1255</v>
      </c>
      <c r="B221" s="208"/>
      <c r="C221" s="189">
        <v>4014825.6500000004</v>
      </c>
      <c r="D221" s="172">
        <f>C221</f>
        <v>4014825.6500000004</v>
      </c>
      <c r="E221" s="208"/>
    </row>
    <row r="222" spans="1:8" ht="12.65" customHeight="1">
      <c r="A222" s="255" t="s">
        <v>343</v>
      </c>
      <c r="B222" s="255"/>
      <c r="C222" s="255"/>
      <c r="D222" s="255"/>
      <c r="E222" s="255"/>
    </row>
    <row r="223" spans="1:8" ht="12.65" customHeight="1">
      <c r="A223" s="173" t="s">
        <v>344</v>
      </c>
      <c r="B223" s="172" t="s">
        <v>256</v>
      </c>
      <c r="C223" s="189">
        <v>129487109.1359084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3182087.148989819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3937596.7178360969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11982131.722230004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205372201.89503568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353961126.62</v>
      </c>
      <c r="E229" s="175"/>
    </row>
    <row r="230" spans="1:5" ht="12.65" customHeight="1">
      <c r="A230" s="255" t="s">
        <v>351</v>
      </c>
      <c r="B230" s="255"/>
      <c r="C230" s="255"/>
      <c r="D230" s="255"/>
      <c r="E230" s="255"/>
    </row>
    <row r="231" spans="1:5" ht="12.65" customHeight="1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f>829581846.30874/1000</f>
        <v>829581.84630873997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f>1174875473.69126/1000</f>
        <v>1174875.4736912602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2004457.3200000003</v>
      </c>
      <c r="E236" s="175"/>
    </row>
    <row r="237" spans="1:5" ht="12.65" customHeight="1">
      <c r="A237" s="255" t="s">
        <v>356</v>
      </c>
      <c r="B237" s="255"/>
      <c r="C237" s="255"/>
      <c r="D237" s="255"/>
      <c r="E237" s="255"/>
    </row>
    <row r="238" spans="1:5" ht="12.65" customHeight="1">
      <c r="A238" s="173" t="s">
        <v>357</v>
      </c>
      <c r="B238" s="172" t="s">
        <v>256</v>
      </c>
      <c r="C238" s="189">
        <v>21503837.68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21503837.68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381484247.26999998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5" t="s">
        <v>361</v>
      </c>
      <c r="B249" s="255"/>
      <c r="C249" s="255"/>
      <c r="D249" s="255"/>
      <c r="E249" s="255"/>
    </row>
    <row r="250" spans="1:5" ht="12.4" customHeight="1">
      <c r="A250" s="173" t="s">
        <v>362</v>
      </c>
      <c r="B250" s="172" t="s">
        <v>256</v>
      </c>
      <c r="C250" s="189">
        <v>-215457091.77000001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189"/>
      <c r="D251" s="175"/>
      <c r="E251" s="175"/>
    </row>
    <row r="252" spans="1:5" ht="12.4" customHeight="1">
      <c r="A252" s="173" t="s">
        <v>364</v>
      </c>
      <c r="B252" s="172" t="s">
        <v>256</v>
      </c>
      <c r="C252" s="189">
        <v>29162693.359999992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189">
        <v>7900653.3399999989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>
      <c r="A255" s="173" t="s">
        <v>366</v>
      </c>
      <c r="B255" s="172" t="s">
        <v>256</v>
      </c>
      <c r="C255" s="189">
        <v>1297974.71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189"/>
      <c r="D256" s="175"/>
      <c r="E256" s="175"/>
    </row>
    <row r="257" spans="1:5" ht="12.4" customHeight="1">
      <c r="A257" s="173" t="s">
        <v>368</v>
      </c>
      <c r="B257" s="172" t="s">
        <v>256</v>
      </c>
      <c r="C257" s="189">
        <v>3541588.44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189">
        <v>437795.58999999997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9"/>
      <c r="D259" s="175"/>
      <c r="E259" s="175"/>
    </row>
    <row r="260" spans="1:5" ht="12.4" customHeight="1">
      <c r="A260" s="173" t="s">
        <v>371</v>
      </c>
      <c r="B260" s="175"/>
      <c r="C260" s="191"/>
      <c r="D260" s="175">
        <f>SUM(C250:C252)-C253+SUM(C254:C259)</f>
        <v>-188917693.01000002</v>
      </c>
      <c r="E260" s="175"/>
    </row>
    <row r="261" spans="1:5" ht="11.25" customHeight="1">
      <c r="A261" s="255" t="s">
        <v>372</v>
      </c>
      <c r="B261" s="255"/>
      <c r="C261" s="176"/>
      <c r="D261" s="255"/>
      <c r="E261" s="255"/>
    </row>
    <row r="262" spans="1:5" ht="12.4" customHeight="1">
      <c r="A262" s="173" t="s">
        <v>362</v>
      </c>
      <c r="B262" s="172" t="s">
        <v>256</v>
      </c>
      <c r="C262" s="189"/>
      <c r="D262" s="175"/>
      <c r="E262" s="175"/>
    </row>
    <row r="263" spans="1:5" ht="12.4" customHeight="1">
      <c r="A263" s="173" t="s">
        <v>363</v>
      </c>
      <c r="B263" s="172" t="s">
        <v>256</v>
      </c>
      <c r="C263" s="189"/>
      <c r="D263" s="175"/>
      <c r="E263" s="175"/>
    </row>
    <row r="264" spans="1:5" ht="12.4" customHeight="1">
      <c r="A264" s="173" t="s">
        <v>373</v>
      </c>
      <c r="B264" s="172" t="s">
        <v>256</v>
      </c>
      <c r="C264" s="189"/>
      <c r="D264" s="175"/>
      <c r="E264" s="175"/>
    </row>
    <row r="265" spans="1:5" ht="12.4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5" t="s">
        <v>375</v>
      </c>
      <c r="B266" s="255"/>
      <c r="C266" s="176"/>
      <c r="D266" s="255"/>
      <c r="E266" s="255"/>
    </row>
    <row r="267" spans="1:5" ht="12.4" customHeight="1">
      <c r="A267" s="173" t="s">
        <v>332</v>
      </c>
      <c r="B267" s="172" t="s">
        <v>256</v>
      </c>
      <c r="C267" s="189">
        <v>5174183.28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189">
        <v>150542675.78999999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>
      <c r="A271" s="173" t="s">
        <v>377</v>
      </c>
      <c r="B271" s="172" t="s">
        <v>256</v>
      </c>
      <c r="C271" s="189">
        <v>1470047.5200000033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189">
        <v>12278572.659999996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189">
        <v>1292855.5</v>
      </c>
      <c r="D273" s="175"/>
      <c r="E273" s="175"/>
    </row>
    <row r="274" spans="1:5" ht="12.4" customHeight="1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>
      <c r="A275" s="173" t="s">
        <v>379</v>
      </c>
      <c r="B275" s="175"/>
      <c r="C275" s="191"/>
      <c r="D275" s="175">
        <f>SUM(C267:C274)</f>
        <v>170758334.75</v>
      </c>
      <c r="E275" s="175"/>
    </row>
    <row r="276" spans="1:5" ht="12.65" customHeight="1">
      <c r="A276" s="173" t="s">
        <v>380</v>
      </c>
      <c r="B276" s="172" t="s">
        <v>256</v>
      </c>
      <c r="C276" s="189">
        <v>2534312.0199999982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168224022.72999999</v>
      </c>
      <c r="E277" s="175"/>
    </row>
    <row r="278" spans="1:5" ht="12.65" customHeight="1">
      <c r="A278" s="255" t="s">
        <v>382</v>
      </c>
      <c r="B278" s="255"/>
      <c r="C278" s="176"/>
      <c r="D278" s="255"/>
      <c r="E278" s="255"/>
    </row>
    <row r="279" spans="1:5" ht="12.65" customHeight="1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10573252.270000007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10573252.270000007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5" t="s">
        <v>387</v>
      </c>
      <c r="B285" s="255"/>
      <c r="C285" s="176"/>
      <c r="D285" s="255"/>
      <c r="E285" s="255"/>
    </row>
    <row r="286" spans="1:5" ht="12.65" customHeight="1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-10120418.010000024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5" t="s">
        <v>395</v>
      </c>
      <c r="B303" s="255"/>
      <c r="C303" s="255"/>
      <c r="D303" s="255"/>
      <c r="E303" s="255"/>
    </row>
    <row r="304" spans="1:5" ht="12.65" customHeight="1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-3762816.290000001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251377.74999999994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112500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251198.40999999995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235984.79999999897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-2911755.3300000019</v>
      </c>
      <c r="E314" s="175"/>
    </row>
    <row r="315" spans="1:5" ht="12.65" customHeight="1">
      <c r="A315" s="255" t="s">
        <v>406</v>
      </c>
      <c r="B315" s="255"/>
      <c r="C315" s="255"/>
      <c r="D315" s="255"/>
      <c r="E315" s="255"/>
    </row>
    <row r="316" spans="1:5" ht="12.65" customHeight="1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>
      <c r="A320" s="255" t="s">
        <v>411</v>
      </c>
      <c r="B320" s="255"/>
      <c r="C320" s="255"/>
      <c r="D320" s="255"/>
      <c r="E320" s="255"/>
    </row>
    <row r="321" spans="1:5" ht="12.65" customHeight="1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>
      <c r="A326" s="171" t="s">
        <v>417</v>
      </c>
      <c r="B326" s="172" t="s">
        <v>256</v>
      </c>
      <c r="C326" s="189">
        <v>6829981.209999999</v>
      </c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6829981.209999999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235984.79999999897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6593996.4100000001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-13802659.09</v>
      </c>
      <c r="D332" s="175"/>
      <c r="E332" s="175"/>
    </row>
    <row r="333" spans="1:5" ht="12.65" customHeight="1">
      <c r="A333" s="173"/>
      <c r="B333" s="172"/>
      <c r="C333" s="230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-10120418.010000002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-10120418.010000024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5" ht="12.65" customHeight="1">
      <c r="A353" s="173"/>
      <c r="B353" s="173"/>
      <c r="C353" s="191"/>
      <c r="D353" s="175"/>
      <c r="E353" s="175"/>
    </row>
    <row r="354" spans="1:5" ht="12.65" customHeight="1">
      <c r="A354" s="173"/>
      <c r="B354" s="173"/>
      <c r="C354" s="191"/>
      <c r="D354" s="175"/>
      <c r="E354" s="175"/>
    </row>
    <row r="355" spans="1:5" ht="12.65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5" customHeight="1">
      <c r="A357" s="208" t="s">
        <v>426</v>
      </c>
      <c r="B357" s="208"/>
      <c r="C357" s="208"/>
      <c r="D357" s="208"/>
      <c r="E357" s="208"/>
    </row>
    <row r="358" spans="1:5" ht="12.65" customHeight="1">
      <c r="A358" s="255" t="s">
        <v>427</v>
      </c>
      <c r="B358" s="255"/>
      <c r="C358" s="255"/>
      <c r="D358" s="255"/>
      <c r="E358" s="255"/>
    </row>
    <row r="359" spans="1:5" ht="12.65" customHeight="1">
      <c r="A359" s="173" t="s">
        <v>428</v>
      </c>
      <c r="B359" s="172" t="s">
        <v>256</v>
      </c>
      <c r="C359" s="189">
        <v>189689856.97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9">
        <v>268643728.82999998</v>
      </c>
      <c r="D360" s="175"/>
      <c r="E360" s="175"/>
    </row>
    <row r="361" spans="1:5" ht="12.65" customHeight="1">
      <c r="A361" s="173" t="s">
        <v>430</v>
      </c>
      <c r="B361" s="175"/>
      <c r="C361" s="191"/>
      <c r="D361" s="175">
        <f>SUM(C359:C360)</f>
        <v>458333585.79999995</v>
      </c>
      <c r="E361" s="175"/>
    </row>
    <row r="362" spans="1:5" ht="12.65" customHeight="1">
      <c r="A362" s="255" t="s">
        <v>431</v>
      </c>
      <c r="B362" s="255"/>
      <c r="C362" s="255"/>
      <c r="D362" s="255"/>
      <c r="E362" s="255"/>
    </row>
    <row r="363" spans="1:5" ht="12.65" customHeight="1">
      <c r="A363" s="173" t="s">
        <v>1255</v>
      </c>
      <c r="B363" s="255"/>
      <c r="C363" s="189">
        <v>4014825.6500000004</v>
      </c>
      <c r="D363" s="175"/>
      <c r="E363" s="255"/>
    </row>
    <row r="364" spans="1:5" ht="12.65" customHeight="1">
      <c r="A364" s="173" t="s">
        <v>432</v>
      </c>
      <c r="B364" s="172" t="s">
        <v>256</v>
      </c>
      <c r="C364" s="189">
        <v>375464964.29999995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9">
        <v>2004457.32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>
      <c r="A367" s="173" t="s">
        <v>359</v>
      </c>
      <c r="B367" s="175"/>
      <c r="C367" s="191"/>
      <c r="D367" s="175">
        <f>SUM(C363:C366)</f>
        <v>381484247.26999992</v>
      </c>
      <c r="E367" s="175"/>
    </row>
    <row r="368" spans="1:5" ht="12.65" customHeight="1">
      <c r="A368" s="173" t="s">
        <v>435</v>
      </c>
      <c r="B368" s="175"/>
      <c r="C368" s="191"/>
      <c r="D368" s="175">
        <f>D361-D367</f>
        <v>76849338.530000031</v>
      </c>
      <c r="E368" s="175"/>
    </row>
    <row r="369" spans="1:6" ht="12.65" customHeight="1">
      <c r="A369" s="255" t="s">
        <v>436</v>
      </c>
      <c r="B369" s="255"/>
      <c r="C369" s="255"/>
      <c r="D369" s="255"/>
      <c r="E369" s="255"/>
    </row>
    <row r="370" spans="1:6" ht="12.65" customHeight="1">
      <c r="A370" s="173" t="s">
        <v>437</v>
      </c>
      <c r="B370" s="172" t="s">
        <v>256</v>
      </c>
      <c r="C370" s="189">
        <v>10030849.42</v>
      </c>
      <c r="D370" s="175"/>
      <c r="E370" s="175"/>
    </row>
    <row r="371" spans="1:6" ht="12.65" customHeight="1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>
      <c r="A372" s="173" t="s">
        <v>439</v>
      </c>
      <c r="B372" s="175"/>
      <c r="C372" s="191"/>
      <c r="D372" s="175">
        <f>SUM(C370:C371)</f>
        <v>10030849.42</v>
      </c>
      <c r="E372" s="175"/>
    </row>
    <row r="373" spans="1:6" ht="12.65" customHeight="1">
      <c r="A373" s="173" t="s">
        <v>440</v>
      </c>
      <c r="B373" s="175"/>
      <c r="C373" s="191"/>
      <c r="D373" s="175">
        <f>D368+D372</f>
        <v>86880187.950000033</v>
      </c>
      <c r="E373" s="175"/>
    </row>
    <row r="374" spans="1:6" ht="12.65" customHeight="1">
      <c r="A374" s="173"/>
      <c r="B374" s="175"/>
      <c r="C374" s="191"/>
      <c r="D374" s="175"/>
      <c r="E374" s="175"/>
    </row>
    <row r="375" spans="1:6" ht="12.65" customHeight="1">
      <c r="A375" s="173"/>
      <c r="B375" s="175"/>
      <c r="C375" s="191"/>
      <c r="D375" s="175"/>
      <c r="E375" s="175"/>
    </row>
    <row r="376" spans="1:6" ht="12.65" customHeight="1">
      <c r="A376" s="173"/>
      <c r="B376" s="175"/>
      <c r="C376" s="191"/>
      <c r="D376" s="175"/>
      <c r="E376" s="175"/>
    </row>
    <row r="377" spans="1:6" ht="12.65" customHeight="1">
      <c r="A377" s="255" t="s">
        <v>441</v>
      </c>
      <c r="B377" s="255"/>
      <c r="C377" s="255"/>
      <c r="D377" s="255"/>
      <c r="E377" s="255"/>
      <c r="F377" s="2" t="s">
        <v>1266</v>
      </c>
    </row>
    <row r="378" spans="1:6" ht="12.65" customHeight="1">
      <c r="A378" s="173" t="s">
        <v>442</v>
      </c>
      <c r="B378" s="172" t="s">
        <v>256</v>
      </c>
      <c r="C378" s="189">
        <v>35438385.840000011</v>
      </c>
      <c r="D378" s="175"/>
      <c r="E378" s="175"/>
      <c r="F378" s="286">
        <f t="shared" ref="F378:F385" si="13">ROUNDDOWN(C378-CE61,0)</f>
        <v>0</v>
      </c>
    </row>
    <row r="379" spans="1:6" ht="12.65" customHeight="1">
      <c r="A379" s="173" t="s">
        <v>3</v>
      </c>
      <c r="B379" s="172" t="s">
        <v>256</v>
      </c>
      <c r="C379" s="189">
        <v>4858733.8699999992</v>
      </c>
      <c r="D379" s="175"/>
      <c r="E379" s="175"/>
      <c r="F379" s="286">
        <f t="shared" si="13"/>
        <v>-5</v>
      </c>
    </row>
    <row r="380" spans="1:6" ht="12.65" customHeight="1">
      <c r="A380" s="173" t="s">
        <v>236</v>
      </c>
      <c r="B380" s="172" t="s">
        <v>256</v>
      </c>
      <c r="C380" s="189">
        <v>3851710.76</v>
      </c>
      <c r="D380" s="175"/>
      <c r="E380" s="175"/>
      <c r="F380" s="286">
        <f t="shared" si="13"/>
        <v>0</v>
      </c>
    </row>
    <row r="381" spans="1:6" ht="12.65" customHeight="1">
      <c r="A381" s="173" t="s">
        <v>443</v>
      </c>
      <c r="B381" s="172" t="s">
        <v>256</v>
      </c>
      <c r="C381" s="189">
        <v>17328821.969999999</v>
      </c>
      <c r="D381" s="175"/>
      <c r="E381" s="175"/>
      <c r="F381" s="286">
        <f t="shared" si="13"/>
        <v>0</v>
      </c>
    </row>
    <row r="382" spans="1:6" ht="12.65" customHeight="1">
      <c r="A382" s="173" t="s">
        <v>444</v>
      </c>
      <c r="B382" s="172" t="s">
        <v>256</v>
      </c>
      <c r="C382" s="189">
        <v>795051.3</v>
      </c>
      <c r="D382" s="175"/>
      <c r="E382" s="175"/>
      <c r="F382" s="286">
        <f t="shared" si="13"/>
        <v>0</v>
      </c>
    </row>
    <row r="383" spans="1:6" ht="12.65" customHeight="1">
      <c r="A383" s="173" t="s">
        <v>445</v>
      </c>
      <c r="B383" s="172" t="s">
        <v>256</v>
      </c>
      <c r="C383" s="189">
        <v>15676321.610000001</v>
      </c>
      <c r="D383" s="175"/>
      <c r="E383" s="175"/>
      <c r="F383" s="286">
        <f t="shared" si="13"/>
        <v>0</v>
      </c>
    </row>
    <row r="384" spans="1:6" ht="12.65" customHeight="1">
      <c r="A384" s="173" t="s">
        <v>6</v>
      </c>
      <c r="B384" s="172" t="s">
        <v>256</v>
      </c>
      <c r="C384" s="189">
        <v>4947736.2</v>
      </c>
      <c r="D384" s="175"/>
      <c r="E384" s="175"/>
      <c r="F384" s="286">
        <f t="shared" si="13"/>
        <v>-2</v>
      </c>
    </row>
    <row r="385" spans="1:6" ht="12.65" customHeight="1">
      <c r="A385" s="173" t="s">
        <v>446</v>
      </c>
      <c r="B385" s="172" t="s">
        <v>256</v>
      </c>
      <c r="C385" s="189">
        <v>10687310.129999999</v>
      </c>
      <c r="D385" s="175"/>
      <c r="E385" s="175"/>
      <c r="F385" s="286">
        <f t="shared" si="13"/>
        <v>0</v>
      </c>
    </row>
    <row r="386" spans="1:6" ht="12.65" customHeight="1">
      <c r="A386" s="173" t="s">
        <v>447</v>
      </c>
      <c r="B386" s="172" t="s">
        <v>256</v>
      </c>
      <c r="C386" s="189">
        <v>39362.33</v>
      </c>
      <c r="D386" s="175"/>
      <c r="E386" s="175"/>
      <c r="F386" s="286">
        <f>ROUNDDOWN(SUM(C386:C389)-CE69,0)</f>
        <v>0</v>
      </c>
    </row>
    <row r="387" spans="1:6" ht="12.65" customHeight="1">
      <c r="A387" s="173" t="s">
        <v>448</v>
      </c>
      <c r="B387" s="172" t="s">
        <v>256</v>
      </c>
      <c r="C387" s="189">
        <v>2139736.65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4919676.38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100682847.04000001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-13802659.089999974</v>
      </c>
      <c r="E391" s="175"/>
    </row>
    <row r="392" spans="1:6" ht="12.65" customHeight="1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-13802659.089999974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>
      <c r="A396" s="173" t="s">
        <v>458</v>
      </c>
      <c r="B396" s="175"/>
      <c r="C396" s="191"/>
      <c r="D396" s="380">
        <f>D393+C394-C395</f>
        <v>-13802659.089999974</v>
      </c>
      <c r="E396" s="175"/>
    </row>
    <row r="397" spans="1:6" ht="13.5" customHeight="1">
      <c r="A397" s="179"/>
      <c r="B397" s="179"/>
      <c r="D397" s="376"/>
    </row>
    <row r="398" spans="1:6" ht="12.65" customHeight="1">
      <c r="A398" s="179"/>
      <c r="B398" s="179"/>
      <c r="D398" s="376">
        <v>-13802659.089999974</v>
      </c>
    </row>
    <row r="399" spans="1:6" ht="12.65" customHeight="1">
      <c r="A399" s="179"/>
      <c r="B399" s="179"/>
    </row>
    <row r="400" spans="1:6" ht="12" customHeight="1">
      <c r="A400" s="179"/>
      <c r="B400" s="179"/>
      <c r="C400" s="287"/>
    </row>
    <row r="401" spans="1:5" ht="12" customHeight="1">
      <c r="A401" s="179"/>
      <c r="B401" s="179"/>
      <c r="C401" s="287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58"/>
    </row>
    <row r="412" spans="1:5" ht="12.65" customHeight="1">
      <c r="A412" s="179" t="str">
        <f>C84&amp;"   "&amp;"H-"&amp;FIXED(C83,0,TRUE)&amp;"     FYE "&amp;C82</f>
        <v>Capital Medical Center   H-197     FYE 12/31/21</v>
      </c>
      <c r="B412" s="179"/>
      <c r="C412" s="179"/>
      <c r="D412" s="179"/>
      <c r="E412" s="258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2840</v>
      </c>
      <c r="C414" s="194">
        <f>E138</f>
        <v>2839.5</v>
      </c>
      <c r="D414" s="179"/>
    </row>
    <row r="415" spans="1:5" ht="12.65" customHeight="1">
      <c r="A415" s="179" t="s">
        <v>464</v>
      </c>
      <c r="B415" s="179">
        <f>D111</f>
        <v>14011</v>
      </c>
      <c r="C415" s="179">
        <f>E139</f>
        <v>14011</v>
      </c>
      <c r="D415" s="194">
        <f>SUM(C59:H59)+N59</f>
        <v>11202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479</v>
      </c>
    </row>
    <row r="424" spans="1:7" ht="12.65" customHeight="1">
      <c r="A424" s="179" t="s">
        <v>1244</v>
      </c>
      <c r="B424" s="179">
        <f>D114</f>
        <v>661</v>
      </c>
      <c r="D424" s="179">
        <f>J59</f>
        <v>0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4">C378</f>
        <v>35438385.840000011</v>
      </c>
      <c r="C427" s="179">
        <f t="shared" ref="C427:C434" si="15">CE61</f>
        <v>35438385.840000011</v>
      </c>
      <c r="D427" s="179"/>
    </row>
    <row r="428" spans="1:7" ht="12.65" customHeight="1">
      <c r="A428" s="179" t="s">
        <v>3</v>
      </c>
      <c r="B428" s="179">
        <f t="shared" si="14"/>
        <v>4858733.8699999992</v>
      </c>
      <c r="C428" s="179">
        <f t="shared" si="15"/>
        <v>4858739</v>
      </c>
      <c r="D428" s="179">
        <f>D173</f>
        <v>4858733.87</v>
      </c>
    </row>
    <row r="429" spans="1:7" ht="12.65" customHeight="1">
      <c r="A429" s="179" t="s">
        <v>236</v>
      </c>
      <c r="B429" s="179">
        <f t="shared" si="14"/>
        <v>3851710.76</v>
      </c>
      <c r="C429" s="179">
        <f t="shared" si="15"/>
        <v>3851710.76</v>
      </c>
      <c r="D429" s="179"/>
    </row>
    <row r="430" spans="1:7" ht="12.65" customHeight="1">
      <c r="A430" s="179" t="s">
        <v>237</v>
      </c>
      <c r="B430" s="179">
        <f t="shared" si="14"/>
        <v>17328821.969999999</v>
      </c>
      <c r="C430" s="179">
        <f t="shared" si="15"/>
        <v>17328821.969999999</v>
      </c>
      <c r="D430" s="179"/>
    </row>
    <row r="431" spans="1:7" ht="12.65" customHeight="1">
      <c r="A431" s="179" t="s">
        <v>444</v>
      </c>
      <c r="B431" s="179">
        <f t="shared" si="14"/>
        <v>795051.3</v>
      </c>
      <c r="C431" s="179">
        <f t="shared" si="15"/>
        <v>795051.3</v>
      </c>
      <c r="D431" s="179"/>
    </row>
    <row r="432" spans="1:7" ht="12.65" customHeight="1">
      <c r="A432" s="179" t="s">
        <v>445</v>
      </c>
      <c r="B432" s="179">
        <f t="shared" si="14"/>
        <v>15676321.610000001</v>
      </c>
      <c r="C432" s="179">
        <f t="shared" si="15"/>
        <v>15676321.610000001</v>
      </c>
      <c r="D432" s="179"/>
    </row>
    <row r="433" spans="1:7" ht="12.65" customHeight="1">
      <c r="A433" s="179" t="s">
        <v>6</v>
      </c>
      <c r="B433" s="179">
        <f t="shared" si="14"/>
        <v>4947736.2</v>
      </c>
      <c r="C433" s="179">
        <f t="shared" si="15"/>
        <v>4947739</v>
      </c>
      <c r="D433" s="179">
        <f>C217</f>
        <v>2534312.0199999996</v>
      </c>
    </row>
    <row r="434" spans="1:7" ht="12.65" customHeight="1">
      <c r="A434" s="179" t="s">
        <v>474</v>
      </c>
      <c r="B434" s="179">
        <f t="shared" si="14"/>
        <v>10687310.129999999</v>
      </c>
      <c r="C434" s="179">
        <f t="shared" si="15"/>
        <v>10687310.129999999</v>
      </c>
      <c r="D434" s="179">
        <f>D177</f>
        <v>10687310.129999999</v>
      </c>
    </row>
    <row r="435" spans="1:7" ht="12.65" customHeight="1">
      <c r="A435" s="179" t="s">
        <v>447</v>
      </c>
      <c r="B435" s="179">
        <f t="shared" si="14"/>
        <v>39362.33</v>
      </c>
      <c r="C435" s="179"/>
      <c r="D435" s="179">
        <f>D181</f>
        <v>39362.33</v>
      </c>
    </row>
    <row r="436" spans="1:7" ht="12.65" customHeight="1">
      <c r="A436" s="179" t="s">
        <v>475</v>
      </c>
      <c r="B436" s="179">
        <f t="shared" si="14"/>
        <v>2139736.65</v>
      </c>
      <c r="C436" s="179"/>
      <c r="D436" s="179">
        <f>D186</f>
        <v>2139736.6500000004</v>
      </c>
    </row>
    <row r="437" spans="1:7" ht="12.65" customHeight="1">
      <c r="A437" s="194" t="s">
        <v>449</v>
      </c>
      <c r="B437" s="194">
        <f t="shared" si="14"/>
        <v>0</v>
      </c>
      <c r="C437" s="194"/>
      <c r="D437" s="194">
        <f>D190</f>
        <v>0</v>
      </c>
    </row>
    <row r="438" spans="1:7" ht="12.65" customHeight="1">
      <c r="A438" s="194" t="s">
        <v>476</v>
      </c>
      <c r="B438" s="194">
        <f>C386+C387+C388</f>
        <v>2179098.98</v>
      </c>
      <c r="C438" s="194">
        <f>CD69</f>
        <v>2179098.98</v>
      </c>
      <c r="D438" s="194">
        <f>D181+D186+D190</f>
        <v>2179098.9800000004</v>
      </c>
    </row>
    <row r="439" spans="1:7" ht="12.65" customHeight="1">
      <c r="A439" s="179" t="s">
        <v>451</v>
      </c>
      <c r="B439" s="194">
        <f>C389</f>
        <v>4919676.38</v>
      </c>
      <c r="C439" s="194">
        <f>SUM(C69:CC69)</f>
        <v>4919676.3800000008</v>
      </c>
      <c r="D439" s="179"/>
    </row>
    <row r="440" spans="1:7" ht="12.65" customHeight="1">
      <c r="A440" s="179" t="s">
        <v>477</v>
      </c>
      <c r="B440" s="194">
        <f>B438+B439</f>
        <v>7098775.3599999994</v>
      </c>
      <c r="C440" s="194">
        <f>CE69</f>
        <v>7098775.3600000013</v>
      </c>
      <c r="D440" s="179"/>
    </row>
    <row r="441" spans="1:7" ht="12.65" customHeight="1">
      <c r="A441" s="179" t="s">
        <v>478</v>
      </c>
      <c r="B441" s="179">
        <f>D390</f>
        <v>100682847.04000001</v>
      </c>
      <c r="C441" s="179">
        <f>SUM(C427:C437)+C440</f>
        <v>100682854.97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4014825.6500000004</v>
      </c>
      <c r="C444" s="179">
        <f>C363</f>
        <v>4014825.6500000004</v>
      </c>
      <c r="D444" s="179"/>
    </row>
    <row r="445" spans="1:7" ht="12.65" customHeight="1">
      <c r="A445" s="179" t="s">
        <v>343</v>
      </c>
      <c r="B445" s="179">
        <f>D229</f>
        <v>353961126.62</v>
      </c>
      <c r="C445" s="179">
        <f>C364</f>
        <v>375464964.29999995</v>
      </c>
      <c r="D445" s="179"/>
    </row>
    <row r="446" spans="1:7" ht="12.65" customHeight="1">
      <c r="A446" s="179" t="s">
        <v>351</v>
      </c>
      <c r="B446" s="179">
        <f>D236</f>
        <v>2004457.3200000003</v>
      </c>
      <c r="C446" s="179">
        <f>C365</f>
        <v>2004457.32</v>
      </c>
      <c r="D446" s="179"/>
    </row>
    <row r="447" spans="1:7" ht="12.65" customHeight="1">
      <c r="A447" s="179" t="s">
        <v>356</v>
      </c>
      <c r="B447" s="179">
        <f>D240</f>
        <v>21503837.68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381484247.26999998</v>
      </c>
      <c r="C448" s="179">
        <f>D367</f>
        <v>381484247.26999992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0</v>
      </c>
    </row>
    <row r="454" spans="1:7" ht="12.65" customHeight="1">
      <c r="A454" s="179" t="s">
        <v>168</v>
      </c>
      <c r="B454" s="179">
        <f>C233</f>
        <v>829581.84630873997</v>
      </c>
      <c r="C454" s="179"/>
      <c r="D454" s="179"/>
    </row>
    <row r="455" spans="1:7" ht="12.65" customHeight="1">
      <c r="A455" s="179" t="s">
        <v>131</v>
      </c>
      <c r="B455" s="179">
        <f>C234</f>
        <v>1174875.4736912602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10030849.42</v>
      </c>
      <c r="C458" s="194">
        <f>CE70</f>
        <v>10030849.42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189689856.97</v>
      </c>
      <c r="C463" s="194">
        <f>CE73</f>
        <v>189689856.97</v>
      </c>
      <c r="D463" s="194">
        <f>E141+E147+E153</f>
        <v>189689856.97</v>
      </c>
    </row>
    <row r="464" spans="1:7" ht="12.65" customHeight="1">
      <c r="A464" s="179" t="s">
        <v>246</v>
      </c>
      <c r="B464" s="194">
        <f>C360</f>
        <v>268643728.82999998</v>
      </c>
      <c r="C464" s="194">
        <f>CE74</f>
        <v>268643728.82999998</v>
      </c>
      <c r="D464" s="194">
        <f>E142+E148+E154</f>
        <v>268643728.82999998</v>
      </c>
    </row>
    <row r="465" spans="1:7" ht="12.65" customHeight="1">
      <c r="A465" s="179" t="s">
        <v>247</v>
      </c>
      <c r="B465" s="194">
        <f>D361</f>
        <v>458333585.79999995</v>
      </c>
      <c r="C465" s="194">
        <f>CE75</f>
        <v>458333585.80000007</v>
      </c>
      <c r="D465" s="194">
        <f>D463+D464</f>
        <v>458333585.79999995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6">C267</f>
        <v>5174183.28</v>
      </c>
      <c r="C468" s="179">
        <f>E195</f>
        <v>5174183.28</v>
      </c>
      <c r="D468" s="179"/>
    </row>
    <row r="469" spans="1:7" ht="12.65" customHeight="1">
      <c r="A469" s="179" t="s">
        <v>333</v>
      </c>
      <c r="B469" s="179">
        <f t="shared" si="16"/>
        <v>0</v>
      </c>
      <c r="C469" s="179">
        <f>E196</f>
        <v>0</v>
      </c>
      <c r="D469" s="179"/>
    </row>
    <row r="470" spans="1:7" ht="12.65" customHeight="1">
      <c r="A470" s="179" t="s">
        <v>334</v>
      </c>
      <c r="B470" s="179">
        <f t="shared" si="16"/>
        <v>150542675.78999999</v>
      </c>
      <c r="C470" s="179">
        <f>E197</f>
        <v>150542675.78999999</v>
      </c>
      <c r="D470" s="179"/>
    </row>
    <row r="471" spans="1:7" ht="12.65" customHeight="1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6"/>
        <v>1470047.5200000033</v>
      </c>
      <c r="C472" s="179">
        <f>E199</f>
        <v>1470047.52</v>
      </c>
      <c r="D472" s="179"/>
    </row>
    <row r="473" spans="1:7" ht="12.65" customHeight="1">
      <c r="A473" s="179" t="s">
        <v>495</v>
      </c>
      <c r="B473" s="179">
        <f t="shared" si="16"/>
        <v>12278572.659999996</v>
      </c>
      <c r="C473" s="179">
        <f>SUM(E200:E201)</f>
        <v>12278572.66</v>
      </c>
      <c r="D473" s="179"/>
    </row>
    <row r="474" spans="1:7" ht="12.65" customHeight="1">
      <c r="A474" s="179" t="s">
        <v>339</v>
      </c>
      <c r="B474" s="179">
        <f t="shared" si="16"/>
        <v>1292855.5</v>
      </c>
      <c r="C474" s="179">
        <f>E202</f>
        <v>1292855.5</v>
      </c>
      <c r="D474" s="179"/>
    </row>
    <row r="475" spans="1:7" ht="12.65" customHeight="1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>
      <c r="A476" s="179" t="s">
        <v>203</v>
      </c>
      <c r="B476" s="179">
        <f>D275</f>
        <v>170758334.75</v>
      </c>
      <c r="C476" s="179">
        <f>E204</f>
        <v>170758334.75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2534312.0199999982</v>
      </c>
      <c r="C478" s="179">
        <f>E217</f>
        <v>2534312.0199999996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-10120418.010000024</v>
      </c>
    </row>
    <row r="482" spans="1:12" ht="12.65" customHeight="1">
      <c r="A482" s="180" t="s">
        <v>499</v>
      </c>
      <c r="C482" s="180">
        <f>D339</f>
        <v>-10120418.010000002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>
        <f>C83</f>
        <v>197</v>
      </c>
      <c r="B493" s="259" t="e">
        <f>RIGHT(#REF!,4)</f>
        <v>#REF!</v>
      </c>
      <c r="C493" s="259" t="str">
        <f>RIGHT(C82,4)</f>
        <v>1/21</v>
      </c>
      <c r="D493" s="259" t="e">
        <f>RIGHT(#REF!,4)</f>
        <v>#REF!</v>
      </c>
      <c r="E493" s="259" t="str">
        <f>RIGHT(C82,4)</f>
        <v>1/21</v>
      </c>
      <c r="F493" s="259" t="e">
        <f>RIGHT(#REF!,4)</f>
        <v>#REF!</v>
      </c>
      <c r="G493" s="259" t="str">
        <f>RIGHT(C82,4)</f>
        <v>1/21</v>
      </c>
      <c r="H493" s="259"/>
      <c r="K493" s="259"/>
      <c r="L493" s="259"/>
    </row>
    <row r="494" spans="1:12" ht="12.65" customHeight="1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>
      <c r="A496" s="180" t="s">
        <v>512</v>
      </c>
      <c r="B496" s="238" t="e">
        <f>#REF!</f>
        <v>#REF!</v>
      </c>
      <c r="C496" s="238">
        <f>C71</f>
        <v>7219531.4300000006</v>
      </c>
      <c r="D496" s="238" t="e">
        <f>#REF!</f>
        <v>#REF!</v>
      </c>
      <c r="E496" s="180">
        <f>C59</f>
        <v>5341</v>
      </c>
      <c r="F496" s="261" t="e">
        <f t="shared" ref="F496:G511" si="17">IF(B496=0,"",IF(D496=0,"",B496/D496))</f>
        <v>#REF!</v>
      </c>
      <c r="G496" s="262">
        <f t="shared" si="17"/>
        <v>1351.7190469949448</v>
      </c>
      <c r="H496" s="263" t="e">
        <f>IF(B496=0,"",IF(C496=0,"",IF(D496=0,"",IF(E496=0,"",IF(G496/F496-1&lt;-0.25,G496/F496-1,IF(G496/F496-1&gt;0.25,G496/F496-1,""))))))</f>
        <v>#REF!</v>
      </c>
      <c r="I496" s="265"/>
      <c r="K496" s="259"/>
      <c r="L496" s="259"/>
    </row>
    <row r="497" spans="1:12" ht="12.65" customHeight="1">
      <c r="A497" s="180" t="s">
        <v>513</v>
      </c>
      <c r="B497" s="238" t="e">
        <f>#REF!</f>
        <v>#REF!</v>
      </c>
      <c r="C497" s="238">
        <f>D71</f>
        <v>36839</v>
      </c>
      <c r="D497" s="238" t="e">
        <f>#REF!</f>
        <v>#REF!</v>
      </c>
      <c r="E497" s="180">
        <f>D59</f>
        <v>4939</v>
      </c>
      <c r="F497" s="261" t="e">
        <f t="shared" si="17"/>
        <v>#REF!</v>
      </c>
      <c r="G497" s="261">
        <f t="shared" si="17"/>
        <v>7.4587973273942092</v>
      </c>
      <c r="H497" s="263" t="e">
        <f t="shared" ref="H497:H550" si="18">IF(B497=0,"",IF(C497=0,"",IF(D497=0,"",IF(E497=0,"",IF(G497/F497-1&lt;-0.25,G497/F497-1,IF(G497/F497-1&gt;0.25,G497/F497-1,""))))))</f>
        <v>#REF!</v>
      </c>
      <c r="I497" s="265"/>
      <c r="K497" s="259"/>
      <c r="L497" s="259"/>
    </row>
    <row r="498" spans="1:12" ht="12.65" customHeight="1">
      <c r="A498" s="180" t="s">
        <v>514</v>
      </c>
      <c r="B498" s="238" t="e">
        <f>#REF!</f>
        <v>#REF!</v>
      </c>
      <c r="C498" s="238">
        <f>E71</f>
        <v>8535458.6699999999</v>
      </c>
      <c r="D498" s="238" t="e">
        <f>#REF!</f>
        <v>#REF!</v>
      </c>
      <c r="E498" s="180">
        <f>E59</f>
        <v>922</v>
      </c>
      <c r="F498" s="261" t="e">
        <f t="shared" si="17"/>
        <v>#REF!</v>
      </c>
      <c r="G498" s="261">
        <f t="shared" si="17"/>
        <v>9257.5473644251633</v>
      </c>
      <c r="H498" s="263" t="e">
        <f t="shared" si="18"/>
        <v>#REF!</v>
      </c>
      <c r="I498" s="265"/>
      <c r="K498" s="259"/>
      <c r="L498" s="259"/>
    </row>
    <row r="499" spans="1:12" ht="12.65" customHeight="1">
      <c r="A499" s="180" t="s">
        <v>515</v>
      </c>
      <c r="B499" s="238" t="e">
        <f>#REF!</f>
        <v>#REF!</v>
      </c>
      <c r="C499" s="238">
        <f>F71</f>
        <v>3079357.17</v>
      </c>
      <c r="D499" s="238" t="e">
        <f>#REF!</f>
        <v>#REF!</v>
      </c>
      <c r="E499" s="180">
        <f>F59</f>
        <v>0</v>
      </c>
      <c r="F499" s="261" t="e">
        <f t="shared" si="17"/>
        <v>#REF!</v>
      </c>
      <c r="G499" s="261" t="str">
        <f t="shared" si="17"/>
        <v/>
      </c>
      <c r="H499" s="263" t="e">
        <f t="shared" si="18"/>
        <v>#REF!</v>
      </c>
      <c r="I499" s="265"/>
      <c r="K499" s="259"/>
      <c r="L499" s="259"/>
    </row>
    <row r="500" spans="1:12" ht="12.65" customHeight="1">
      <c r="A500" s="180" t="s">
        <v>516</v>
      </c>
      <c r="B500" s="238" t="e">
        <f>#REF!</f>
        <v>#REF!</v>
      </c>
      <c r="C500" s="238">
        <f>G71</f>
        <v>557650</v>
      </c>
      <c r="D500" s="238" t="e">
        <f>#REF!</f>
        <v>#REF!</v>
      </c>
      <c r="E500" s="180">
        <f>G59</f>
        <v>0</v>
      </c>
      <c r="F500" s="261" t="e">
        <f t="shared" si="17"/>
        <v>#REF!</v>
      </c>
      <c r="G500" s="261" t="str">
        <f t="shared" si="17"/>
        <v/>
      </c>
      <c r="H500" s="263" t="e">
        <f t="shared" si="18"/>
        <v>#REF!</v>
      </c>
      <c r="I500" s="265"/>
      <c r="K500" s="259"/>
      <c r="L500" s="259"/>
    </row>
    <row r="501" spans="1:12" ht="12.65" customHeight="1">
      <c r="A501" s="180" t="s">
        <v>517</v>
      </c>
      <c r="B501" s="238" t="e">
        <f>#REF!</f>
        <v>#REF!</v>
      </c>
      <c r="C501" s="238">
        <f>H71</f>
        <v>7212</v>
      </c>
      <c r="D501" s="238" t="e">
        <f>#REF!</f>
        <v>#REF!</v>
      </c>
      <c r="E501" s="180">
        <f>H59</f>
        <v>0</v>
      </c>
      <c r="F501" s="261" t="e">
        <f t="shared" si="17"/>
        <v>#REF!</v>
      </c>
      <c r="G501" s="261" t="str">
        <f t="shared" si="17"/>
        <v/>
      </c>
      <c r="H501" s="263" t="e">
        <f t="shared" si="18"/>
        <v>#REF!</v>
      </c>
      <c r="I501" s="265"/>
      <c r="K501" s="259"/>
      <c r="L501" s="259"/>
    </row>
    <row r="502" spans="1:12" ht="12.65" customHeight="1">
      <c r="A502" s="180" t="s">
        <v>518</v>
      </c>
      <c r="B502" s="238" t="e">
        <f>#REF!</f>
        <v>#REF!</v>
      </c>
      <c r="C502" s="238">
        <f>I71</f>
        <v>77251</v>
      </c>
      <c r="D502" s="238" t="e">
        <f>#REF!</f>
        <v>#REF!</v>
      </c>
      <c r="E502" s="180">
        <f>I59</f>
        <v>0</v>
      </c>
      <c r="F502" s="261" t="e">
        <f t="shared" si="17"/>
        <v>#REF!</v>
      </c>
      <c r="G502" s="261" t="str">
        <f t="shared" si="17"/>
        <v/>
      </c>
      <c r="H502" s="263" t="e">
        <f t="shared" si="18"/>
        <v>#REF!</v>
      </c>
      <c r="I502" s="265"/>
      <c r="K502" s="259"/>
      <c r="L502" s="259"/>
    </row>
    <row r="503" spans="1:12" ht="12.65" customHeight="1">
      <c r="A503" s="180" t="s">
        <v>519</v>
      </c>
      <c r="B503" s="238" t="e">
        <f>#REF!</f>
        <v>#REF!</v>
      </c>
      <c r="C503" s="238">
        <f>J71</f>
        <v>5568</v>
      </c>
      <c r="D503" s="238" t="e">
        <f>#REF!</f>
        <v>#REF!</v>
      </c>
      <c r="E503" s="180">
        <f>J59</f>
        <v>0</v>
      </c>
      <c r="F503" s="261" t="e">
        <f t="shared" si="17"/>
        <v>#REF!</v>
      </c>
      <c r="G503" s="261" t="str">
        <f t="shared" si="17"/>
        <v/>
      </c>
      <c r="H503" s="263" t="e">
        <f t="shared" si="18"/>
        <v>#REF!</v>
      </c>
      <c r="I503" s="265"/>
      <c r="K503" s="259"/>
      <c r="L503" s="259"/>
    </row>
    <row r="504" spans="1:12" ht="12.65" customHeight="1">
      <c r="A504" s="180" t="s">
        <v>520</v>
      </c>
      <c r="B504" s="238" t="e">
        <f>#REF!</f>
        <v>#REF!</v>
      </c>
      <c r="C504" s="238">
        <f>K71</f>
        <v>7040</v>
      </c>
      <c r="D504" s="238" t="e">
        <f>#REF!</f>
        <v>#REF!</v>
      </c>
      <c r="E504" s="180">
        <f>K59</f>
        <v>0</v>
      </c>
      <c r="F504" s="261" t="e">
        <f t="shared" si="17"/>
        <v>#REF!</v>
      </c>
      <c r="G504" s="261" t="str">
        <f t="shared" si="17"/>
        <v/>
      </c>
      <c r="H504" s="263" t="e">
        <f t="shared" si="18"/>
        <v>#REF!</v>
      </c>
      <c r="I504" s="265"/>
      <c r="K504" s="259"/>
      <c r="L504" s="259"/>
    </row>
    <row r="505" spans="1:12" ht="12.65" customHeight="1">
      <c r="A505" s="180" t="s">
        <v>521</v>
      </c>
      <c r="B505" s="238" t="e">
        <f>#REF!</f>
        <v>#REF!</v>
      </c>
      <c r="C505" s="238">
        <f>L71</f>
        <v>0</v>
      </c>
      <c r="D505" s="238" t="e">
        <f>#REF!</f>
        <v>#REF!</v>
      </c>
      <c r="E505" s="180">
        <f>L59</f>
        <v>0</v>
      </c>
      <c r="F505" s="261" t="e">
        <f t="shared" si="17"/>
        <v>#REF!</v>
      </c>
      <c r="G505" s="261" t="str">
        <f t="shared" si="17"/>
        <v/>
      </c>
      <c r="H505" s="263" t="e">
        <f t="shared" si="18"/>
        <v>#REF!</v>
      </c>
      <c r="I505" s="265"/>
      <c r="K505" s="259"/>
      <c r="L505" s="259"/>
    </row>
    <row r="506" spans="1:12" ht="12.65" customHeight="1">
      <c r="A506" s="180" t="s">
        <v>522</v>
      </c>
      <c r="B506" s="238" t="e">
        <f>#REF!</f>
        <v>#REF!</v>
      </c>
      <c r="C506" s="238">
        <f>M71</f>
        <v>85217</v>
      </c>
      <c r="D506" s="238" t="e">
        <f>#REF!</f>
        <v>#REF!</v>
      </c>
      <c r="E506" s="180">
        <f>M59</f>
        <v>0</v>
      </c>
      <c r="F506" s="261" t="e">
        <f t="shared" si="17"/>
        <v>#REF!</v>
      </c>
      <c r="G506" s="261" t="str">
        <f t="shared" si="17"/>
        <v/>
      </c>
      <c r="H506" s="263" t="e">
        <f t="shared" si="18"/>
        <v>#REF!</v>
      </c>
      <c r="I506" s="265"/>
      <c r="K506" s="259"/>
      <c r="L506" s="259"/>
    </row>
    <row r="507" spans="1:12" ht="12.65" customHeight="1">
      <c r="A507" s="180" t="s">
        <v>523</v>
      </c>
      <c r="B507" s="238" t="e">
        <f>#REF!</f>
        <v>#REF!</v>
      </c>
      <c r="C507" s="238">
        <f>N71</f>
        <v>79866</v>
      </c>
      <c r="D507" s="238" t="e">
        <f>#REF!</f>
        <v>#REF!</v>
      </c>
      <c r="E507" s="180">
        <f>N59</f>
        <v>0</v>
      </c>
      <c r="F507" s="261" t="e">
        <f t="shared" si="17"/>
        <v>#REF!</v>
      </c>
      <c r="G507" s="261" t="str">
        <f t="shared" si="17"/>
        <v/>
      </c>
      <c r="H507" s="263" t="e">
        <f t="shared" si="18"/>
        <v>#REF!</v>
      </c>
      <c r="I507" s="265"/>
      <c r="K507" s="259"/>
      <c r="L507" s="259"/>
    </row>
    <row r="508" spans="1:12" ht="12.65" customHeight="1">
      <c r="A508" s="180" t="s">
        <v>524</v>
      </c>
      <c r="B508" s="238" t="e">
        <f>#REF!</f>
        <v>#REF!</v>
      </c>
      <c r="C508" s="238">
        <f>O71</f>
        <v>550455.80000000005</v>
      </c>
      <c r="D508" s="238" t="e">
        <f>#REF!</f>
        <v>#REF!</v>
      </c>
      <c r="E508" s="180">
        <f>O59</f>
        <v>0</v>
      </c>
      <c r="F508" s="261" t="e">
        <f t="shared" si="17"/>
        <v>#REF!</v>
      </c>
      <c r="G508" s="261" t="str">
        <f t="shared" si="17"/>
        <v/>
      </c>
      <c r="H508" s="263" t="e">
        <f t="shared" si="18"/>
        <v>#REF!</v>
      </c>
      <c r="I508" s="265"/>
      <c r="K508" s="259"/>
      <c r="L508" s="259"/>
    </row>
    <row r="509" spans="1:12" ht="12.65" customHeight="1">
      <c r="A509" s="180" t="s">
        <v>525</v>
      </c>
      <c r="B509" s="238" t="e">
        <f>#REF!</f>
        <v>#REF!</v>
      </c>
      <c r="C509" s="238">
        <f>P71</f>
        <v>6196056.04</v>
      </c>
      <c r="D509" s="238" t="e">
        <f>#REF!</f>
        <v>#REF!</v>
      </c>
      <c r="E509" s="180">
        <f>P59</f>
        <v>0</v>
      </c>
      <c r="F509" s="261" t="e">
        <f t="shared" si="17"/>
        <v>#REF!</v>
      </c>
      <c r="G509" s="261" t="str">
        <f t="shared" si="17"/>
        <v/>
      </c>
      <c r="H509" s="263" t="e">
        <f t="shared" si="18"/>
        <v>#REF!</v>
      </c>
      <c r="I509" s="265"/>
      <c r="K509" s="259"/>
      <c r="L509" s="259"/>
    </row>
    <row r="510" spans="1:12" ht="12.65" customHeight="1">
      <c r="A510" s="180" t="s">
        <v>526</v>
      </c>
      <c r="B510" s="238" t="e">
        <f>#REF!</f>
        <v>#REF!</v>
      </c>
      <c r="C510" s="238">
        <f>Q71</f>
        <v>1591</v>
      </c>
      <c r="D510" s="238" t="e">
        <f>#REF!</f>
        <v>#REF!</v>
      </c>
      <c r="E510" s="180">
        <f>Q59</f>
        <v>0</v>
      </c>
      <c r="F510" s="261" t="e">
        <f t="shared" si="17"/>
        <v>#REF!</v>
      </c>
      <c r="G510" s="261" t="str">
        <f t="shared" si="17"/>
        <v/>
      </c>
      <c r="H510" s="263" t="e">
        <f t="shared" si="18"/>
        <v>#REF!</v>
      </c>
      <c r="I510" s="265"/>
      <c r="K510" s="259"/>
      <c r="L510" s="259"/>
    </row>
    <row r="511" spans="1:12" ht="12.65" customHeight="1">
      <c r="A511" s="180" t="s">
        <v>527</v>
      </c>
      <c r="B511" s="238" t="e">
        <f>#REF!</f>
        <v>#REF!</v>
      </c>
      <c r="C511" s="238">
        <f>R71</f>
        <v>1905974.2499999998</v>
      </c>
      <c r="D511" s="238" t="e">
        <f>#REF!</f>
        <v>#REF!</v>
      </c>
      <c r="E511" s="180">
        <f>R59</f>
        <v>0</v>
      </c>
      <c r="F511" s="261" t="e">
        <f t="shared" si="17"/>
        <v>#REF!</v>
      </c>
      <c r="G511" s="261" t="str">
        <f t="shared" si="17"/>
        <v/>
      </c>
      <c r="H511" s="263" t="e">
        <f t="shared" si="18"/>
        <v>#REF!</v>
      </c>
      <c r="I511" s="265"/>
      <c r="K511" s="259"/>
      <c r="L511" s="259"/>
    </row>
    <row r="512" spans="1:12" ht="12.65" customHeight="1">
      <c r="A512" s="180" t="s">
        <v>528</v>
      </c>
      <c r="B512" s="238" t="e">
        <f>#REF!</f>
        <v>#REF!</v>
      </c>
      <c r="C512" s="238">
        <f>S71</f>
        <v>4494117.42</v>
      </c>
      <c r="D512" s="181" t="s">
        <v>529</v>
      </c>
      <c r="E512" s="181" t="s">
        <v>529</v>
      </c>
      <c r="F512" s="261" t="e">
        <f t="shared" ref="F512:G527" si="19">IF(B512=0,"",IF(D512=0,"",B512/D512))</f>
        <v>#REF!</v>
      </c>
      <c r="G512" s="261" t="str">
        <f t="shared" si="19"/>
        <v/>
      </c>
      <c r="H512" s="263" t="e">
        <f t="shared" si="18"/>
        <v>#REF!</v>
      </c>
      <c r="I512" s="265"/>
      <c r="K512" s="259"/>
      <c r="L512" s="259"/>
    </row>
    <row r="513" spans="1:12" ht="12.65" customHeight="1">
      <c r="A513" s="180" t="s">
        <v>1246</v>
      </c>
      <c r="B513" s="238" t="e">
        <f>#REF!</f>
        <v>#REF!</v>
      </c>
      <c r="C513" s="238">
        <f>T71</f>
        <v>0</v>
      </c>
      <c r="D513" s="181" t="s">
        <v>529</v>
      </c>
      <c r="E513" s="181" t="s">
        <v>529</v>
      </c>
      <c r="F513" s="261" t="e">
        <f t="shared" si="19"/>
        <v>#REF!</v>
      </c>
      <c r="G513" s="261" t="str">
        <f t="shared" si="19"/>
        <v/>
      </c>
      <c r="H513" s="263" t="e">
        <f t="shared" si="18"/>
        <v>#REF!</v>
      </c>
      <c r="I513" s="265"/>
      <c r="K513" s="259"/>
      <c r="L513" s="259"/>
    </row>
    <row r="514" spans="1:12" ht="12.65" customHeight="1">
      <c r="A514" s="180" t="s">
        <v>530</v>
      </c>
      <c r="B514" s="238" t="e">
        <f>#REF!</f>
        <v>#REF!</v>
      </c>
      <c r="C514" s="238">
        <f>U71</f>
        <v>3160207.9299999997</v>
      </c>
      <c r="D514" s="238" t="e">
        <f>#REF!</f>
        <v>#REF!</v>
      </c>
      <c r="E514" s="180">
        <f>U59</f>
        <v>0</v>
      </c>
      <c r="F514" s="261" t="e">
        <f t="shared" si="19"/>
        <v>#REF!</v>
      </c>
      <c r="G514" s="261" t="str">
        <f t="shared" si="19"/>
        <v/>
      </c>
      <c r="H514" s="263" t="e">
        <f t="shared" si="18"/>
        <v>#REF!</v>
      </c>
      <c r="I514" s="265"/>
      <c r="K514" s="259"/>
      <c r="L514" s="259"/>
    </row>
    <row r="515" spans="1:12" ht="12.65" customHeight="1">
      <c r="A515" s="180" t="s">
        <v>531</v>
      </c>
      <c r="B515" s="238" t="e">
        <f>#REF!</f>
        <v>#REF!</v>
      </c>
      <c r="C515" s="238">
        <f>V71</f>
        <v>0</v>
      </c>
      <c r="D515" s="238" t="e">
        <f>#REF!</f>
        <v>#REF!</v>
      </c>
      <c r="E515" s="180">
        <f>V59</f>
        <v>0</v>
      </c>
      <c r="F515" s="261" t="e">
        <f t="shared" si="19"/>
        <v>#REF!</v>
      </c>
      <c r="G515" s="261" t="str">
        <f t="shared" si="19"/>
        <v/>
      </c>
      <c r="H515" s="263" t="e">
        <f t="shared" si="18"/>
        <v>#REF!</v>
      </c>
      <c r="I515" s="265"/>
      <c r="K515" s="259"/>
      <c r="L515" s="259"/>
    </row>
    <row r="516" spans="1:12" ht="12.65" customHeight="1">
      <c r="A516" s="180" t="s">
        <v>532</v>
      </c>
      <c r="B516" s="238" t="e">
        <f>#REF!</f>
        <v>#REF!</v>
      </c>
      <c r="C516" s="238">
        <f>W71</f>
        <v>239952.74</v>
      </c>
      <c r="D516" s="238" t="e">
        <f>#REF!</f>
        <v>#REF!</v>
      </c>
      <c r="E516" s="180">
        <f>W59</f>
        <v>0</v>
      </c>
      <c r="F516" s="261" t="e">
        <f t="shared" si="19"/>
        <v>#REF!</v>
      </c>
      <c r="G516" s="261" t="str">
        <f t="shared" si="19"/>
        <v/>
      </c>
      <c r="H516" s="263" t="e">
        <f t="shared" si="18"/>
        <v>#REF!</v>
      </c>
      <c r="I516" s="265"/>
      <c r="K516" s="259"/>
      <c r="L516" s="259"/>
    </row>
    <row r="517" spans="1:12" ht="12.65" customHeight="1">
      <c r="A517" s="180" t="s">
        <v>533</v>
      </c>
      <c r="B517" s="238" t="e">
        <f>#REF!</f>
        <v>#REF!</v>
      </c>
      <c r="C517" s="238">
        <f>X71</f>
        <v>483145.92</v>
      </c>
      <c r="D517" s="238" t="e">
        <f>#REF!</f>
        <v>#REF!</v>
      </c>
      <c r="E517" s="180">
        <f>X59</f>
        <v>0</v>
      </c>
      <c r="F517" s="261" t="e">
        <f t="shared" si="19"/>
        <v>#REF!</v>
      </c>
      <c r="G517" s="261" t="str">
        <f t="shared" si="19"/>
        <v/>
      </c>
      <c r="H517" s="263" t="e">
        <f t="shared" si="18"/>
        <v>#REF!</v>
      </c>
      <c r="I517" s="265"/>
      <c r="K517" s="259"/>
      <c r="L517" s="259"/>
    </row>
    <row r="518" spans="1:12" ht="12.65" customHeight="1">
      <c r="A518" s="180" t="s">
        <v>534</v>
      </c>
      <c r="B518" s="238" t="e">
        <f>#REF!</f>
        <v>#REF!</v>
      </c>
      <c r="C518" s="238">
        <f>Y71</f>
        <v>4396342.0300000012</v>
      </c>
      <c r="D518" s="238" t="e">
        <f>#REF!</f>
        <v>#REF!</v>
      </c>
      <c r="E518" s="180">
        <f>Y59</f>
        <v>0</v>
      </c>
      <c r="F518" s="261" t="e">
        <f t="shared" si="19"/>
        <v>#REF!</v>
      </c>
      <c r="G518" s="261" t="str">
        <f t="shared" si="19"/>
        <v/>
      </c>
      <c r="H518" s="263" t="e">
        <f t="shared" si="18"/>
        <v>#REF!</v>
      </c>
      <c r="I518" s="265"/>
      <c r="K518" s="259"/>
      <c r="L518" s="259"/>
    </row>
    <row r="519" spans="1:12" ht="12.65" customHeight="1">
      <c r="A519" s="180" t="s">
        <v>535</v>
      </c>
      <c r="B519" s="238" t="e">
        <f>#REF!</f>
        <v>#REF!</v>
      </c>
      <c r="C519" s="238">
        <f>Z71</f>
        <v>1368377.9999999998</v>
      </c>
      <c r="D519" s="238" t="e">
        <f>#REF!</f>
        <v>#REF!</v>
      </c>
      <c r="E519" s="180">
        <f>Z59</f>
        <v>0</v>
      </c>
      <c r="F519" s="261" t="e">
        <f t="shared" si="19"/>
        <v>#REF!</v>
      </c>
      <c r="G519" s="261" t="str">
        <f t="shared" si="19"/>
        <v/>
      </c>
      <c r="H519" s="263" t="e">
        <f t="shared" si="18"/>
        <v>#REF!</v>
      </c>
      <c r="I519" s="265"/>
      <c r="K519" s="259"/>
      <c r="L519" s="259"/>
    </row>
    <row r="520" spans="1:12" ht="12.65" customHeight="1">
      <c r="A520" s="180" t="s">
        <v>536</v>
      </c>
      <c r="B520" s="238" t="e">
        <f>#REF!</f>
        <v>#REF!</v>
      </c>
      <c r="C520" s="238">
        <f>AA71</f>
        <v>582931.70000000007</v>
      </c>
      <c r="D520" s="238" t="e">
        <f>#REF!</f>
        <v>#REF!</v>
      </c>
      <c r="E520" s="180">
        <f>AA59</f>
        <v>0</v>
      </c>
      <c r="F520" s="261" t="e">
        <f t="shared" si="19"/>
        <v>#REF!</v>
      </c>
      <c r="G520" s="261" t="str">
        <f t="shared" si="19"/>
        <v/>
      </c>
      <c r="H520" s="263" t="e">
        <f t="shared" si="18"/>
        <v>#REF!</v>
      </c>
      <c r="I520" s="265"/>
      <c r="K520" s="259"/>
      <c r="L520" s="259"/>
    </row>
    <row r="521" spans="1:12" ht="12.65" customHeight="1">
      <c r="A521" s="180" t="s">
        <v>537</v>
      </c>
      <c r="B521" s="238" t="e">
        <f>#REF!</f>
        <v>#REF!</v>
      </c>
      <c r="C521" s="238">
        <f>AB71</f>
        <v>3112804.9600000004</v>
      </c>
      <c r="D521" s="181" t="s">
        <v>529</v>
      </c>
      <c r="E521" s="181" t="s">
        <v>529</v>
      </c>
      <c r="F521" s="261" t="e">
        <f t="shared" si="19"/>
        <v>#REF!</v>
      </c>
      <c r="G521" s="261" t="str">
        <f t="shared" si="19"/>
        <v/>
      </c>
      <c r="H521" s="263" t="e">
        <f t="shared" si="18"/>
        <v>#REF!</v>
      </c>
      <c r="I521" s="265"/>
      <c r="K521" s="259"/>
      <c r="L521" s="259"/>
    </row>
    <row r="522" spans="1:12" ht="12.65" customHeight="1">
      <c r="A522" s="180" t="s">
        <v>538</v>
      </c>
      <c r="B522" s="238" t="e">
        <f>#REF!</f>
        <v>#REF!</v>
      </c>
      <c r="C522" s="238">
        <f>AC71</f>
        <v>1306586.7900000003</v>
      </c>
      <c r="D522" s="238" t="e">
        <f>#REF!</f>
        <v>#REF!</v>
      </c>
      <c r="E522" s="180">
        <f>AC59</f>
        <v>0</v>
      </c>
      <c r="F522" s="261" t="e">
        <f t="shared" si="19"/>
        <v>#REF!</v>
      </c>
      <c r="G522" s="261" t="str">
        <f t="shared" si="19"/>
        <v/>
      </c>
      <c r="H522" s="263" t="e">
        <f t="shared" si="18"/>
        <v>#REF!</v>
      </c>
      <c r="I522" s="265"/>
      <c r="K522" s="259"/>
      <c r="L522" s="259"/>
    </row>
    <row r="523" spans="1:12" ht="12.65" customHeight="1">
      <c r="A523" s="180" t="s">
        <v>539</v>
      </c>
      <c r="B523" s="238" t="e">
        <f>#REF!</f>
        <v>#REF!</v>
      </c>
      <c r="C523" s="238">
        <f>AD71</f>
        <v>8330</v>
      </c>
      <c r="D523" s="238" t="e">
        <f>#REF!</f>
        <v>#REF!</v>
      </c>
      <c r="E523" s="180">
        <f>AD59</f>
        <v>0</v>
      </c>
      <c r="F523" s="261" t="e">
        <f t="shared" si="19"/>
        <v>#REF!</v>
      </c>
      <c r="G523" s="261" t="str">
        <f t="shared" si="19"/>
        <v/>
      </c>
      <c r="H523" s="263" t="e">
        <f t="shared" si="18"/>
        <v>#REF!</v>
      </c>
      <c r="I523" s="265"/>
      <c r="K523" s="259"/>
      <c r="L523" s="259"/>
    </row>
    <row r="524" spans="1:12" ht="12.65" customHeight="1">
      <c r="A524" s="180" t="s">
        <v>540</v>
      </c>
      <c r="B524" s="238" t="e">
        <f>#REF!</f>
        <v>#REF!</v>
      </c>
      <c r="C524" s="238">
        <f>AE71</f>
        <v>679464.29</v>
      </c>
      <c r="D524" s="238" t="e">
        <f>#REF!</f>
        <v>#REF!</v>
      </c>
      <c r="E524" s="180">
        <f>AE59</f>
        <v>0</v>
      </c>
      <c r="F524" s="261" t="e">
        <f t="shared" si="19"/>
        <v>#REF!</v>
      </c>
      <c r="G524" s="261" t="str">
        <f t="shared" si="19"/>
        <v/>
      </c>
      <c r="H524" s="263" t="e">
        <f t="shared" si="18"/>
        <v>#REF!</v>
      </c>
      <c r="I524" s="265"/>
      <c r="K524" s="259"/>
      <c r="L524" s="259"/>
    </row>
    <row r="525" spans="1:12" ht="12.65" customHeight="1">
      <c r="A525" s="180" t="s">
        <v>541</v>
      </c>
      <c r="B525" s="238" t="e">
        <f>#REF!</f>
        <v>#REF!</v>
      </c>
      <c r="C525" s="238">
        <f>AF71</f>
        <v>0</v>
      </c>
      <c r="D525" s="238" t="e">
        <f>#REF!</f>
        <v>#REF!</v>
      </c>
      <c r="E525" s="180">
        <f>AF59</f>
        <v>0</v>
      </c>
      <c r="F525" s="261" t="e">
        <f t="shared" si="19"/>
        <v>#REF!</v>
      </c>
      <c r="G525" s="261" t="str">
        <f t="shared" si="19"/>
        <v/>
      </c>
      <c r="H525" s="263" t="e">
        <f t="shared" si="18"/>
        <v>#REF!</v>
      </c>
      <c r="I525" s="265"/>
      <c r="K525" s="259"/>
      <c r="L525" s="259"/>
    </row>
    <row r="526" spans="1:12" ht="12.65" customHeight="1">
      <c r="A526" s="180" t="s">
        <v>542</v>
      </c>
      <c r="B526" s="238" t="e">
        <f>#REF!</f>
        <v>#REF!</v>
      </c>
      <c r="C526" s="238">
        <f>AG71</f>
        <v>4356881.67</v>
      </c>
      <c r="D526" s="238" t="e">
        <f>#REF!</f>
        <v>#REF!</v>
      </c>
      <c r="E526" s="180">
        <f>AG59</f>
        <v>0</v>
      </c>
      <c r="F526" s="261" t="e">
        <f t="shared" si="19"/>
        <v>#REF!</v>
      </c>
      <c r="G526" s="261" t="str">
        <f t="shared" si="19"/>
        <v/>
      </c>
      <c r="H526" s="263" t="e">
        <f t="shared" si="18"/>
        <v>#REF!</v>
      </c>
      <c r="I526" s="265"/>
      <c r="K526" s="259"/>
      <c r="L526" s="259"/>
    </row>
    <row r="527" spans="1:12" ht="12.65" customHeight="1">
      <c r="A527" s="180" t="s">
        <v>543</v>
      </c>
      <c r="B527" s="238" t="e">
        <f>#REF!</f>
        <v>#REF!</v>
      </c>
      <c r="C527" s="238">
        <f>AH71</f>
        <v>0</v>
      </c>
      <c r="D527" s="238" t="e">
        <f>#REF!</f>
        <v>#REF!</v>
      </c>
      <c r="E527" s="180">
        <f>AH59</f>
        <v>0</v>
      </c>
      <c r="F527" s="261" t="e">
        <f t="shared" si="19"/>
        <v>#REF!</v>
      </c>
      <c r="G527" s="261" t="str">
        <f t="shared" si="19"/>
        <v/>
      </c>
      <c r="H527" s="263" t="e">
        <f t="shared" si="18"/>
        <v>#REF!</v>
      </c>
      <c r="I527" s="265"/>
      <c r="K527" s="259"/>
      <c r="L527" s="259"/>
    </row>
    <row r="528" spans="1:12" ht="12.65" customHeight="1">
      <c r="A528" s="180" t="s">
        <v>544</v>
      </c>
      <c r="B528" s="238" t="e">
        <f>#REF!</f>
        <v>#REF!</v>
      </c>
      <c r="C528" s="238">
        <f>AI71</f>
        <v>1936932.7699999996</v>
      </c>
      <c r="D528" s="238" t="e">
        <f>#REF!</f>
        <v>#REF!</v>
      </c>
      <c r="E528" s="180">
        <f>AI59</f>
        <v>0</v>
      </c>
      <c r="F528" s="261" t="e">
        <f t="shared" ref="F528:G540" si="20">IF(B528=0,"",IF(D528=0,"",B528/D528))</f>
        <v>#REF!</v>
      </c>
      <c r="G528" s="261" t="str">
        <f t="shared" si="20"/>
        <v/>
      </c>
      <c r="H528" s="263" t="e">
        <f t="shared" si="18"/>
        <v>#REF!</v>
      </c>
      <c r="I528" s="265"/>
      <c r="K528" s="259"/>
      <c r="L528" s="259"/>
    </row>
    <row r="529" spans="1:12" ht="12.65" customHeight="1">
      <c r="A529" s="180" t="s">
        <v>545</v>
      </c>
      <c r="B529" s="238" t="e">
        <f>#REF!</f>
        <v>#REF!</v>
      </c>
      <c r="C529" s="238">
        <f>AJ71</f>
        <v>2984985.3400000003</v>
      </c>
      <c r="D529" s="238" t="e">
        <f>#REF!</f>
        <v>#REF!</v>
      </c>
      <c r="E529" s="180">
        <f>AJ59</f>
        <v>0</v>
      </c>
      <c r="F529" s="261" t="e">
        <f t="shared" si="20"/>
        <v>#REF!</v>
      </c>
      <c r="G529" s="261" t="str">
        <f t="shared" si="20"/>
        <v/>
      </c>
      <c r="H529" s="263" t="e">
        <f t="shared" si="18"/>
        <v>#REF!</v>
      </c>
      <c r="I529" s="265"/>
      <c r="K529" s="259"/>
      <c r="L529" s="259"/>
    </row>
    <row r="530" spans="1:12" ht="12.65" customHeight="1">
      <c r="A530" s="180" t="s">
        <v>546</v>
      </c>
      <c r="B530" s="238" t="e">
        <f>#REF!</f>
        <v>#REF!</v>
      </c>
      <c r="C530" s="238">
        <f>AK71</f>
        <v>90864.45</v>
      </c>
      <c r="D530" s="238" t="e">
        <f>#REF!</f>
        <v>#REF!</v>
      </c>
      <c r="E530" s="180">
        <f>AK59</f>
        <v>0</v>
      </c>
      <c r="F530" s="261" t="e">
        <f t="shared" si="20"/>
        <v>#REF!</v>
      </c>
      <c r="G530" s="261" t="str">
        <f t="shared" si="20"/>
        <v/>
      </c>
      <c r="H530" s="263" t="e">
        <f t="shared" si="18"/>
        <v>#REF!</v>
      </c>
      <c r="I530" s="265"/>
      <c r="K530" s="259"/>
      <c r="L530" s="259"/>
    </row>
    <row r="531" spans="1:12" ht="12.65" customHeight="1">
      <c r="A531" s="180" t="s">
        <v>547</v>
      </c>
      <c r="B531" s="238" t="e">
        <f>#REF!</f>
        <v>#REF!</v>
      </c>
      <c r="C531" s="238">
        <f>AL71</f>
        <v>50145</v>
      </c>
      <c r="D531" s="238" t="e">
        <f>#REF!</f>
        <v>#REF!</v>
      </c>
      <c r="E531" s="180">
        <f>AL59</f>
        <v>0</v>
      </c>
      <c r="F531" s="261" t="e">
        <f t="shared" si="20"/>
        <v>#REF!</v>
      </c>
      <c r="G531" s="261" t="str">
        <f t="shared" si="20"/>
        <v/>
      </c>
      <c r="H531" s="263" t="e">
        <f t="shared" si="18"/>
        <v>#REF!</v>
      </c>
      <c r="I531" s="265"/>
      <c r="K531" s="259"/>
      <c r="L531" s="259"/>
    </row>
    <row r="532" spans="1:12" ht="12.65" customHeight="1">
      <c r="A532" s="180" t="s">
        <v>548</v>
      </c>
      <c r="B532" s="238" t="e">
        <f>#REF!</f>
        <v>#REF!</v>
      </c>
      <c r="C532" s="238">
        <f>AM71</f>
        <v>20669</v>
      </c>
      <c r="D532" s="238" t="e">
        <f>#REF!</f>
        <v>#REF!</v>
      </c>
      <c r="E532" s="180">
        <f>AM59</f>
        <v>0</v>
      </c>
      <c r="F532" s="261" t="e">
        <f t="shared" si="20"/>
        <v>#REF!</v>
      </c>
      <c r="G532" s="261" t="str">
        <f t="shared" si="20"/>
        <v/>
      </c>
      <c r="H532" s="263" t="e">
        <f t="shared" si="18"/>
        <v>#REF!</v>
      </c>
      <c r="I532" s="265"/>
      <c r="K532" s="259"/>
      <c r="L532" s="259"/>
    </row>
    <row r="533" spans="1:12" ht="12.65" customHeight="1">
      <c r="A533" s="180" t="s">
        <v>1247</v>
      </c>
      <c r="B533" s="238" t="e">
        <f>#REF!</f>
        <v>#REF!</v>
      </c>
      <c r="C533" s="238">
        <f>AN71</f>
        <v>1217444</v>
      </c>
      <c r="D533" s="238" t="e">
        <f>#REF!</f>
        <v>#REF!</v>
      </c>
      <c r="E533" s="180">
        <f>AN59</f>
        <v>0</v>
      </c>
      <c r="F533" s="261" t="e">
        <f t="shared" si="20"/>
        <v>#REF!</v>
      </c>
      <c r="G533" s="261" t="str">
        <f t="shared" si="20"/>
        <v/>
      </c>
      <c r="H533" s="263" t="e">
        <f t="shared" si="18"/>
        <v>#REF!</v>
      </c>
      <c r="I533" s="265"/>
      <c r="K533" s="259"/>
      <c r="L533" s="259"/>
    </row>
    <row r="534" spans="1:12" ht="12.65" customHeight="1">
      <c r="A534" s="180" t="s">
        <v>549</v>
      </c>
      <c r="B534" s="238" t="e">
        <f>#REF!</f>
        <v>#REF!</v>
      </c>
      <c r="C534" s="238">
        <f>AO71</f>
        <v>0</v>
      </c>
      <c r="D534" s="238" t="e">
        <f>#REF!</f>
        <v>#REF!</v>
      </c>
      <c r="E534" s="180">
        <f>AO59</f>
        <v>0</v>
      </c>
      <c r="F534" s="261" t="e">
        <f t="shared" si="20"/>
        <v>#REF!</v>
      </c>
      <c r="G534" s="261" t="str">
        <f t="shared" si="20"/>
        <v/>
      </c>
      <c r="H534" s="263" t="e">
        <f t="shared" si="18"/>
        <v>#REF!</v>
      </c>
      <c r="I534" s="265"/>
      <c r="K534" s="259"/>
      <c r="L534" s="259"/>
    </row>
    <row r="535" spans="1:12" ht="12.65" customHeight="1">
      <c r="A535" s="180" t="s">
        <v>550</v>
      </c>
      <c r="B535" s="238" t="e">
        <f>#REF!</f>
        <v>#REF!</v>
      </c>
      <c r="C535" s="238">
        <f>AP71</f>
        <v>0</v>
      </c>
      <c r="D535" s="238" t="e">
        <f>#REF!</f>
        <v>#REF!</v>
      </c>
      <c r="E535" s="180">
        <f>AP59</f>
        <v>0</v>
      </c>
      <c r="F535" s="261" t="e">
        <f t="shared" si="20"/>
        <v>#REF!</v>
      </c>
      <c r="G535" s="261" t="str">
        <f t="shared" si="20"/>
        <v/>
      </c>
      <c r="H535" s="263" t="e">
        <f t="shared" si="18"/>
        <v>#REF!</v>
      </c>
      <c r="I535" s="265"/>
      <c r="K535" s="259"/>
      <c r="L535" s="259"/>
    </row>
    <row r="536" spans="1:12" ht="12.65" customHeight="1">
      <c r="A536" s="180" t="s">
        <v>551</v>
      </c>
      <c r="B536" s="238" t="e">
        <f>#REF!</f>
        <v>#REF!</v>
      </c>
      <c r="C536" s="238">
        <f>AQ71</f>
        <v>0</v>
      </c>
      <c r="D536" s="238" t="e">
        <f>#REF!</f>
        <v>#REF!</v>
      </c>
      <c r="E536" s="180">
        <f>AQ59</f>
        <v>0</v>
      </c>
      <c r="F536" s="261" t="e">
        <f t="shared" si="20"/>
        <v>#REF!</v>
      </c>
      <c r="G536" s="261" t="str">
        <f t="shared" si="20"/>
        <v/>
      </c>
      <c r="H536" s="263" t="e">
        <f t="shared" si="18"/>
        <v>#REF!</v>
      </c>
      <c r="I536" s="265"/>
      <c r="K536" s="259"/>
      <c r="L536" s="259"/>
    </row>
    <row r="537" spans="1:12" ht="12.65" customHeight="1">
      <c r="A537" s="180" t="s">
        <v>552</v>
      </c>
      <c r="B537" s="238" t="e">
        <f>#REF!</f>
        <v>#REF!</v>
      </c>
      <c r="C537" s="238">
        <f>AR71</f>
        <v>0</v>
      </c>
      <c r="D537" s="238" t="e">
        <f>#REF!</f>
        <v>#REF!</v>
      </c>
      <c r="E537" s="180">
        <f>AR59</f>
        <v>0</v>
      </c>
      <c r="F537" s="261" t="e">
        <f t="shared" si="20"/>
        <v>#REF!</v>
      </c>
      <c r="G537" s="261" t="str">
        <f t="shared" si="20"/>
        <v/>
      </c>
      <c r="H537" s="263" t="e">
        <f t="shared" si="18"/>
        <v>#REF!</v>
      </c>
      <c r="I537" s="265"/>
      <c r="K537" s="259"/>
      <c r="L537" s="259"/>
    </row>
    <row r="538" spans="1:12" ht="12.65" customHeight="1">
      <c r="A538" s="180" t="s">
        <v>553</v>
      </c>
      <c r="B538" s="238" t="e">
        <f>#REF!</f>
        <v>#REF!</v>
      </c>
      <c r="C538" s="238">
        <f>AS71</f>
        <v>0</v>
      </c>
      <c r="D538" s="238" t="e">
        <f>#REF!</f>
        <v>#REF!</v>
      </c>
      <c r="E538" s="180">
        <f>AS59</f>
        <v>0</v>
      </c>
      <c r="F538" s="261" t="e">
        <f t="shared" si="20"/>
        <v>#REF!</v>
      </c>
      <c r="G538" s="261" t="str">
        <f t="shared" si="20"/>
        <v/>
      </c>
      <c r="H538" s="263" t="e">
        <f t="shared" si="18"/>
        <v>#REF!</v>
      </c>
      <c r="I538" s="265"/>
      <c r="K538" s="259"/>
      <c r="L538" s="259"/>
    </row>
    <row r="539" spans="1:12" ht="12.65" customHeight="1">
      <c r="A539" s="180" t="s">
        <v>554</v>
      </c>
      <c r="B539" s="238" t="e">
        <f>#REF!</f>
        <v>#REF!</v>
      </c>
      <c r="C539" s="238">
        <f>AT71</f>
        <v>0</v>
      </c>
      <c r="D539" s="238" t="e">
        <f>#REF!</f>
        <v>#REF!</v>
      </c>
      <c r="E539" s="180">
        <f>AT59</f>
        <v>0</v>
      </c>
      <c r="F539" s="261" t="e">
        <f t="shared" si="20"/>
        <v>#REF!</v>
      </c>
      <c r="G539" s="261" t="str">
        <f t="shared" si="20"/>
        <v/>
      </c>
      <c r="H539" s="263" t="e">
        <f t="shared" si="18"/>
        <v>#REF!</v>
      </c>
      <c r="I539" s="265"/>
      <c r="K539" s="259"/>
      <c r="L539" s="259"/>
    </row>
    <row r="540" spans="1:12" ht="12.65" customHeight="1">
      <c r="A540" s="180" t="s">
        <v>555</v>
      </c>
      <c r="B540" s="238" t="e">
        <f>#REF!</f>
        <v>#REF!</v>
      </c>
      <c r="C540" s="238">
        <f>AU71</f>
        <v>0</v>
      </c>
      <c r="D540" s="238" t="e">
        <f>#REF!</f>
        <v>#REF!</v>
      </c>
      <c r="E540" s="180">
        <f>AU59</f>
        <v>0</v>
      </c>
      <c r="F540" s="261" t="e">
        <f t="shared" si="20"/>
        <v>#REF!</v>
      </c>
      <c r="G540" s="261" t="str">
        <f t="shared" si="20"/>
        <v/>
      </c>
      <c r="H540" s="263" t="e">
        <f t="shared" si="18"/>
        <v>#REF!</v>
      </c>
      <c r="I540" s="265"/>
      <c r="K540" s="259"/>
      <c r="L540" s="259"/>
    </row>
    <row r="541" spans="1:12" ht="12.65" customHeight="1">
      <c r="A541" s="180" t="s">
        <v>556</v>
      </c>
      <c r="B541" s="238" t="e">
        <f>#REF!</f>
        <v>#REF!</v>
      </c>
      <c r="C541" s="238">
        <f>AV71</f>
        <v>2137237.44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>
      <c r="A542" s="180" t="s">
        <v>1248</v>
      </c>
      <c r="B542" s="238" t="e">
        <f>#REF!</f>
        <v>#REF!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>
      <c r="A543" s="180" t="s">
        <v>557</v>
      </c>
      <c r="B543" s="238" t="e">
        <f>#REF!</f>
        <v>#REF!</v>
      </c>
      <c r="C543" s="238">
        <f>AX71</f>
        <v>75809.070000000007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>
      <c r="A544" s="180" t="s">
        <v>558</v>
      </c>
      <c r="B544" s="238" t="e">
        <f>#REF!</f>
        <v>#REF!</v>
      </c>
      <c r="C544" s="238">
        <f>AY71</f>
        <v>1241268.24</v>
      </c>
      <c r="D544" s="238" t="e">
        <f>#REF!</f>
        <v>#REF!</v>
      </c>
      <c r="E544" s="180">
        <f>AY59</f>
        <v>42236</v>
      </c>
      <c r="F544" s="261" t="e">
        <f t="shared" ref="F544:G550" si="21">IF(B544=0,"",IF(D544=0,"",B544/D544))</f>
        <v>#REF!</v>
      </c>
      <c r="G544" s="261">
        <f t="shared" si="21"/>
        <v>29.388868264040156</v>
      </c>
      <c r="H544" s="263" t="e">
        <f t="shared" si="18"/>
        <v>#REF!</v>
      </c>
      <c r="I544" s="265"/>
      <c r="K544" s="259"/>
      <c r="L544" s="259"/>
    </row>
    <row r="545" spans="1:13" ht="12.65" customHeight="1">
      <c r="A545" s="180" t="s">
        <v>559</v>
      </c>
      <c r="B545" s="238" t="e">
        <f>#REF!</f>
        <v>#REF!</v>
      </c>
      <c r="C545" s="238">
        <f>AZ71</f>
        <v>0</v>
      </c>
      <c r="D545" s="238" t="e">
        <f>#REF!</f>
        <v>#REF!</v>
      </c>
      <c r="E545" s="180">
        <f>AZ59</f>
        <v>0</v>
      </c>
      <c r="F545" s="261" t="e">
        <f t="shared" si="21"/>
        <v>#REF!</v>
      </c>
      <c r="G545" s="261" t="str">
        <f t="shared" si="21"/>
        <v/>
      </c>
      <c r="H545" s="263" t="e">
        <f t="shared" si="18"/>
        <v>#REF!</v>
      </c>
      <c r="I545" s="265"/>
      <c r="K545" s="259"/>
      <c r="L545" s="259"/>
    </row>
    <row r="546" spans="1:13" ht="12.65" customHeight="1">
      <c r="A546" s="180" t="s">
        <v>560</v>
      </c>
      <c r="B546" s="238" t="e">
        <f>#REF!</f>
        <v>#REF!</v>
      </c>
      <c r="C546" s="238">
        <f>BA71</f>
        <v>306209.12</v>
      </c>
      <c r="D546" s="238" t="e">
        <f>#REF!</f>
        <v>#REF!</v>
      </c>
      <c r="E546" s="180">
        <f>BA59</f>
        <v>0</v>
      </c>
      <c r="F546" s="261" t="e">
        <f t="shared" si="21"/>
        <v>#REF!</v>
      </c>
      <c r="G546" s="261" t="str">
        <f t="shared" si="21"/>
        <v/>
      </c>
      <c r="H546" s="263" t="e">
        <f t="shared" si="18"/>
        <v>#REF!</v>
      </c>
      <c r="I546" s="265"/>
      <c r="K546" s="259"/>
      <c r="L546" s="259"/>
    </row>
    <row r="547" spans="1:13" ht="12.65" customHeight="1">
      <c r="A547" s="180" t="s">
        <v>561</v>
      </c>
      <c r="B547" s="238" t="e">
        <f>#REF!</f>
        <v>#REF!</v>
      </c>
      <c r="C547" s="238">
        <f>BB71</f>
        <v>0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>
      <c r="A548" s="180" t="s">
        <v>562</v>
      </c>
      <c r="B548" s="238" t="e">
        <f>#REF!</f>
        <v>#REF!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>
      <c r="A549" s="180" t="s">
        <v>563</v>
      </c>
      <c r="B549" s="238" t="e">
        <f>#REF!</f>
        <v>#REF!</v>
      </c>
      <c r="C549" s="238">
        <f>BD71</f>
        <v>3074221.18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>
      <c r="A550" s="180" t="s">
        <v>564</v>
      </c>
      <c r="B550" s="238" t="e">
        <f>#REF!</f>
        <v>#REF!</v>
      </c>
      <c r="C550" s="238">
        <f>BE71</f>
        <v>2492778.7599999998</v>
      </c>
      <c r="D550" s="238" t="e">
        <f>#REF!</f>
        <v>#REF!</v>
      </c>
      <c r="E550" s="180">
        <f>BE59</f>
        <v>1</v>
      </c>
      <c r="F550" s="261" t="e">
        <f t="shared" si="21"/>
        <v>#REF!</v>
      </c>
      <c r="G550" s="261">
        <f t="shared" si="21"/>
        <v>2492778.7599999998</v>
      </c>
      <c r="H550" s="263" t="e">
        <f t="shared" si="18"/>
        <v>#REF!</v>
      </c>
      <c r="I550" s="265"/>
      <c r="K550" s="259"/>
      <c r="L550" s="259"/>
    </row>
    <row r="551" spans="1:13" ht="12.65" customHeight="1">
      <c r="A551" s="180" t="s">
        <v>565</v>
      </c>
      <c r="B551" s="238" t="e">
        <f>#REF!</f>
        <v>#REF!</v>
      </c>
      <c r="C551" s="238">
        <f>BF71</f>
        <v>962139.79000000015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5" customHeight="1">
      <c r="A552" s="180" t="s">
        <v>566</v>
      </c>
      <c r="B552" s="238" t="e">
        <f>#REF!</f>
        <v>#REF!</v>
      </c>
      <c r="C552" s="238">
        <f>BG71</f>
        <v>188015.27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>
      <c r="A553" s="180" t="s">
        <v>567</v>
      </c>
      <c r="B553" s="238" t="e">
        <f>#REF!</f>
        <v>#REF!</v>
      </c>
      <c r="C553" s="238">
        <f>BH71</f>
        <v>0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>
      <c r="A554" s="180" t="s">
        <v>568</v>
      </c>
      <c r="B554" s="238" t="e">
        <f>#REF!</f>
        <v>#REF!</v>
      </c>
      <c r="C554" s="238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>
      <c r="A555" s="180" t="s">
        <v>569</v>
      </c>
      <c r="B555" s="238" t="e">
        <f>#REF!</f>
        <v>#REF!</v>
      </c>
      <c r="C555" s="238">
        <f>BJ71</f>
        <v>525880.77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>
      <c r="A556" s="180" t="s">
        <v>570</v>
      </c>
      <c r="B556" s="238" t="e">
        <f>#REF!</f>
        <v>#REF!</v>
      </c>
      <c r="C556" s="238">
        <f>BK71</f>
        <v>1815940.6600000001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>
      <c r="A557" s="180" t="s">
        <v>571</v>
      </c>
      <c r="B557" s="238" t="e">
        <f>#REF!</f>
        <v>#REF!</v>
      </c>
      <c r="C557" s="238">
        <f>BL71</f>
        <v>156499.21999999997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>
      <c r="A558" s="180" t="s">
        <v>572</v>
      </c>
      <c r="B558" s="238" t="e">
        <f>#REF!</f>
        <v>#REF!</v>
      </c>
      <c r="C558" s="238">
        <f>BM71</f>
        <v>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>
      <c r="A559" s="180" t="s">
        <v>573</v>
      </c>
      <c r="B559" s="238" t="e">
        <f>#REF!</f>
        <v>#REF!</v>
      </c>
      <c r="C559" s="238">
        <f>BN71</f>
        <v>587622.5700000003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>
      <c r="A560" s="180" t="s">
        <v>574</v>
      </c>
      <c r="B560" s="238" t="e">
        <f>#REF!</f>
        <v>#REF!</v>
      </c>
      <c r="C560" s="238">
        <f>BO71</f>
        <v>0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>
      <c r="A561" s="180" t="s">
        <v>575</v>
      </c>
      <c r="B561" s="238" t="e">
        <f>#REF!</f>
        <v>#REF!</v>
      </c>
      <c r="C561" s="238">
        <f>BP71</f>
        <v>0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>
      <c r="A562" s="180" t="s">
        <v>576</v>
      </c>
      <c r="B562" s="238" t="e">
        <f>#REF!</f>
        <v>#REF!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>
      <c r="A563" s="180" t="s">
        <v>577</v>
      </c>
      <c r="B563" s="238" t="e">
        <f>#REF!</f>
        <v>#REF!</v>
      </c>
      <c r="C563" s="238">
        <f>BR71</f>
        <v>0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>
      <c r="A564" s="180" t="s">
        <v>1249</v>
      </c>
      <c r="B564" s="238" t="e">
        <f>#REF!</f>
        <v>#REF!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>
      <c r="A565" s="180" t="s">
        <v>578</v>
      </c>
      <c r="B565" s="238" t="e">
        <f>#REF!</f>
        <v>#REF!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>
      <c r="A566" s="180" t="s">
        <v>579</v>
      </c>
      <c r="B566" s="238" t="e">
        <f>#REF!</f>
        <v>#REF!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>
      <c r="A567" s="180" t="s">
        <v>580</v>
      </c>
      <c r="B567" s="238" t="e">
        <f>#REF!</f>
        <v>#REF!</v>
      </c>
      <c r="C567" s="238">
        <f>BV71</f>
        <v>0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>
      <c r="A568" s="180" t="s">
        <v>581</v>
      </c>
      <c r="B568" s="238" t="e">
        <f>#REF!</f>
        <v>#REF!</v>
      </c>
      <c r="C568" s="238">
        <f>BW71</f>
        <v>152162.09999999998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>
      <c r="A569" s="180" t="s">
        <v>582</v>
      </c>
      <c r="B569" s="238" t="e">
        <f>#REF!</f>
        <v>#REF!</v>
      </c>
      <c r="C569" s="238">
        <f>BX71</f>
        <v>766647.73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>
      <c r="A570" s="180" t="s">
        <v>583</v>
      </c>
      <c r="B570" s="238" t="e">
        <f>#REF!</f>
        <v>#REF!</v>
      </c>
      <c r="C570" s="238">
        <f>BY71</f>
        <v>879135.92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>
      <c r="A571" s="180" t="s">
        <v>584</v>
      </c>
      <c r="B571" s="238" t="e">
        <f>#REF!</f>
        <v>#REF!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>
      <c r="A572" s="180" t="s">
        <v>585</v>
      </c>
      <c r="B572" s="238" t="e">
        <f>#REF!</f>
        <v>#REF!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>
      <c r="A573" s="180" t="s">
        <v>586</v>
      </c>
      <c r="B573" s="238" t="e">
        <f>#REF!</f>
        <v>#REF!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>
      <c r="A574" s="180" t="s">
        <v>587</v>
      </c>
      <c r="B574" s="238" t="e">
        <f>#REF!</f>
        <v>#REF!</v>
      </c>
      <c r="C574" s="238">
        <f>CC71</f>
        <v>14276087.359999999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5" customHeight="1">
      <c r="A575" s="180" t="s">
        <v>588</v>
      </c>
      <c r="B575" s="238" t="e">
        <f>#REF!</f>
        <v>#REF!</v>
      </c>
      <c r="C575" s="238">
        <f>CD71</f>
        <v>2179098.98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>
      <c r="M576" s="263"/>
    </row>
    <row r="577" spans="13:13" ht="12.65" customHeight="1">
      <c r="M577" s="263"/>
    </row>
    <row r="578" spans="13:13" ht="12.65" customHeight="1">
      <c r="M578" s="263"/>
    </row>
    <row r="612" spans="1:14" ht="12.65" customHeight="1">
      <c r="A612" s="196"/>
      <c r="C612" s="181" t="s">
        <v>589</v>
      </c>
      <c r="D612" s="180">
        <f>CE76-(BE76+CD76)</f>
        <v>0</v>
      </c>
      <c r="E612" s="180" t="e">
        <f>SUM(C624:D647)+SUM(C668:D713)</f>
        <v>#DIV/0!</v>
      </c>
      <c r="F612" s="180">
        <f>CE64-(AX64+BD64+BE64+BG64+BJ64+BN64+BP64+BQ64+CB64+CC64+CD64)</f>
        <v>14564116.499999998</v>
      </c>
      <c r="G612" s="180">
        <f>CE77-(AX77+AY77+BD77+BE77+BG77+BJ77+BN77+BP77+BQ77+CB77+CC77+CD77)</f>
        <v>42236</v>
      </c>
      <c r="H612" s="197">
        <f>CE60-(AX60+AY60+AZ60+BD60+BE60+BG60+BJ60+BN60+BO60+BP60+BQ60+BR60+CB60+CC60+CD60)</f>
        <v>287.31075680995752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490191</v>
      </c>
      <c r="K612" s="180">
        <f>CE75-(AW75+AX75+AY75+AZ75+BA75+BB75+BC75+BD75+BE75+BF75+BG75+BH75+BI75+BJ75+BK75+BL75+BM75+BN75+BO75+BP75+BQ75+BR75+BS75+BT75+BU75+BV75+BW75+BX75+CB75+CC75+CD75)</f>
        <v>458333585.80000007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2492778.7599999998</v>
      </c>
      <c r="N614" s="199" t="s">
        <v>600</v>
      </c>
    </row>
    <row r="615" spans="1:14" ht="12.65" customHeight="1">
      <c r="A615" s="196"/>
      <c r="B615" s="198" t="s">
        <v>601</v>
      </c>
      <c r="C615" s="270">
        <f>CD69-CD70</f>
        <v>2179098.98</v>
      </c>
      <c r="D615" s="264">
        <f>SUM(C614:C615)</f>
        <v>4671877.74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75809.070000000007</v>
      </c>
      <c r="D616" s="180" t="e">
        <f>(D615/D612)*AX76</f>
        <v>#DIV/0!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525880.77</v>
      </c>
      <c r="D617" s="180" t="e">
        <f>(D615/D612)*BJ76</f>
        <v>#DIV/0!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188015.27</v>
      </c>
      <c r="D618" s="180" t="e">
        <f>(D615/D612)*BG76</f>
        <v>#DIV/0!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587622.5700000003</v>
      </c>
      <c r="D619" s="180" t="e">
        <f>(D615/D612)*BN76</f>
        <v>#DIV/0!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14276087.359999999</v>
      </c>
      <c r="D620" s="180" t="e">
        <f>(D615/D612)*CC76</f>
        <v>#DIV/0!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0</v>
      </c>
      <c r="D621" s="180" t="e">
        <f>(D615/D612)*BP76</f>
        <v>#DIV/0!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 t="e">
        <f>(D615/D612)*CB76</f>
        <v>#DIV/0!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 t="e">
        <f>(D615/D612)*BQ76</f>
        <v>#DIV/0!</v>
      </c>
      <c r="E623" s="180" t="e">
        <f>SUM(C616:D623)</f>
        <v>#DIV/0!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3074221.18</v>
      </c>
      <c r="D624" s="180" t="e">
        <f>(D615/D612)*BD76</f>
        <v>#DIV/0!</v>
      </c>
      <c r="E624" s="180" t="e">
        <f>(E623/E612)*SUM(C624:D624)</f>
        <v>#DIV/0!</v>
      </c>
      <c r="F624" s="180" t="e">
        <f>SUM(C624:E624)</f>
        <v>#DIV/0!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1241268.24</v>
      </c>
      <c r="D625" s="180" t="e">
        <f>(D615/D612)*AY76</f>
        <v>#DIV/0!</v>
      </c>
      <c r="E625" s="180" t="e">
        <f>(E623/E612)*SUM(C625:D625)</f>
        <v>#DIV/0!</v>
      </c>
      <c r="F625" s="180" t="e">
        <f>(F624/F612)*AY64</f>
        <v>#DIV/0!</v>
      </c>
      <c r="G625" s="180" t="e">
        <f>SUM(C625:F625)</f>
        <v>#DIV/0!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0</v>
      </c>
      <c r="D626" s="180" t="e">
        <f>(D615/D612)*BR76</f>
        <v>#DIV/0!</v>
      </c>
      <c r="E626" s="180" t="e">
        <f>(E623/E612)*SUM(C626:D626)</f>
        <v>#DIV/0!</v>
      </c>
      <c r="F626" s="180" t="e">
        <f>(F624/F612)*BR64</f>
        <v>#DIV/0!</v>
      </c>
      <c r="G626" s="180" t="e">
        <f>(G625/G612)*BR77</f>
        <v>#DIV/0!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 t="e">
        <f>(D615/D612)*BO76</f>
        <v>#DIV/0!</v>
      </c>
      <c r="E627" s="180" t="e">
        <f>(E623/E612)*SUM(C627:D627)</f>
        <v>#DIV/0!</v>
      </c>
      <c r="F627" s="180" t="e">
        <f>(F624/F612)*BO64</f>
        <v>#DIV/0!</v>
      </c>
      <c r="G627" s="180" t="e">
        <f>(G625/G612)*BO77</f>
        <v>#DIV/0!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 t="e">
        <f>(D615/D612)*AZ76</f>
        <v>#DIV/0!</v>
      </c>
      <c r="E628" s="180" t="e">
        <f>(E623/E612)*SUM(C628:D628)</f>
        <v>#DIV/0!</v>
      </c>
      <c r="F628" s="180" t="e">
        <f>(F624/F612)*AZ64</f>
        <v>#DIV/0!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962139.79000000015</v>
      </c>
      <c r="D629" s="180" t="e">
        <f>(D615/D612)*BF76</f>
        <v>#DIV/0!</v>
      </c>
      <c r="E629" s="180" t="e">
        <f>(E623/E612)*SUM(C629:D629)</f>
        <v>#DIV/0!</v>
      </c>
      <c r="F629" s="180" t="e">
        <f>(F624/F612)*BF64</f>
        <v>#DIV/0!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306209.12</v>
      </c>
      <c r="D630" s="180" t="e">
        <f>(D615/D612)*BA76</f>
        <v>#DIV/0!</v>
      </c>
      <c r="E630" s="180" t="e">
        <f>(E623/E612)*SUM(C630:D630)</f>
        <v>#DIV/0!</v>
      </c>
      <c r="F630" s="180" t="e">
        <f>(F624/F612)*BA64</f>
        <v>#DIV/0!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0</v>
      </c>
      <c r="D631" s="180" t="e">
        <f>(D615/D612)*AW76</f>
        <v>#DIV/0!</v>
      </c>
      <c r="E631" s="180" t="e">
        <f>(E623/E612)*SUM(C631:D631)</f>
        <v>#DIV/0!</v>
      </c>
      <c r="F631" s="180" t="e">
        <f>(F624/F612)*AW64</f>
        <v>#DIV/0!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0</v>
      </c>
      <c r="D632" s="180" t="e">
        <f>(D615/D612)*BB76</f>
        <v>#DIV/0!</v>
      </c>
      <c r="E632" s="180" t="e">
        <f>(E623/E612)*SUM(C632:D632)</f>
        <v>#DIV/0!</v>
      </c>
      <c r="F632" s="180" t="e">
        <f>(F624/F612)*BB64</f>
        <v>#DIV/0!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 t="e">
        <f>(D615/D612)*BC76</f>
        <v>#DIV/0!</v>
      </c>
      <c r="E633" s="180" t="e">
        <f>(E623/E612)*SUM(C633:D633)</f>
        <v>#DIV/0!</v>
      </c>
      <c r="F633" s="180" t="e">
        <f>(F624/F612)*BC64</f>
        <v>#DIV/0!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 t="e">
        <f>(D615/D612)*BI76</f>
        <v>#DIV/0!</v>
      </c>
      <c r="E634" s="180" t="e">
        <f>(E623/E612)*SUM(C634:D634)</f>
        <v>#DIV/0!</v>
      </c>
      <c r="F634" s="180" t="e">
        <f>(F624/F612)*BI64</f>
        <v>#DIV/0!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1815940.6600000001</v>
      </c>
      <c r="D635" s="180" t="e">
        <f>(D615/D612)*BK76</f>
        <v>#DIV/0!</v>
      </c>
      <c r="E635" s="180" t="e">
        <f>(E623/E612)*SUM(C635:D635)</f>
        <v>#DIV/0!</v>
      </c>
      <c r="F635" s="180" t="e">
        <f>(F624/F612)*BK64</f>
        <v>#DIV/0!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0</v>
      </c>
      <c r="D636" s="180" t="e">
        <f>(D615/D612)*BH76</f>
        <v>#DIV/0!</v>
      </c>
      <c r="E636" s="180" t="e">
        <f>(E623/E612)*SUM(C636:D636)</f>
        <v>#DIV/0!</v>
      </c>
      <c r="F636" s="180" t="e">
        <f>(F624/F612)*BH64</f>
        <v>#DIV/0!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156499.21999999997</v>
      </c>
      <c r="D637" s="180" t="e">
        <f>(D615/D612)*BL76</f>
        <v>#DIV/0!</v>
      </c>
      <c r="E637" s="180" t="e">
        <f>(E623/E612)*SUM(C637:D637)</f>
        <v>#DIV/0!</v>
      </c>
      <c r="F637" s="180" t="e">
        <f>(F624/F612)*BL64</f>
        <v>#DIV/0!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0</v>
      </c>
      <c r="D638" s="180" t="e">
        <f>(D615/D612)*BM76</f>
        <v>#DIV/0!</v>
      </c>
      <c r="E638" s="180" t="e">
        <f>(E623/E612)*SUM(C638:D638)</f>
        <v>#DIV/0!</v>
      </c>
      <c r="F638" s="180" t="e">
        <f>(F624/F612)*BM64</f>
        <v>#DIV/0!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 t="e">
        <f>(D615/D612)*BS76</f>
        <v>#DIV/0!</v>
      </c>
      <c r="E639" s="180" t="e">
        <f>(E623/E612)*SUM(C639:D639)</f>
        <v>#DIV/0!</v>
      </c>
      <c r="F639" s="180" t="e">
        <f>(F624/F612)*BS64</f>
        <v>#DIV/0!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 t="e">
        <f>(D615/D612)*BT76</f>
        <v>#DIV/0!</v>
      </c>
      <c r="E640" s="180" t="e">
        <f>(E623/E612)*SUM(C640:D640)</f>
        <v>#DIV/0!</v>
      </c>
      <c r="F640" s="180" t="e">
        <f>(F624/F612)*BT64</f>
        <v>#DIV/0!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 t="e">
        <f>(D615/D612)*BU76</f>
        <v>#DIV/0!</v>
      </c>
      <c r="E641" s="180" t="e">
        <f>(E623/E612)*SUM(C641:D641)</f>
        <v>#DIV/0!</v>
      </c>
      <c r="F641" s="180" t="e">
        <f>(F624/F612)*BU64</f>
        <v>#DIV/0!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0</v>
      </c>
      <c r="D642" s="180" t="e">
        <f>(D615/D612)*BV76</f>
        <v>#DIV/0!</v>
      </c>
      <c r="E642" s="180" t="e">
        <f>(E623/E612)*SUM(C642:D642)</f>
        <v>#DIV/0!</v>
      </c>
      <c r="F642" s="180" t="e">
        <f>(F624/F612)*BV64</f>
        <v>#DIV/0!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152162.09999999998</v>
      </c>
      <c r="D643" s="180" t="e">
        <f>(D615/D612)*BW76</f>
        <v>#DIV/0!</v>
      </c>
      <c r="E643" s="180" t="e">
        <f>(E623/E612)*SUM(C643:D643)</f>
        <v>#DIV/0!</v>
      </c>
      <c r="F643" s="180" t="e">
        <f>(F624/F612)*BW64</f>
        <v>#DIV/0!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766647.73</v>
      </c>
      <c r="D644" s="180" t="e">
        <f>(D615/D612)*BX76</f>
        <v>#DIV/0!</v>
      </c>
      <c r="E644" s="180" t="e">
        <f>(E623/E612)*SUM(C644:D644)</f>
        <v>#DIV/0!</v>
      </c>
      <c r="F644" s="180" t="e">
        <f>(F624/F612)*BX64</f>
        <v>#DIV/0!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879135.92</v>
      </c>
      <c r="D645" s="180" t="e">
        <f>(D615/D612)*BY76</f>
        <v>#DIV/0!</v>
      </c>
      <c r="E645" s="180" t="e">
        <f>(E623/E612)*SUM(C645:D645)</f>
        <v>#DIV/0!</v>
      </c>
      <c r="F645" s="180" t="e">
        <f>(F624/F612)*BY64</f>
        <v>#DIV/0!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 t="e">
        <f>(D615/D612)*BZ76</f>
        <v>#DIV/0!</v>
      </c>
      <c r="E646" s="180" t="e">
        <f>(E623/E612)*SUM(C646:D646)</f>
        <v>#DIV/0!</v>
      </c>
      <c r="F646" s="180" t="e">
        <f>(F624/F612)*BZ64</f>
        <v>#DIV/0!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0</v>
      </c>
      <c r="D647" s="180" t="e">
        <f>(D615/D612)*CA76</f>
        <v>#DIV/0!</v>
      </c>
      <c r="E647" s="180" t="e">
        <f>(E623/E612)*SUM(C647:D647)</f>
        <v>#DIV/0!</v>
      </c>
      <c r="F647" s="180" t="e">
        <f>(F624/F612)*CA64</f>
        <v>#DIV/0!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>
      <c r="A648" s="196"/>
      <c r="B648" s="196"/>
      <c r="C648" s="180">
        <f>SUM(C614:C647)</f>
        <v>29679516.740000002</v>
      </c>
      <c r="L648" s="264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7219531.4300000006</v>
      </c>
      <c r="D668" s="180" t="e">
        <f>(D615/D612)*C76</f>
        <v>#DIV/0!</v>
      </c>
      <c r="E668" s="180" t="e">
        <f>(E623/E612)*SUM(C668:D668)</f>
        <v>#DIV/0!</v>
      </c>
      <c r="F668" s="180" t="e">
        <f>(F624/F612)*C64</f>
        <v>#DIV/0!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2">ROUND(SUM(D668:L668),0)</f>
        <v>#DIV/0!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36839</v>
      </c>
      <c r="D669" s="180" t="e">
        <f>(D615/D612)*D76</f>
        <v>#DIV/0!</v>
      </c>
      <c r="E669" s="180" t="e">
        <f>(E623/E612)*SUM(C669:D669)</f>
        <v>#DIV/0!</v>
      </c>
      <c r="F669" s="180" t="e">
        <f>(F624/F612)*D64</f>
        <v>#DIV/0!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2"/>
        <v>#DIV/0!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8535458.6699999999</v>
      </c>
      <c r="D670" s="180" t="e">
        <f>(D615/D612)*E76</f>
        <v>#DIV/0!</v>
      </c>
      <c r="E670" s="180" t="e">
        <f>(E623/E612)*SUM(C670:D670)</f>
        <v>#DIV/0!</v>
      </c>
      <c r="F670" s="180" t="e">
        <f>(F624/F612)*E64</f>
        <v>#DIV/0!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2"/>
        <v>#DIV/0!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3079357.17</v>
      </c>
      <c r="D671" s="180" t="e">
        <f>(D615/D612)*F76</f>
        <v>#DIV/0!</v>
      </c>
      <c r="E671" s="180" t="e">
        <f>(E623/E612)*SUM(C671:D671)</f>
        <v>#DIV/0!</v>
      </c>
      <c r="F671" s="180" t="e">
        <f>(F624/F612)*F64</f>
        <v>#DIV/0!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2"/>
        <v>#DIV/0!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557650</v>
      </c>
      <c r="D672" s="180" t="e">
        <f>(D615/D612)*G76</f>
        <v>#DIV/0!</v>
      </c>
      <c r="E672" s="180" t="e">
        <f>(E623/E612)*SUM(C672:D672)</f>
        <v>#DIV/0!</v>
      </c>
      <c r="F672" s="180" t="e">
        <f>(F624/F612)*G64</f>
        <v>#DIV/0!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2"/>
        <v>#DIV/0!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7212</v>
      </c>
      <c r="D673" s="180" t="e">
        <f>(D615/D612)*H76</f>
        <v>#DIV/0!</v>
      </c>
      <c r="E673" s="180" t="e">
        <f>(E623/E612)*SUM(C673:D673)</f>
        <v>#DIV/0!</v>
      </c>
      <c r="F673" s="180" t="e">
        <f>(F624/F612)*H64</f>
        <v>#DIV/0!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2"/>
        <v>#DIV/0!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77251</v>
      </c>
      <c r="D674" s="180" t="e">
        <f>(D615/D612)*I76</f>
        <v>#DIV/0!</v>
      </c>
      <c r="E674" s="180" t="e">
        <f>(E623/E612)*SUM(C674:D674)</f>
        <v>#DIV/0!</v>
      </c>
      <c r="F674" s="180" t="e">
        <f>(F624/F612)*I64</f>
        <v>#DIV/0!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2"/>
        <v>#DIV/0!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5568</v>
      </c>
      <c r="D675" s="180" t="e">
        <f>(D615/D612)*J76</f>
        <v>#DIV/0!</v>
      </c>
      <c r="E675" s="180" t="e">
        <f>(E623/E612)*SUM(C675:D675)</f>
        <v>#DIV/0!</v>
      </c>
      <c r="F675" s="180" t="e">
        <f>(F624/F612)*J64</f>
        <v>#DIV/0!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2"/>
        <v>#DIV/0!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7040</v>
      </c>
      <c r="D676" s="180" t="e">
        <f>(D615/D612)*K76</f>
        <v>#DIV/0!</v>
      </c>
      <c r="E676" s="180" t="e">
        <f>(E623/E612)*SUM(C676:D676)</f>
        <v>#DIV/0!</v>
      </c>
      <c r="F676" s="180" t="e">
        <f>(F624/F612)*K64</f>
        <v>#DIV/0!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2"/>
        <v>#DIV/0!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 t="e">
        <f>(D615/D612)*L76</f>
        <v>#DIV/0!</v>
      </c>
      <c r="E677" s="180" t="e">
        <f>(E623/E612)*SUM(C677:D677)</f>
        <v>#DIV/0!</v>
      </c>
      <c r="F677" s="180" t="e">
        <f>(F624/F612)*L64</f>
        <v>#DIV/0!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2"/>
        <v>#DIV/0!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85217</v>
      </c>
      <c r="D678" s="180" t="e">
        <f>(D615/D612)*M76</f>
        <v>#DIV/0!</v>
      </c>
      <c r="E678" s="180" t="e">
        <f>(E623/E612)*SUM(C678:D678)</f>
        <v>#DIV/0!</v>
      </c>
      <c r="F678" s="180" t="e">
        <f>(F624/F612)*M64</f>
        <v>#DIV/0!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2"/>
        <v>#DIV/0!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79866</v>
      </c>
      <c r="D679" s="180" t="e">
        <f>(D615/D612)*N76</f>
        <v>#DIV/0!</v>
      </c>
      <c r="E679" s="180" t="e">
        <f>(E623/E612)*SUM(C679:D679)</f>
        <v>#DIV/0!</v>
      </c>
      <c r="F679" s="180" t="e">
        <f>(F624/F612)*N64</f>
        <v>#DIV/0!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2"/>
        <v>#DIV/0!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550455.80000000005</v>
      </c>
      <c r="D680" s="180" t="e">
        <f>(D615/D612)*O76</f>
        <v>#DIV/0!</v>
      </c>
      <c r="E680" s="180" t="e">
        <f>(E623/E612)*SUM(C680:D680)</f>
        <v>#DIV/0!</v>
      </c>
      <c r="F680" s="180" t="e">
        <f>(F624/F612)*O64</f>
        <v>#DIV/0!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2"/>
        <v>#DIV/0!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6196056.04</v>
      </c>
      <c r="D681" s="180" t="e">
        <f>(D615/D612)*P76</f>
        <v>#DIV/0!</v>
      </c>
      <c r="E681" s="180" t="e">
        <f>(E623/E612)*SUM(C681:D681)</f>
        <v>#DIV/0!</v>
      </c>
      <c r="F681" s="180" t="e">
        <f>(F624/F612)*P64</f>
        <v>#DIV/0!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(J630/J612)*#REF!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2"/>
        <v>#DIV/0!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1591</v>
      </c>
      <c r="D682" s="180" t="e">
        <f>(D615/D612)*Q76</f>
        <v>#DIV/0!</v>
      </c>
      <c r="E682" s="180" t="e">
        <f>(E623/E612)*SUM(C682:D682)</f>
        <v>#DIV/0!</v>
      </c>
      <c r="F682" s="180" t="e">
        <f>(F624/F612)*Q64</f>
        <v>#DIV/0!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2"/>
        <v>#DIV/0!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1905974.2499999998</v>
      </c>
      <c r="D683" s="180" t="e">
        <f>(D615/D612)*R76</f>
        <v>#DIV/0!</v>
      </c>
      <c r="E683" s="180" t="e">
        <f>(E623/E612)*SUM(C683:D683)</f>
        <v>#DIV/0!</v>
      </c>
      <c r="F683" s="180" t="e">
        <f>(F624/F612)*R64</f>
        <v>#DIV/0!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2"/>
        <v>#DIV/0!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4494117.42</v>
      </c>
      <c r="D684" s="180" t="e">
        <f>(D615/D612)*S76</f>
        <v>#DIV/0!</v>
      </c>
      <c r="E684" s="180" t="e">
        <f>(E623/E612)*SUM(C684:D684)</f>
        <v>#DIV/0!</v>
      </c>
      <c r="F684" s="180" t="e">
        <f>(F624/F612)*S64</f>
        <v>#DIV/0!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2"/>
        <v>#DIV/0!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 t="e">
        <f>(D615/D612)*T76</f>
        <v>#DIV/0!</v>
      </c>
      <c r="E685" s="180" t="e">
        <f>(E623/E612)*SUM(C685:D685)</f>
        <v>#DIV/0!</v>
      </c>
      <c r="F685" s="180" t="e">
        <f>(F624/F612)*T64</f>
        <v>#DIV/0!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2"/>
        <v>#DIV/0!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3160207.9299999997</v>
      </c>
      <c r="D686" s="180" t="e">
        <f>(D615/D612)*U76</f>
        <v>#DIV/0!</v>
      </c>
      <c r="E686" s="180" t="e">
        <f>(E623/E612)*SUM(C686:D686)</f>
        <v>#DIV/0!</v>
      </c>
      <c r="F686" s="180" t="e">
        <f>(F624/F612)*U64</f>
        <v>#DIV/0!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(J630/J612)*P79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2"/>
        <v>#DIV/0!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0</v>
      </c>
      <c r="D687" s="180" t="e">
        <f>(D615/D612)*V76</f>
        <v>#DIV/0!</v>
      </c>
      <c r="E687" s="180" t="e">
        <f>(E623/E612)*SUM(C687:D687)</f>
        <v>#DIV/0!</v>
      </c>
      <c r="F687" s="180" t="e">
        <f>(F624/F612)*V64</f>
        <v>#DIV/0!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2"/>
        <v>#DIV/0!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239952.74</v>
      </c>
      <c r="D688" s="180" t="e">
        <f>(D615/D612)*W76</f>
        <v>#DIV/0!</v>
      </c>
      <c r="E688" s="180" t="e">
        <f>(E623/E612)*SUM(C688:D688)</f>
        <v>#DIV/0!</v>
      </c>
      <c r="F688" s="180" t="e">
        <f>(F624/F612)*W64</f>
        <v>#DIV/0!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2"/>
        <v>#DIV/0!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483145.92</v>
      </c>
      <c r="D689" s="180" t="e">
        <f>(D615/D612)*X76</f>
        <v>#DIV/0!</v>
      </c>
      <c r="E689" s="180" t="e">
        <f>(E623/E612)*SUM(C689:D689)</f>
        <v>#DIV/0!</v>
      </c>
      <c r="F689" s="180" t="e">
        <f>(F624/F612)*X64</f>
        <v>#DIV/0!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2"/>
        <v>#DIV/0!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4396342.0300000012</v>
      </c>
      <c r="D690" s="180" t="e">
        <f>(D615/D612)*Y76</f>
        <v>#DIV/0!</v>
      </c>
      <c r="E690" s="180" t="e">
        <f>(E623/E612)*SUM(C690:D690)</f>
        <v>#DIV/0!</v>
      </c>
      <c r="F690" s="180" t="e">
        <f>(F624/F612)*Y64</f>
        <v>#DIV/0!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2"/>
        <v>#DIV/0!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1368377.9999999998</v>
      </c>
      <c r="D691" s="180" t="e">
        <f>(D615/D612)*Z76</f>
        <v>#DIV/0!</v>
      </c>
      <c r="E691" s="180" t="e">
        <f>(E623/E612)*SUM(C691:D691)</f>
        <v>#DIV/0!</v>
      </c>
      <c r="F691" s="180" t="e">
        <f>(F624/F612)*Z64</f>
        <v>#DIV/0!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2"/>
        <v>#DIV/0!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582931.70000000007</v>
      </c>
      <c r="D692" s="180" t="e">
        <f>(D615/D612)*AA76</f>
        <v>#DIV/0!</v>
      </c>
      <c r="E692" s="180" t="e">
        <f>(E623/E612)*SUM(C692:D692)</f>
        <v>#DIV/0!</v>
      </c>
      <c r="F692" s="180" t="e">
        <f>(F624/F612)*AA64</f>
        <v>#DIV/0!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2"/>
        <v>#DIV/0!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3112804.9600000004</v>
      </c>
      <c r="D693" s="180" t="e">
        <f>(D615/D612)*AB76</f>
        <v>#DIV/0!</v>
      </c>
      <c r="E693" s="180" t="e">
        <f>(E623/E612)*SUM(C693:D693)</f>
        <v>#DIV/0!</v>
      </c>
      <c r="F693" s="180" t="e">
        <f>(F624/F612)*AB64</f>
        <v>#DIV/0!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2"/>
        <v>#DIV/0!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1306586.7900000003</v>
      </c>
      <c r="D694" s="180" t="e">
        <f>(D615/D612)*AC76</f>
        <v>#DIV/0!</v>
      </c>
      <c r="E694" s="180" t="e">
        <f>(E623/E612)*SUM(C694:D694)</f>
        <v>#DIV/0!</v>
      </c>
      <c r="F694" s="180" t="e">
        <f>(F624/F612)*AC64</f>
        <v>#DIV/0!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2"/>
        <v>#DIV/0!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8330</v>
      </c>
      <c r="D695" s="180" t="e">
        <f>(D615/D612)*AD76</f>
        <v>#DIV/0!</v>
      </c>
      <c r="E695" s="180" t="e">
        <f>(E623/E612)*SUM(C695:D695)</f>
        <v>#DIV/0!</v>
      </c>
      <c r="F695" s="180" t="e">
        <f>(F624/F612)*AD64</f>
        <v>#DIV/0!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2"/>
        <v>#DIV/0!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679464.29</v>
      </c>
      <c r="D696" s="180" t="e">
        <f>(D615/D612)*AE76</f>
        <v>#DIV/0!</v>
      </c>
      <c r="E696" s="180" t="e">
        <f>(E623/E612)*SUM(C696:D696)</f>
        <v>#DIV/0!</v>
      </c>
      <c r="F696" s="180" t="e">
        <f>(F624/F612)*AE64</f>
        <v>#DIV/0!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2"/>
        <v>#DIV/0!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 t="e">
        <f>(D615/D612)*AF76</f>
        <v>#DIV/0!</v>
      </c>
      <c r="E697" s="180" t="e">
        <f>(E623/E612)*SUM(C697:D697)</f>
        <v>#DIV/0!</v>
      </c>
      <c r="F697" s="180" t="e">
        <f>(F624/F612)*AF64</f>
        <v>#DIV/0!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2"/>
        <v>#DIV/0!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4356881.67</v>
      </c>
      <c r="D698" s="180" t="e">
        <f>(D615/D612)*AG76</f>
        <v>#DIV/0!</v>
      </c>
      <c r="E698" s="180" t="e">
        <f>(E623/E612)*SUM(C698:D698)</f>
        <v>#DIV/0!</v>
      </c>
      <c r="F698" s="180" t="e">
        <f>(F624/F612)*AG64</f>
        <v>#DIV/0!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2"/>
        <v>#DIV/0!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 t="e">
        <f>(D615/D612)*AH76</f>
        <v>#DIV/0!</v>
      </c>
      <c r="E699" s="180" t="e">
        <f>(E623/E612)*SUM(C699:D699)</f>
        <v>#DIV/0!</v>
      </c>
      <c r="F699" s="180" t="e">
        <f>(F624/F612)*AH64</f>
        <v>#DIV/0!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2"/>
        <v>#DIV/0!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1936932.7699999996</v>
      </c>
      <c r="D700" s="180" t="e">
        <f>(D615/D612)*AI76</f>
        <v>#DIV/0!</v>
      </c>
      <c r="E700" s="180" t="e">
        <f>(E623/E612)*SUM(C700:D700)</f>
        <v>#DIV/0!</v>
      </c>
      <c r="F700" s="180" t="e">
        <f>(F624/F612)*AI64</f>
        <v>#DIV/0!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2"/>
        <v>#DIV/0!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2984985.3400000003</v>
      </c>
      <c r="D701" s="180" t="e">
        <f>(D615/D612)*AJ76</f>
        <v>#DIV/0!</v>
      </c>
      <c r="E701" s="180" t="e">
        <f>(E623/E612)*SUM(C701:D701)</f>
        <v>#DIV/0!</v>
      </c>
      <c r="F701" s="180" t="e">
        <f>(F624/F612)*AJ64</f>
        <v>#DIV/0!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2"/>
        <v>#DIV/0!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90864.45</v>
      </c>
      <c r="D702" s="180" t="e">
        <f>(D615/D612)*AK76</f>
        <v>#DIV/0!</v>
      </c>
      <c r="E702" s="180" t="e">
        <f>(E623/E612)*SUM(C702:D702)</f>
        <v>#DIV/0!</v>
      </c>
      <c r="F702" s="180" t="e">
        <f>(F624/F612)*AK64</f>
        <v>#DIV/0!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2"/>
        <v>#DIV/0!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50145</v>
      </c>
      <c r="D703" s="180" t="e">
        <f>(D615/D612)*AL76</f>
        <v>#DIV/0!</v>
      </c>
      <c r="E703" s="180" t="e">
        <f>(E623/E612)*SUM(C703:D703)</f>
        <v>#DIV/0!</v>
      </c>
      <c r="F703" s="180" t="e">
        <f>(F624/F612)*AL64</f>
        <v>#DIV/0!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2"/>
        <v>#DIV/0!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20669</v>
      </c>
      <c r="D704" s="180" t="e">
        <f>(D615/D612)*AM76</f>
        <v>#DIV/0!</v>
      </c>
      <c r="E704" s="180" t="e">
        <f>(E623/E612)*SUM(C704:D704)</f>
        <v>#DIV/0!</v>
      </c>
      <c r="F704" s="180" t="e">
        <f>(F624/F612)*AM64</f>
        <v>#DIV/0!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2"/>
        <v>#DIV/0!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1217444</v>
      </c>
      <c r="D705" s="180" t="e">
        <f>(D615/D612)*AN76</f>
        <v>#DIV/0!</v>
      </c>
      <c r="E705" s="180" t="e">
        <f>(E623/E612)*SUM(C705:D705)</f>
        <v>#DIV/0!</v>
      </c>
      <c r="F705" s="180" t="e">
        <f>(F624/F612)*AN64</f>
        <v>#DIV/0!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2"/>
        <v>#DIV/0!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 t="e">
        <f>(D615/D612)*AO76</f>
        <v>#DIV/0!</v>
      </c>
      <c r="E706" s="180" t="e">
        <f>(E623/E612)*SUM(C706:D706)</f>
        <v>#DIV/0!</v>
      </c>
      <c r="F706" s="180" t="e">
        <f>(F624/F612)*AO64</f>
        <v>#DIV/0!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2"/>
        <v>#DIV/0!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 t="e">
        <f>(D615/D612)*AP76</f>
        <v>#DIV/0!</v>
      </c>
      <c r="E707" s="180" t="e">
        <f>(E623/E612)*SUM(C707:D707)</f>
        <v>#DIV/0!</v>
      </c>
      <c r="F707" s="180" t="e">
        <f>(F624/F612)*AP64</f>
        <v>#DIV/0!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2"/>
        <v>#DIV/0!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 t="e">
        <f>(D615/D612)*AQ76</f>
        <v>#DIV/0!</v>
      </c>
      <c r="E708" s="180" t="e">
        <f>(E623/E612)*SUM(C708:D708)</f>
        <v>#DIV/0!</v>
      </c>
      <c r="F708" s="180" t="e">
        <f>(F624/F612)*AQ64</f>
        <v>#DIV/0!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2"/>
        <v>#DIV/0!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 t="e">
        <f>(D615/D612)*AR76</f>
        <v>#DIV/0!</v>
      </c>
      <c r="E709" s="180" t="e">
        <f>(E623/E612)*SUM(C709:D709)</f>
        <v>#DIV/0!</v>
      </c>
      <c r="F709" s="180" t="e">
        <f>(F624/F612)*AR64</f>
        <v>#DIV/0!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2"/>
        <v>#DIV/0!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 t="e">
        <f>(D615/D612)*AS76</f>
        <v>#DIV/0!</v>
      </c>
      <c r="E710" s="180" t="e">
        <f>(E623/E612)*SUM(C710:D710)</f>
        <v>#DIV/0!</v>
      </c>
      <c r="F710" s="180" t="e">
        <f>(F624/F612)*AS64</f>
        <v>#DIV/0!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2"/>
        <v>#DIV/0!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 t="e">
        <f>(D615/D612)*AT76</f>
        <v>#DIV/0!</v>
      </c>
      <c r="E711" s="180" t="e">
        <f>(E623/E612)*SUM(C711:D711)</f>
        <v>#DIV/0!</v>
      </c>
      <c r="F711" s="180" t="e">
        <f>(F624/F612)*AT64</f>
        <v>#DIV/0!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2"/>
        <v>#DIV/0!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 t="e">
        <f>(D615/D612)*AU76</f>
        <v>#DIV/0!</v>
      </c>
      <c r="E712" s="180" t="e">
        <f>(E623/E612)*SUM(C712:D712)</f>
        <v>#DIV/0!</v>
      </c>
      <c r="F712" s="180" t="e">
        <f>(F624/F612)*AU64</f>
        <v>#DIV/0!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2"/>
        <v>#DIV/0!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2137237.44</v>
      </c>
      <c r="D713" s="180" t="e">
        <f>(D615/D612)*AV76</f>
        <v>#DIV/0!</v>
      </c>
      <c r="E713" s="180" t="e">
        <f>(E623/E612)*SUM(C713:D713)</f>
        <v>#DIV/0!</v>
      </c>
      <c r="F713" s="180" t="e">
        <f>(F624/F612)*AV64</f>
        <v>#DIV/0!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2"/>
        <v>#DIV/0!</v>
      </c>
      <c r="N713" s="199" t="s">
        <v>741</v>
      </c>
    </row>
    <row r="715" spans="1:83" ht="12.65" customHeight="1">
      <c r="C715" s="180">
        <f>SUM(C614:C647)+SUM(C668:C713)</f>
        <v>90652005.550000012</v>
      </c>
      <c r="D715" s="180" t="e">
        <f>SUM(D616:D647)+SUM(D668:D713)</f>
        <v>#DIV/0!</v>
      </c>
      <c r="E715" s="180" t="e">
        <f>SUM(E624:E647)+SUM(E668:E713)</f>
        <v>#DIV/0!</v>
      </c>
      <c r="F715" s="180" t="e">
        <f>SUM(F625:F648)+SUM(F668:F713)</f>
        <v>#DIV/0!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>
      <c r="C716" s="180">
        <f>CE71</f>
        <v>90652005.549999997</v>
      </c>
      <c r="D716" s="180">
        <f>D615</f>
        <v>4671877.74</v>
      </c>
      <c r="E716" s="180" t="e">
        <f>E623</f>
        <v>#DIV/0!</v>
      </c>
      <c r="F716" s="180" t="e">
        <f>F624</f>
        <v>#DIV/0!</v>
      </c>
      <c r="G716" s="180" t="e">
        <f>G625</f>
        <v>#DIV/0!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29679516.740000002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e">
        <f>RIGHT(C83,3)&amp;"*"&amp;RIGHT(C82,4)&amp;"*"&amp;"A"</f>
        <v>#VALUE!</v>
      </c>
      <c r="B722" s="273">
        <f>ROUND(C165,0)</f>
        <v>2138874</v>
      </c>
      <c r="C722" s="273">
        <f>ROUND(C166,0)</f>
        <v>0</v>
      </c>
      <c r="D722" s="273">
        <f>ROUND(C167,0)</f>
        <v>0</v>
      </c>
      <c r="E722" s="273">
        <f>ROUND(C168,0)</f>
        <v>1906222</v>
      </c>
      <c r="F722" s="273">
        <f>ROUND(C169,0)</f>
        <v>0</v>
      </c>
      <c r="G722" s="273">
        <f>ROUND(C170,0)</f>
        <v>0</v>
      </c>
      <c r="H722" s="273">
        <f>ROUND(C171+C172,0)</f>
        <v>813637</v>
      </c>
      <c r="I722" s="273">
        <f>ROUND(C175,0)</f>
        <v>8653355</v>
      </c>
      <c r="J722" s="273">
        <f>ROUND(C176,0)</f>
        <v>2033955</v>
      </c>
      <c r="K722" s="273">
        <f>ROUND(C179,0)</f>
        <v>39362</v>
      </c>
      <c r="L722" s="273">
        <f>ROUND(C180,0)</f>
        <v>0</v>
      </c>
      <c r="M722" s="273">
        <f>ROUND(C183,0)</f>
        <v>141081</v>
      </c>
      <c r="N722" s="273">
        <f>ROUND(C184,0)</f>
        <v>1998656</v>
      </c>
      <c r="O722" s="273">
        <f>ROUND(C185,0)</f>
        <v>0</v>
      </c>
      <c r="P722" s="273">
        <f>ROUND(C188,0)</f>
        <v>0</v>
      </c>
      <c r="Q722" s="273">
        <f>ROUND(C189,0)</f>
        <v>0</v>
      </c>
      <c r="R722" s="273">
        <f>ROUND(B195,0)</f>
        <v>0</v>
      </c>
      <c r="S722" s="273">
        <f>ROUND(C195,0)</f>
        <v>5174183</v>
      </c>
      <c r="T722" s="273">
        <f>ROUND(D195,0)</f>
        <v>0</v>
      </c>
      <c r="U722" s="273">
        <f>ROUND(B196,0)</f>
        <v>0</v>
      </c>
      <c r="V722" s="273">
        <f>ROUND(C196,0)</f>
        <v>0</v>
      </c>
      <c r="W722" s="273">
        <f>ROUND(D196,0)</f>
        <v>0</v>
      </c>
      <c r="X722" s="273">
        <f>ROUND(B197,0)</f>
        <v>0</v>
      </c>
      <c r="Y722" s="273">
        <f>ROUND(C197,0)</f>
        <v>150542676</v>
      </c>
      <c r="Z722" s="273">
        <f>ROUND(D197,0)</f>
        <v>0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0</v>
      </c>
      <c r="AE722" s="273">
        <f>ROUND(C199,0)</f>
        <v>1470048</v>
      </c>
      <c r="AF722" s="273">
        <f>ROUND(D199,0)</f>
        <v>0</v>
      </c>
      <c r="AG722" s="273">
        <f>ROUND(B200,0)</f>
        <v>0</v>
      </c>
      <c r="AH722" s="273">
        <f>ROUND(C200,0)</f>
        <v>12278573</v>
      </c>
      <c r="AI722" s="273">
        <f>ROUND(D200,0)</f>
        <v>0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0</v>
      </c>
      <c r="AN722" s="273">
        <f>ROUND(C202,0)</f>
        <v>1292856</v>
      </c>
      <c r="AO722" s="273">
        <f>ROUND(D202,0)</f>
        <v>0</v>
      </c>
      <c r="AP722" s="273">
        <f>ROUND(B203,0)</f>
        <v>0</v>
      </c>
      <c r="AQ722" s="273">
        <f>ROUND(C203,0)</f>
        <v>0</v>
      </c>
      <c r="AR722" s="273">
        <f>ROUND(D203,0)</f>
        <v>0</v>
      </c>
      <c r="AS722" s="273"/>
      <c r="AT722" s="273"/>
      <c r="AU722" s="273"/>
      <c r="AV722" s="273">
        <f>ROUND(B209,0)</f>
        <v>0</v>
      </c>
      <c r="AW722" s="273">
        <f>ROUND(C209,0)</f>
        <v>0</v>
      </c>
      <c r="AX722" s="273">
        <f>ROUND(D209,0)</f>
        <v>0</v>
      </c>
      <c r="AY722" s="273">
        <f>ROUND(B210,0)</f>
        <v>0</v>
      </c>
      <c r="AZ722" s="273">
        <f>ROUND(C210,0)</f>
        <v>724366</v>
      </c>
      <c r="BA722" s="273">
        <f>ROUND(D210,0)</f>
        <v>0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0</v>
      </c>
      <c r="BF722" s="273">
        <f>ROUND(C212,0)</f>
        <v>106233</v>
      </c>
      <c r="BG722" s="273">
        <f>ROUND(D212,0)</f>
        <v>0</v>
      </c>
      <c r="BH722" s="273">
        <f>ROUND(B213,0)</f>
        <v>0</v>
      </c>
      <c r="BI722" s="273">
        <f>ROUND(C213,0)</f>
        <v>1574428</v>
      </c>
      <c r="BJ722" s="273">
        <f>ROUND(D213,0)</f>
        <v>0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0</v>
      </c>
      <c r="BO722" s="273">
        <f>ROUND(C215,0)</f>
        <v>129286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129487109</v>
      </c>
      <c r="BU722" s="273">
        <f>ROUND(C224,0)</f>
        <v>3182087</v>
      </c>
      <c r="BV722" s="273">
        <f>ROUND(C225,0)</f>
        <v>3937597</v>
      </c>
      <c r="BW722" s="273">
        <f>ROUND(C226,0)</f>
        <v>11982132</v>
      </c>
      <c r="BX722" s="273">
        <f>ROUND(C227,0)</f>
        <v>0</v>
      </c>
      <c r="BY722" s="273">
        <f>ROUND(C228,0)</f>
        <v>205372202</v>
      </c>
      <c r="BZ722" s="273">
        <f>ROUND(C231,0)</f>
        <v>0</v>
      </c>
      <c r="CA722" s="273">
        <f>ROUND(C233,0)</f>
        <v>829582</v>
      </c>
      <c r="CB722" s="273">
        <f>ROUND(C234,0)</f>
        <v>1174875</v>
      </c>
      <c r="CC722" s="273">
        <f>ROUND(C238+C239,0)</f>
        <v>21503838</v>
      </c>
      <c r="CD722" s="273">
        <f>D221</f>
        <v>4014825.6500000004</v>
      </c>
      <c r="CE722" s="273"/>
    </row>
    <row r="723" spans="1:84" ht="12.65" customHeight="1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e">
        <f>RIGHT(C83,3)&amp;"*"&amp;RIGHT(C82,4)&amp;"*"&amp;"A"</f>
        <v>#VALUE!</v>
      </c>
      <c r="B726" s="273">
        <f>ROUND(C111,0)</f>
        <v>2840</v>
      </c>
      <c r="C726" s="273">
        <f>ROUND(C112,0)</f>
        <v>0</v>
      </c>
      <c r="D726" s="273">
        <f>ROUND(C113,0)</f>
        <v>0</v>
      </c>
      <c r="E726" s="273">
        <f>ROUND(C114,0)</f>
        <v>479</v>
      </c>
      <c r="F726" s="273">
        <f>ROUND(D111,0)</f>
        <v>14011</v>
      </c>
      <c r="G726" s="273">
        <f>ROUND(D112,0)</f>
        <v>0</v>
      </c>
      <c r="H726" s="273">
        <f>ROUND(D113,0)</f>
        <v>0</v>
      </c>
      <c r="I726" s="273">
        <f>ROUND(D114,0)</f>
        <v>661</v>
      </c>
      <c r="J726" s="273">
        <f>ROUND(C116,0)</f>
        <v>10</v>
      </c>
      <c r="K726" s="273">
        <f>ROUND(C117,0)</f>
        <v>22</v>
      </c>
      <c r="L726" s="273">
        <f>ROUND(C118,0)</f>
        <v>41</v>
      </c>
      <c r="M726" s="273">
        <f>ROUND(C119,0)</f>
        <v>0</v>
      </c>
      <c r="N726" s="273">
        <f>ROUND(C120,0)</f>
        <v>15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107</v>
      </c>
      <c r="W726" s="273">
        <f>ROUND(C129,0)</f>
        <v>7</v>
      </c>
      <c r="X726" s="273">
        <f>ROUND(B138,0)</f>
        <v>962</v>
      </c>
      <c r="Y726" s="273">
        <f>ROUND(B139,0)</f>
        <v>5745</v>
      </c>
      <c r="Z726" s="273">
        <f>ROUND(B140,0)</f>
        <v>4374</v>
      </c>
      <c r="AA726" s="273">
        <f>ROUND(B141,0)</f>
        <v>74145572</v>
      </c>
      <c r="AB726" s="273">
        <f>ROUND(B142,0)</f>
        <v>86439882</v>
      </c>
      <c r="AC726" s="273">
        <f>ROUND(C138,0)</f>
        <v>73</v>
      </c>
      <c r="AD726" s="273">
        <f>ROUND(C139,0)</f>
        <v>268</v>
      </c>
      <c r="AE726" s="273">
        <f>ROUND(C140,0)</f>
        <v>177</v>
      </c>
      <c r="AF726" s="273">
        <f>ROUND(C141,0)</f>
        <v>3321771</v>
      </c>
      <c r="AG726" s="273">
        <f>ROUND(C142,0)</f>
        <v>3503053</v>
      </c>
      <c r="AH726" s="273">
        <f>ROUND(D138,0)</f>
        <v>1805</v>
      </c>
      <c r="AI726" s="273">
        <f>ROUND(D139,0)</f>
        <v>7998</v>
      </c>
      <c r="AJ726" s="273">
        <f>ROUND(D140,0)</f>
        <v>9043</v>
      </c>
      <c r="AK726" s="273">
        <f>ROUND(D141,0)</f>
        <v>112222515</v>
      </c>
      <c r="AL726" s="273">
        <f>ROUND(D142,0)</f>
        <v>178700794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e">
        <f>RIGHT(C83,3)&amp;"*"&amp;RIGHT(C82,4)&amp;"*"&amp;"A"</f>
        <v>#VALUE!</v>
      </c>
      <c r="B730" s="273">
        <f>ROUND(C250,0)</f>
        <v>-215457092</v>
      </c>
      <c r="C730" s="273">
        <f>ROUND(C251,0)</f>
        <v>0</v>
      </c>
      <c r="D730" s="273">
        <f>ROUND(C252,0)</f>
        <v>29162693</v>
      </c>
      <c r="E730" s="273">
        <f>ROUND(C253,0)</f>
        <v>7900653</v>
      </c>
      <c r="F730" s="273">
        <f>ROUND(C254,0)</f>
        <v>0</v>
      </c>
      <c r="G730" s="273">
        <f>ROUND(C255,0)</f>
        <v>1297975</v>
      </c>
      <c r="H730" s="273">
        <f>ROUND(C256,0)</f>
        <v>0</v>
      </c>
      <c r="I730" s="273">
        <f>ROUND(C257,0)</f>
        <v>3541588</v>
      </c>
      <c r="J730" s="273">
        <f>ROUND(C258,0)</f>
        <v>437796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5174183</v>
      </c>
      <c r="P730" s="273">
        <f>ROUND(C268,0)</f>
        <v>0</v>
      </c>
      <c r="Q730" s="273">
        <f>ROUND(C269,0)</f>
        <v>150542676</v>
      </c>
      <c r="R730" s="273">
        <f>ROUND(C270,0)</f>
        <v>0</v>
      </c>
      <c r="S730" s="273">
        <f>ROUND(C271,0)</f>
        <v>1470048</v>
      </c>
      <c r="T730" s="273">
        <f>ROUND(C272,0)</f>
        <v>12278573</v>
      </c>
      <c r="U730" s="273">
        <f>ROUND(C273,0)</f>
        <v>1292856</v>
      </c>
      <c r="V730" s="273">
        <f>ROUND(C274,0)</f>
        <v>0</v>
      </c>
      <c r="W730" s="273">
        <f>ROUND(C275,0)</f>
        <v>0</v>
      </c>
      <c r="X730" s="273">
        <f>ROUND(C276,0)</f>
        <v>2534312</v>
      </c>
      <c r="Y730" s="273">
        <f>ROUND(C279,0)</f>
        <v>0</v>
      </c>
      <c r="Z730" s="273">
        <f>ROUND(C280,0)</f>
        <v>0</v>
      </c>
      <c r="AA730" s="273">
        <f>ROUND(C281,0)</f>
        <v>0</v>
      </c>
      <c r="AB730" s="273">
        <f>ROUND(C282,0)</f>
        <v>10573252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-3762816</v>
      </c>
      <c r="AI730" s="273">
        <f>ROUND(C306,0)</f>
        <v>251378</v>
      </c>
      <c r="AJ730" s="273">
        <f>ROUND(C307,0)</f>
        <v>0</v>
      </c>
      <c r="AK730" s="273">
        <f>ROUND(C308,0)</f>
        <v>0</v>
      </c>
      <c r="AL730" s="273">
        <f>ROUND(C309,0)</f>
        <v>112500</v>
      </c>
      <c r="AM730" s="273">
        <f>ROUND(C310,0)</f>
        <v>0</v>
      </c>
      <c r="AN730" s="273">
        <f>ROUND(C311,0)</f>
        <v>0</v>
      </c>
      <c r="AO730" s="273">
        <f>ROUND(C312,0)</f>
        <v>251198</v>
      </c>
      <c r="AP730" s="273">
        <f>ROUND(C313,0)</f>
        <v>235985</v>
      </c>
      <c r="AQ730" s="273">
        <f>ROUND(C316,0)</f>
        <v>0</v>
      </c>
      <c r="AR730" s="273">
        <f>ROUND(C317,0)</f>
        <v>0</v>
      </c>
      <c r="AS730" s="273">
        <f>ROUND(C318,0)</f>
        <v>0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0</v>
      </c>
      <c r="AX730" s="273">
        <f>ROUND(C325,0)</f>
        <v>0</v>
      </c>
      <c r="AY730" s="273">
        <f>ROUND(C326,0)</f>
        <v>6829981</v>
      </c>
      <c r="AZ730" s="273">
        <f>ROUND(C327,0)</f>
        <v>0</v>
      </c>
      <c r="BA730" s="273">
        <f>ROUND(C328,0)</f>
        <v>0</v>
      </c>
      <c r="BB730" s="273">
        <f>ROUND(C332,0)</f>
        <v>-13802659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360.2</v>
      </c>
      <c r="BJ730" s="273">
        <f>ROUND(C359,0)</f>
        <v>189689857</v>
      </c>
      <c r="BK730" s="273">
        <f>ROUND(C360,0)</f>
        <v>268643729</v>
      </c>
      <c r="BL730" s="273">
        <f>ROUND(C364,0)</f>
        <v>375464964</v>
      </c>
      <c r="BM730" s="273">
        <f>ROUND(C365,0)</f>
        <v>2004457</v>
      </c>
      <c r="BN730" s="273">
        <f>ROUND(C366,0)</f>
        <v>0</v>
      </c>
      <c r="BO730" s="273">
        <f>ROUND(C370,0)</f>
        <v>10030849</v>
      </c>
      <c r="BP730" s="273">
        <f>ROUND(C371,0)</f>
        <v>0</v>
      </c>
      <c r="BQ730" s="273">
        <f>ROUND(C378,0)</f>
        <v>35438386</v>
      </c>
      <c r="BR730" s="273">
        <f>ROUND(C379,0)</f>
        <v>4858734</v>
      </c>
      <c r="BS730" s="273">
        <f>ROUND(C380,0)</f>
        <v>3851711</v>
      </c>
      <c r="BT730" s="273">
        <f>ROUND(C381,0)</f>
        <v>17328822</v>
      </c>
      <c r="BU730" s="273">
        <f>ROUND(C382,0)</f>
        <v>795051</v>
      </c>
      <c r="BV730" s="273">
        <f>ROUND(C383,0)</f>
        <v>15676322</v>
      </c>
      <c r="BW730" s="273">
        <f>ROUND(C384,0)</f>
        <v>4947736</v>
      </c>
      <c r="BX730" s="273">
        <f>ROUND(C385,0)</f>
        <v>10687310</v>
      </c>
      <c r="BY730" s="273">
        <f>ROUND(C386,0)</f>
        <v>39362</v>
      </c>
      <c r="BZ730" s="273">
        <f>ROUND(C387,0)</f>
        <v>2139737</v>
      </c>
      <c r="CA730" s="273">
        <f>ROUND(C388,0)</f>
        <v>0</v>
      </c>
      <c r="CB730" s="273">
        <f>C363</f>
        <v>4014825.6500000004</v>
      </c>
      <c r="CC730" s="273">
        <f>ROUND(C389,0)</f>
        <v>4919676</v>
      </c>
      <c r="CD730" s="273">
        <f>ROUND(C392,0)</f>
        <v>0</v>
      </c>
      <c r="CE730" s="273">
        <f>ROUND(C394,0)</f>
        <v>0</v>
      </c>
      <c r="CF730" s="201">
        <f>ROUND(C395,0)</f>
        <v>0</v>
      </c>
    </row>
    <row r="731" spans="1:84" ht="12.65" customHeight="1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e">
        <f>RIGHT($C$83,3)&amp;"*"&amp;RIGHT($C$82,4)&amp;"*"&amp;C$55&amp;"*"&amp;"A"</f>
        <v>#VALUE!</v>
      </c>
      <c r="B734" s="273">
        <f>ROUND(C59,0)</f>
        <v>5341</v>
      </c>
      <c r="C734" s="273">
        <f>ROUND(C60,2)</f>
        <v>45.34</v>
      </c>
      <c r="D734" s="273">
        <f>ROUND(C61,0)</f>
        <v>5231630</v>
      </c>
      <c r="E734" s="273">
        <f>ROUND(C62,0)</f>
        <v>598301</v>
      </c>
      <c r="F734" s="273">
        <f>ROUND(C63,0)</f>
        <v>487833</v>
      </c>
      <c r="G734" s="273">
        <f>ROUND(C64,0)</f>
        <v>557990</v>
      </c>
      <c r="H734" s="273">
        <f>ROUND(C65,0)</f>
        <v>0</v>
      </c>
      <c r="I734" s="273">
        <f>ROUND(C66,0)</f>
        <v>115309</v>
      </c>
      <c r="J734" s="273">
        <f>ROUND(C67,0)</f>
        <v>36512</v>
      </c>
      <c r="K734" s="273">
        <f>ROUND(C68,0)</f>
        <v>22220</v>
      </c>
      <c r="L734" s="273">
        <f>ROUND(C69,0)</f>
        <v>200319</v>
      </c>
      <c r="M734" s="273">
        <f>ROUND(C70,0)</f>
        <v>30583</v>
      </c>
      <c r="N734" s="273">
        <f>ROUND(C75,0)</f>
        <v>33375740</v>
      </c>
      <c r="O734" s="273">
        <f>ROUND(C73,0)</f>
        <v>31441630</v>
      </c>
      <c r="P734" s="273">
        <f>IF(C76&gt;0,ROUND(C76,0),0)</f>
        <v>0</v>
      </c>
      <c r="Q734" s="273">
        <f>IF(C77&gt;0,ROUND(C77,0),0)</f>
        <v>4193</v>
      </c>
      <c r="R734" s="273">
        <f>IF(C78&gt;0,ROUND(C78,0),0)</f>
        <v>0</v>
      </c>
      <c r="S734" s="273">
        <f>IF(C79&gt;0,ROUND(C79,0),0)</f>
        <v>69876</v>
      </c>
      <c r="T734" s="273">
        <f>IF(C80&gt;0,ROUND(C80,2),0)</f>
        <v>0</v>
      </c>
      <c r="U734" s="273"/>
      <c r="V734" s="273"/>
      <c r="W734" s="273"/>
      <c r="X734" s="273"/>
      <c r="Y734" s="273" t="e">
        <f>IF(M668&lt;&gt;0,ROUND(M668,0),0)</f>
        <v>#DIV/0!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>
      <c r="A735" s="209" t="e">
        <f>RIGHT($C$83,3)&amp;"*"&amp;RIGHT($C$82,4)&amp;"*"&amp;D$55&amp;"*"&amp;"A"</f>
        <v>#VALUE!</v>
      </c>
      <c r="B735" s="273">
        <f>ROUND(D59,0)</f>
        <v>4939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36839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51914114</v>
      </c>
      <c r="O735" s="273">
        <f>ROUND(D73,0)</f>
        <v>32456353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 t="e">
        <f t="shared" ref="Y735:Y779" si="23">IF(M669&lt;&gt;0,ROUND(M669,0),0)</f>
        <v>#DIV/0!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>
      <c r="A736" s="209" t="e">
        <f>RIGHT($C$83,3)&amp;"*"&amp;RIGHT($C$82,4)&amp;"*"&amp;E$55&amp;"*"&amp;"A"</f>
        <v>#VALUE!</v>
      </c>
      <c r="B736" s="273">
        <f>ROUND(E59,0)</f>
        <v>922</v>
      </c>
      <c r="C736" s="275">
        <f>ROUND(E60,2)</f>
        <v>34.08</v>
      </c>
      <c r="D736" s="273">
        <f>ROUND(E61,0)</f>
        <v>3686250</v>
      </c>
      <c r="E736" s="273">
        <f>ROUND(E62,0)</f>
        <v>438945</v>
      </c>
      <c r="F736" s="273">
        <f>ROUND(E63,0)</f>
        <v>0</v>
      </c>
      <c r="G736" s="273">
        <f>ROUND(E64,0)</f>
        <v>4153098</v>
      </c>
      <c r="H736" s="273">
        <f>ROUND(E65,0)</f>
        <v>0</v>
      </c>
      <c r="I736" s="273">
        <f>ROUND(E66,0)</f>
        <v>75355</v>
      </c>
      <c r="J736" s="273">
        <f>ROUND(E67,0)</f>
        <v>16179</v>
      </c>
      <c r="K736" s="273">
        <f>ROUND(E68,0)</f>
        <v>55186</v>
      </c>
      <c r="L736" s="273">
        <f>ROUND(E69,0)</f>
        <v>110446</v>
      </c>
      <c r="M736" s="273">
        <f>ROUND(E70,0)</f>
        <v>0</v>
      </c>
      <c r="N736" s="273">
        <f>ROUND(E75,0)</f>
        <v>16525321</v>
      </c>
      <c r="O736" s="273">
        <f>ROUND(E73,0)</f>
        <v>14433570</v>
      </c>
      <c r="P736" s="273">
        <f>IF(E76&gt;0,ROUND(E76,0),0)</f>
        <v>0</v>
      </c>
      <c r="Q736" s="273">
        <f>IF(E77&gt;0,ROUND(E77,0),0)</f>
        <v>16151</v>
      </c>
      <c r="R736" s="273">
        <f>IF(E78&gt;0,ROUND(E78,0),0)</f>
        <v>0</v>
      </c>
      <c r="S736" s="273">
        <f>IF(E79&gt;0,ROUND(E79,0),0)</f>
        <v>129025</v>
      </c>
      <c r="T736" s="275">
        <f>IF(E80&gt;0,ROUND(E80,2),0)</f>
        <v>0</v>
      </c>
      <c r="U736" s="273"/>
      <c r="V736" s="274"/>
      <c r="W736" s="273"/>
      <c r="X736" s="273"/>
      <c r="Y736" s="273" t="e">
        <f t="shared" si="23"/>
        <v>#DIV/0!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>
      <c r="A737" s="209" t="e">
        <f>RIGHT($C$83,3)&amp;"*"&amp;RIGHT($C$82,4)&amp;"*"&amp;F$55&amp;"*"&amp;"A"</f>
        <v>#VALUE!</v>
      </c>
      <c r="B737" s="273">
        <f>ROUND(F59,0)</f>
        <v>0</v>
      </c>
      <c r="C737" s="275">
        <f>ROUND(F60,2)</f>
        <v>19.12</v>
      </c>
      <c r="D737" s="273">
        <f>ROUND(F61,0)</f>
        <v>2317226</v>
      </c>
      <c r="E737" s="273">
        <f>ROUND(F62,0)</f>
        <v>267192</v>
      </c>
      <c r="F737" s="273">
        <f>ROUND(F63,0)</f>
        <v>71435</v>
      </c>
      <c r="G737" s="273">
        <f>ROUND(F64,0)</f>
        <v>260113</v>
      </c>
      <c r="H737" s="273">
        <f>ROUND(F65,0)</f>
        <v>0</v>
      </c>
      <c r="I737" s="273">
        <f>ROUND(F66,0)</f>
        <v>111216</v>
      </c>
      <c r="J737" s="273">
        <f>ROUND(F67,0)</f>
        <v>4460</v>
      </c>
      <c r="K737" s="273">
        <f>ROUND(F68,0)</f>
        <v>0</v>
      </c>
      <c r="L737" s="273">
        <f>ROUND(F69,0)</f>
        <v>56561</v>
      </c>
      <c r="M737" s="273">
        <f>ROUND(F70,0)</f>
        <v>8846</v>
      </c>
      <c r="N737" s="273">
        <f>ROUND(F75,0)</f>
        <v>2463392</v>
      </c>
      <c r="O737" s="273">
        <f>ROUND(F73,0)</f>
        <v>2213339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 t="e">
        <f t="shared" si="23"/>
        <v>#DIV/0!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>
      <c r="A738" s="209" t="e">
        <f>RIGHT($C$83,3)&amp;"*"&amp;RIGHT($C$82,4)&amp;"*"&amp;G$55&amp;"*"&amp;"A"</f>
        <v>#VALUE!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557650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57801943</v>
      </c>
      <c r="O738" s="273">
        <f>ROUND(G73,0)</f>
        <v>23213770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 t="e">
        <f t="shared" si="23"/>
        <v>#DIV/0!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>
      <c r="A739" s="209" t="e">
        <f>RIGHT($C$83,3)&amp;"*"&amp;RIGHT($C$82,4)&amp;"*"&amp;H$55&amp;"*"&amp;"A"</f>
        <v>#VALUE!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7212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26782097</v>
      </c>
      <c r="O739" s="273">
        <f>ROUND(H73,0)</f>
        <v>9219773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 t="e">
        <f t="shared" si="23"/>
        <v>#DIV/0!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>
      <c r="A740" s="209" t="e">
        <f>RIGHT($C$83,3)&amp;"*"&amp;RIGHT($C$82,4)&amp;"*"&amp;I$55&amp;"*"&amp;"A"</f>
        <v>#VALUE!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77251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 t="e">
        <f t="shared" si="23"/>
        <v>#DIV/0!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>
      <c r="A741" s="209" t="e">
        <f>RIGHT($C$83,3)&amp;"*"&amp;RIGHT($C$82,4)&amp;"*"&amp;J$55&amp;"*"&amp;"A"</f>
        <v>#VALUE!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5568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39345231</v>
      </c>
      <c r="O741" s="273">
        <f>ROUND(J73,0)</f>
        <v>20784352</v>
      </c>
      <c r="P741" s="273">
        <f>IF(J76&gt;0,ROUND(J76,0),0)</f>
        <v>0</v>
      </c>
      <c r="Q741" s="273">
        <f>IF(J77&gt;0,ROUND(J77,0),0)</f>
        <v>3138</v>
      </c>
      <c r="R741" s="273">
        <f>IF(J78&gt;0,ROUND(J78,0),0)</f>
        <v>0</v>
      </c>
      <c r="S741" s="273">
        <f>IF(J79&gt;0,ROUND(J79,0),0)</f>
        <v>461</v>
      </c>
      <c r="T741" s="275">
        <f>IF(J80&gt;0,ROUND(J80,2),0)</f>
        <v>0</v>
      </c>
      <c r="U741" s="273"/>
      <c r="V741" s="274"/>
      <c r="W741" s="273"/>
      <c r="X741" s="273"/>
      <c r="Y741" s="273" t="e">
        <f t="shared" si="23"/>
        <v>#DIV/0!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>
      <c r="A742" s="209" t="e">
        <f>RIGHT($C$83,3)&amp;"*"&amp;RIGHT($C$82,4)&amp;"*"&amp;K$55&amp;"*"&amp;"A"</f>
        <v>#VALUE!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7040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3028423</v>
      </c>
      <c r="O742" s="273">
        <f>ROUND(K73,0)</f>
        <v>1085184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 t="e">
        <f t="shared" si="23"/>
        <v>#DIV/0!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>
      <c r="A743" s="209" t="e">
        <f>RIGHT($C$83,3)&amp;"*"&amp;RIGHT($C$82,4)&amp;"*"&amp;L$55&amp;"*"&amp;"A"</f>
        <v>#VALUE!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40296101</v>
      </c>
      <c r="O743" s="273">
        <f>ROUND(L73,0)</f>
        <v>11012818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 t="e">
        <f t="shared" si="23"/>
        <v>#DIV/0!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>
      <c r="A744" s="209" t="e">
        <f>RIGHT($C$83,3)&amp;"*"&amp;RIGHT($C$82,4)&amp;"*"&amp;M$55&amp;"*"&amp;"A"</f>
        <v>#VALUE!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85217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32642190</v>
      </c>
      <c r="O744" s="273">
        <f>ROUND(M73,0)</f>
        <v>10736204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 t="e">
        <f t="shared" si="23"/>
        <v>#DIV/0!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>
      <c r="A745" s="209" t="e">
        <f>RIGHT($C$83,3)&amp;"*"&amp;RIGHT($C$82,4)&amp;"*"&amp;N$55&amp;"*"&amp;"A"</f>
        <v>#VALUE!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79866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32989123</v>
      </c>
      <c r="O745" s="273">
        <f>ROUND(N73,0)</f>
        <v>1602716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 t="e">
        <f t="shared" si="23"/>
        <v>#DIV/0!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>
      <c r="A746" s="209" t="e">
        <f>RIGHT($C$83,3)&amp;"*"&amp;RIGHT($C$82,4)&amp;"*"&amp;O$55&amp;"*"&amp;"A"</f>
        <v>#VALUE!</v>
      </c>
      <c r="B746" s="273">
        <f>ROUND(O59,0)</f>
        <v>0</v>
      </c>
      <c r="C746" s="275">
        <f>ROUND(O60,2)</f>
        <v>0.01</v>
      </c>
      <c r="D746" s="273">
        <f>ROUND(O61,0)</f>
        <v>1183</v>
      </c>
      <c r="E746" s="273">
        <f>ROUND(O62,0)</f>
        <v>185</v>
      </c>
      <c r="F746" s="273">
        <f>ROUND(O63,0)</f>
        <v>486518</v>
      </c>
      <c r="G746" s="273">
        <f>ROUND(O64,0)</f>
        <v>22072</v>
      </c>
      <c r="H746" s="273">
        <f>ROUND(O65,0)</f>
        <v>0</v>
      </c>
      <c r="I746" s="273">
        <f>ROUND(O66,0)</f>
        <v>38528</v>
      </c>
      <c r="J746" s="273">
        <f>ROUND(O67,0)</f>
        <v>1970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7481119</v>
      </c>
      <c r="O746" s="273">
        <f>ROUND(O73,0)</f>
        <v>573309</v>
      </c>
      <c r="P746" s="273">
        <f>IF(O76&gt;0,ROUND(O76,0),0)</f>
        <v>0</v>
      </c>
      <c r="Q746" s="273">
        <f>IF(O77&gt;0,ROUND(O77,0),0)</f>
        <v>18754</v>
      </c>
      <c r="R746" s="273">
        <f>IF(O78&gt;0,ROUND(O78,0),0)</f>
        <v>0</v>
      </c>
      <c r="S746" s="273">
        <f>IF(O79&gt;0,ROUND(O79,0),0)</f>
        <v>57003</v>
      </c>
      <c r="T746" s="275">
        <f>IF(O80&gt;0,ROUND(O80,2),0)</f>
        <v>0</v>
      </c>
      <c r="U746" s="273"/>
      <c r="V746" s="274"/>
      <c r="W746" s="273"/>
      <c r="X746" s="273"/>
      <c r="Y746" s="273" t="e">
        <f t="shared" si="23"/>
        <v>#DIV/0!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>
      <c r="A747" s="209" t="e">
        <f>RIGHT($C$83,3)&amp;"*"&amp;RIGHT($C$82,4)&amp;"*"&amp;P$55&amp;"*"&amp;"A"</f>
        <v>#VALUE!</v>
      </c>
      <c r="B747" s="273">
        <f>ROUND(P59,0)</f>
        <v>0</v>
      </c>
      <c r="C747" s="275">
        <f>ROUND(P60,2)</f>
        <v>16.149999999999999</v>
      </c>
      <c r="D747" s="273">
        <f>ROUND(P61,0)</f>
        <v>2028007</v>
      </c>
      <c r="E747" s="273">
        <f>ROUND(P62,0)</f>
        <v>187738</v>
      </c>
      <c r="F747" s="273">
        <f>ROUND(P63,0)</f>
        <v>335582</v>
      </c>
      <c r="G747" s="273">
        <f>ROUND(P64,0)</f>
        <v>2588410</v>
      </c>
      <c r="H747" s="273">
        <f>ROUND(P65,0)</f>
        <v>0</v>
      </c>
      <c r="I747" s="273">
        <f>ROUND(P66,0)</f>
        <v>470329</v>
      </c>
      <c r="J747" s="273">
        <f>ROUND(P67,0)</f>
        <v>0</v>
      </c>
      <c r="K747" s="273">
        <f>ROUND(P68,0)</f>
        <v>537037</v>
      </c>
      <c r="L747" s="273">
        <f>ROUND(P69,0)</f>
        <v>72174</v>
      </c>
      <c r="M747" s="273">
        <f>ROUND(P70,0)</f>
        <v>23221</v>
      </c>
      <c r="N747" s="273">
        <f>ROUND(P75,0)</f>
        <v>17442470</v>
      </c>
      <c r="O747" s="273">
        <f>ROUND(P73,0)</f>
        <v>10768091</v>
      </c>
      <c r="P747" s="273">
        <f>IF(P76&gt;0,ROUND(P76,0),0)</f>
        <v>0</v>
      </c>
      <c r="Q747" s="273">
        <f>IF(P77&gt;0,ROUND(P77,0),0)</f>
        <v>0</v>
      </c>
      <c r="R747" s="273">
        <f>IF(P78&gt;0,ROUND(P78,0),0)</f>
        <v>0</v>
      </c>
      <c r="S747" s="273" t="e">
        <f>IF(#REF!&gt;0,ROUND(#REF!,0),0)</f>
        <v>#REF!</v>
      </c>
      <c r="T747" s="275">
        <f>IF(P80&gt;0,ROUND(P80,2),0)</f>
        <v>0</v>
      </c>
      <c r="U747" s="273"/>
      <c r="V747" s="274"/>
      <c r="W747" s="273"/>
      <c r="X747" s="273"/>
      <c r="Y747" s="273" t="e">
        <f t="shared" si="23"/>
        <v>#DIV/0!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>
      <c r="A748" s="209" t="e">
        <f>RIGHT($C$83,3)&amp;"*"&amp;RIGHT($C$82,4)&amp;"*"&amp;Q$55&amp;"*"&amp;"A"</f>
        <v>#VALUE!</v>
      </c>
      <c r="B748" s="273">
        <f>ROUND(Q59,0)</f>
        <v>0</v>
      </c>
      <c r="C748" s="275">
        <f>ROUND(Q60,2)</f>
        <v>0</v>
      </c>
      <c r="D748" s="273">
        <f>ROUND(Q61,0)</f>
        <v>0</v>
      </c>
      <c r="E748" s="273">
        <f>ROUND(Q62,0)</f>
        <v>0</v>
      </c>
      <c r="F748" s="273">
        <f>ROUND(Q63,0)</f>
        <v>0</v>
      </c>
      <c r="G748" s="273">
        <f>ROUND(Q64,0)</f>
        <v>0</v>
      </c>
      <c r="H748" s="273">
        <f>ROUND(Q65,0)</f>
        <v>0</v>
      </c>
      <c r="I748" s="273">
        <f>ROUND(Q66,0)</f>
        <v>0</v>
      </c>
      <c r="J748" s="273">
        <f>ROUND(Q67,0)</f>
        <v>1591</v>
      </c>
      <c r="K748" s="273">
        <f>ROUND(Q68,0)</f>
        <v>0</v>
      </c>
      <c r="L748" s="273">
        <f>ROUND(Q69,0)</f>
        <v>0</v>
      </c>
      <c r="M748" s="273">
        <f>ROUND(Q70,0)</f>
        <v>0</v>
      </c>
      <c r="N748" s="273">
        <f>ROUND(Q75,0)</f>
        <v>9330264</v>
      </c>
      <c r="O748" s="273">
        <f>ROUND(Q73,0)</f>
        <v>6584035</v>
      </c>
      <c r="P748" s="273">
        <f>IF(Q76&gt;0,ROUND(Q76,0),0)</f>
        <v>0</v>
      </c>
      <c r="Q748" s="273">
        <f>IF(Q77&gt;0,ROUND(Q77,0),0)</f>
        <v>0</v>
      </c>
      <c r="R748" s="273">
        <f>IF(Q78&gt;0,ROUND(Q78,0),0)</f>
        <v>0</v>
      </c>
      <c r="S748" s="273">
        <f>IF(Q79&gt;0,ROUND(Q79,0),0)</f>
        <v>0</v>
      </c>
      <c r="T748" s="275">
        <f>IF(Q80&gt;0,ROUND(Q80,2),0)</f>
        <v>0</v>
      </c>
      <c r="U748" s="273"/>
      <c r="V748" s="274"/>
      <c r="W748" s="273"/>
      <c r="X748" s="273"/>
      <c r="Y748" s="273" t="e">
        <f t="shared" si="23"/>
        <v>#DIV/0!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>
      <c r="A749" s="209" t="e">
        <f>RIGHT($C$83,3)&amp;"*"&amp;RIGHT($C$82,4)&amp;"*"&amp;R$55&amp;"*"&amp;"A"</f>
        <v>#VALUE!</v>
      </c>
      <c r="B749" s="273">
        <f>ROUND(R59,0)</f>
        <v>0</v>
      </c>
      <c r="C749" s="275">
        <f>ROUND(R60,2)</f>
        <v>6.51</v>
      </c>
      <c r="D749" s="273">
        <f>ROUND(R61,0)</f>
        <v>894695</v>
      </c>
      <c r="E749" s="273">
        <f>ROUND(R62,0)</f>
        <v>105801</v>
      </c>
      <c r="F749" s="273">
        <f>ROUND(R63,0)</f>
        <v>669081</v>
      </c>
      <c r="G749" s="273">
        <f>ROUND(R64,0)</f>
        <v>145629</v>
      </c>
      <c r="H749" s="273">
        <f>ROUND(R65,0)</f>
        <v>0</v>
      </c>
      <c r="I749" s="273">
        <f>ROUND(R66,0)</f>
        <v>6432</v>
      </c>
      <c r="J749" s="273">
        <f>ROUND(R67,0)</f>
        <v>0</v>
      </c>
      <c r="K749" s="273">
        <f>ROUND(R68,0)</f>
        <v>76336</v>
      </c>
      <c r="L749" s="273">
        <f>ROUND(R69,0)</f>
        <v>8000</v>
      </c>
      <c r="M749" s="273">
        <f>ROUND(R70,0)</f>
        <v>0</v>
      </c>
      <c r="N749" s="273">
        <f>ROUND(R75,0)</f>
        <v>3481398</v>
      </c>
      <c r="O749" s="273">
        <f>ROUND(R73,0)</f>
        <v>1572162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 t="e">
        <f t="shared" si="23"/>
        <v>#DIV/0!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>
      <c r="A750" s="209" t="e">
        <f>RIGHT($C$83,3)&amp;"*"&amp;RIGHT($C$82,4)&amp;"*"&amp;S$55&amp;"*"&amp;"A"</f>
        <v>#VALUE!</v>
      </c>
      <c r="B750" s="273"/>
      <c r="C750" s="275">
        <f>ROUND(S60,2)</f>
        <v>10.210000000000001</v>
      </c>
      <c r="D750" s="273">
        <f>ROUND(S61,0)</f>
        <v>715230</v>
      </c>
      <c r="E750" s="273">
        <f>ROUND(S62,0)</f>
        <v>100911</v>
      </c>
      <c r="F750" s="273">
        <f>ROUND(S63,0)</f>
        <v>477029</v>
      </c>
      <c r="G750" s="273">
        <f>ROUND(S64,0)</f>
        <v>1695042</v>
      </c>
      <c r="H750" s="273">
        <f>ROUND(S65,0)</f>
        <v>0</v>
      </c>
      <c r="I750" s="273">
        <f>ROUND(S66,0)</f>
        <v>442219</v>
      </c>
      <c r="J750" s="273">
        <f>ROUND(S67,0)</f>
        <v>16384</v>
      </c>
      <c r="K750" s="273">
        <f>ROUND(S68,0)</f>
        <v>876119</v>
      </c>
      <c r="L750" s="273">
        <f>ROUND(S69,0)</f>
        <v>171185</v>
      </c>
      <c r="M750" s="273">
        <f>ROUND(S70,0)</f>
        <v>0</v>
      </c>
      <c r="N750" s="273">
        <f>ROUND(S75,0)</f>
        <v>47877457</v>
      </c>
      <c r="O750" s="273">
        <f>ROUND(S73,0)</f>
        <v>9865455</v>
      </c>
      <c r="P750" s="273">
        <f>IF(S76&gt;0,ROUND(S76,0),0)</f>
        <v>0</v>
      </c>
      <c r="Q750" s="273">
        <f>IF(S77&gt;0,ROUND(S77,0),0)</f>
        <v>0</v>
      </c>
      <c r="R750" s="273">
        <f>IF(S78&gt;0,ROUND(S78,0),0)</f>
        <v>0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 t="e">
        <f t="shared" si="23"/>
        <v>#DIV/0!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>
      <c r="A751" s="209" t="e">
        <f>RIGHT($C$83,3)&amp;"*"&amp;RIGHT($C$82,4)&amp;"*"&amp;T$55&amp;"*"&amp;"A"</f>
        <v>#VALUE!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3557551</v>
      </c>
      <c r="O751" s="273">
        <f>ROUND(T73,0)</f>
        <v>111101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 t="e">
        <f t="shared" si="23"/>
        <v>#DIV/0!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>
      <c r="A752" s="209" t="e">
        <f>RIGHT($C$83,3)&amp;"*"&amp;RIGHT($C$82,4)&amp;"*"&amp;U$55&amp;"*"&amp;"A"</f>
        <v>#VALUE!</v>
      </c>
      <c r="B752" s="273">
        <f>ROUND(U59,0)</f>
        <v>0</v>
      </c>
      <c r="C752" s="275">
        <f>ROUND(U60,2)</f>
        <v>15.93</v>
      </c>
      <c r="D752" s="273">
        <f>ROUND(U61,0)</f>
        <v>1126335</v>
      </c>
      <c r="E752" s="273">
        <f>ROUND(U62,0)</f>
        <v>199248</v>
      </c>
      <c r="F752" s="273">
        <f>ROUND(U63,0)</f>
        <v>7123</v>
      </c>
      <c r="G752" s="273">
        <f>ROUND(U64,0)</f>
        <v>1135386</v>
      </c>
      <c r="H752" s="273">
        <f>ROUND(U65,0)</f>
        <v>0</v>
      </c>
      <c r="I752" s="273">
        <f>ROUND(U66,0)</f>
        <v>453968</v>
      </c>
      <c r="J752" s="273">
        <f>ROUND(U67,0)</f>
        <v>87514</v>
      </c>
      <c r="K752" s="273">
        <f>ROUND(U68,0)</f>
        <v>124006</v>
      </c>
      <c r="L752" s="273">
        <f>ROUND(U69,0)</f>
        <v>46303</v>
      </c>
      <c r="M752" s="273">
        <f>ROUND(U70,0)</f>
        <v>19676</v>
      </c>
      <c r="N752" s="273">
        <f>ROUND(U75,0)</f>
        <v>20030309</v>
      </c>
      <c r="O752" s="273">
        <f>ROUND(U73,0)</f>
        <v>70963</v>
      </c>
      <c r="P752" s="273">
        <f>IF(U76&gt;0,ROUND(U76,0),0)</f>
        <v>0</v>
      </c>
      <c r="Q752" s="273">
        <f>IF(U77&gt;0,ROUND(U77,0),0)</f>
        <v>0</v>
      </c>
      <c r="R752" s="273">
        <f>IF(U78&gt;0,ROUND(U78,0),0)</f>
        <v>0</v>
      </c>
      <c r="S752" s="273">
        <f>IF(P79&gt;0,ROUND(P79,0),0)</f>
        <v>81551</v>
      </c>
      <c r="T752" s="275">
        <f>IF(U80&gt;0,ROUND(U80,2),0)</f>
        <v>0</v>
      </c>
      <c r="U752" s="273"/>
      <c r="V752" s="274"/>
      <c r="W752" s="273"/>
      <c r="X752" s="273"/>
      <c r="Y752" s="273" t="e">
        <f t="shared" si="23"/>
        <v>#DIV/0!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>
      <c r="A753" s="209" t="e">
        <f>RIGHT($C$83,3)&amp;"*"&amp;RIGHT($C$82,4)&amp;"*"&amp;V$55&amp;"*"&amp;"A"</f>
        <v>#VALUE!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669025</v>
      </c>
      <c r="O753" s="273">
        <f>ROUND(V73,0)</f>
        <v>401084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 t="e">
        <f t="shared" si="23"/>
        <v>#DIV/0!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>
      <c r="A754" s="209" t="e">
        <f>RIGHT($C$83,3)&amp;"*"&amp;RIGHT($C$82,4)&amp;"*"&amp;W$55&amp;"*"&amp;"A"</f>
        <v>#VALUE!</v>
      </c>
      <c r="B754" s="273">
        <f>ROUND(W59,0)</f>
        <v>0</v>
      </c>
      <c r="C754" s="275">
        <f>ROUND(W60,2)</f>
        <v>1.1599999999999999</v>
      </c>
      <c r="D754" s="273">
        <f>ROUND(W61,0)</f>
        <v>139822</v>
      </c>
      <c r="E754" s="273">
        <f>ROUND(W62,0)</f>
        <v>17129</v>
      </c>
      <c r="F754" s="273">
        <f>ROUND(W63,0)</f>
        <v>0</v>
      </c>
      <c r="G754" s="273">
        <f>ROUND(W64,0)</f>
        <v>3531</v>
      </c>
      <c r="H754" s="273">
        <f>ROUND(W65,0)</f>
        <v>0</v>
      </c>
      <c r="I754" s="273">
        <f>ROUND(W66,0)</f>
        <v>79152</v>
      </c>
      <c r="J754" s="273">
        <f>ROUND(W67,0)</f>
        <v>0</v>
      </c>
      <c r="K754" s="273">
        <f>ROUND(W68,0)</f>
        <v>0</v>
      </c>
      <c r="L754" s="273">
        <f>ROUND(W69,0)</f>
        <v>319</v>
      </c>
      <c r="M754" s="273">
        <f>ROUND(W70,0)</f>
        <v>0</v>
      </c>
      <c r="N754" s="273">
        <f>ROUND(W75,0)</f>
        <v>303650</v>
      </c>
      <c r="O754" s="273">
        <f>ROUND(W73,0)</f>
        <v>128392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4205</v>
      </c>
      <c r="T754" s="275">
        <f>IF(W80&gt;0,ROUND(W80,2),0)</f>
        <v>0</v>
      </c>
      <c r="U754" s="273"/>
      <c r="V754" s="274"/>
      <c r="W754" s="273"/>
      <c r="X754" s="273"/>
      <c r="Y754" s="273" t="e">
        <f t="shared" si="23"/>
        <v>#DIV/0!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>
      <c r="A755" s="209" t="e">
        <f>RIGHT($C$83,3)&amp;"*"&amp;RIGHT($C$82,4)&amp;"*"&amp;X$55&amp;"*"&amp;"A"</f>
        <v>#VALUE!</v>
      </c>
      <c r="B755" s="273">
        <f>ROUND(X59,0)</f>
        <v>0</v>
      </c>
      <c r="C755" s="275">
        <f>ROUND(X60,2)</f>
        <v>2.44</v>
      </c>
      <c r="D755" s="273">
        <f>ROUND(X61,0)</f>
        <v>237783</v>
      </c>
      <c r="E755" s="273">
        <f>ROUND(X62,0)</f>
        <v>34130</v>
      </c>
      <c r="F755" s="273">
        <f>ROUND(X63,0)</f>
        <v>0</v>
      </c>
      <c r="G755" s="273">
        <f>ROUND(X64,0)</f>
        <v>45841</v>
      </c>
      <c r="H755" s="273">
        <f>ROUND(X65,0)</f>
        <v>0</v>
      </c>
      <c r="I755" s="273">
        <f>ROUND(X66,0)</f>
        <v>55065</v>
      </c>
      <c r="J755" s="273">
        <f>ROUND(X67,0)</f>
        <v>110327</v>
      </c>
      <c r="K755" s="273">
        <f>ROUND(X68,0)</f>
        <v>0</v>
      </c>
      <c r="L755" s="273">
        <f>ROUND(X69,0)</f>
        <v>0</v>
      </c>
      <c r="M755" s="273">
        <f>ROUND(X70,0)</f>
        <v>0</v>
      </c>
      <c r="N755" s="273">
        <f>ROUND(X75,0)</f>
        <v>10996668</v>
      </c>
      <c r="O755" s="273">
        <f>ROUND(X73,0)</f>
        <v>1415557</v>
      </c>
      <c r="P755" s="273">
        <f>IF(X76&gt;0,ROUND(X76,0),0)</f>
        <v>0</v>
      </c>
      <c r="Q755" s="273">
        <f>IF(X77&gt;0,ROUND(X77,0),0)</f>
        <v>0</v>
      </c>
      <c r="R755" s="273">
        <f>IF(X78&gt;0,ROUND(X78,0),0)</f>
        <v>0</v>
      </c>
      <c r="S755" s="273">
        <f>IF(X79&gt;0,ROUND(X79,0),0)</f>
        <v>6317</v>
      </c>
      <c r="T755" s="275">
        <f>IF(X80&gt;0,ROUND(X80,2),0)</f>
        <v>0</v>
      </c>
      <c r="U755" s="273"/>
      <c r="V755" s="274"/>
      <c r="W755" s="273"/>
      <c r="X755" s="273"/>
      <c r="Y755" s="273" t="e">
        <f t="shared" si="23"/>
        <v>#DIV/0!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>
      <c r="A756" s="209" t="e">
        <f>RIGHT($C$83,3)&amp;"*"&amp;RIGHT($C$82,4)&amp;"*"&amp;Y$55&amp;"*"&amp;"A"</f>
        <v>#VALUE!</v>
      </c>
      <c r="B756" s="273">
        <f>ROUND(Y59,0)</f>
        <v>0</v>
      </c>
      <c r="C756" s="275">
        <f>ROUND(Y60,2)</f>
        <v>23.3</v>
      </c>
      <c r="D756" s="273">
        <f>ROUND(Y61,0)</f>
        <v>2888953</v>
      </c>
      <c r="E756" s="273">
        <f>ROUND(Y62,0)</f>
        <v>280835</v>
      </c>
      <c r="F756" s="273">
        <f>ROUND(Y63,0)</f>
        <v>436542</v>
      </c>
      <c r="G756" s="273">
        <f>ROUND(Y64,0)</f>
        <v>290538</v>
      </c>
      <c r="H756" s="273">
        <f>ROUND(Y65,0)</f>
        <v>0</v>
      </c>
      <c r="I756" s="273">
        <f>ROUND(Y66,0)</f>
        <v>343803</v>
      </c>
      <c r="J756" s="273">
        <f>ROUND(Y67,0)</f>
        <v>0</v>
      </c>
      <c r="K756" s="273">
        <f>ROUND(Y68,0)</f>
        <v>78536</v>
      </c>
      <c r="L756" s="273">
        <f>ROUND(Y69,0)</f>
        <v>89503</v>
      </c>
      <c r="M756" s="273">
        <f>ROUND(Y70,0)</f>
        <v>12367</v>
      </c>
      <c r="N756" s="273">
        <f>ROUND(Y75,0)</f>
        <v>0</v>
      </c>
      <c r="O756" s="273">
        <f>ROUND(Y73,0)</f>
        <v>0</v>
      </c>
      <c r="P756" s="273">
        <f>IF(Y76&gt;0,ROUND(Y76,0),0)</f>
        <v>0</v>
      </c>
      <c r="Q756" s="273">
        <f>IF(Y77&gt;0,ROUND(Y77,0),0)</f>
        <v>0</v>
      </c>
      <c r="R756" s="273">
        <f>IF(Y78&gt;0,ROUND(Y78,0),0)</f>
        <v>0</v>
      </c>
      <c r="S756" s="273">
        <f>IF(Y79&gt;0,ROUND(Y79,0),0)</f>
        <v>37031</v>
      </c>
      <c r="T756" s="275">
        <f>IF(Y80&gt;0,ROUND(Y80,2),0)</f>
        <v>0</v>
      </c>
      <c r="U756" s="273"/>
      <c r="V756" s="274"/>
      <c r="W756" s="273"/>
      <c r="X756" s="273"/>
      <c r="Y756" s="273" t="e">
        <f t="shared" si="23"/>
        <v>#DIV/0!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>
      <c r="A757" s="209" t="e">
        <f>RIGHT($C$83,3)&amp;"*"&amp;RIGHT($C$82,4)&amp;"*"&amp;Z$55&amp;"*"&amp;"A"</f>
        <v>#VALUE!</v>
      </c>
      <c r="B757" s="273">
        <f>ROUND(Z59,0)</f>
        <v>0</v>
      </c>
      <c r="C757" s="275">
        <f>ROUND(Z60,2)</f>
        <v>5.44</v>
      </c>
      <c r="D757" s="273">
        <f>ROUND(Z61,0)</f>
        <v>466765</v>
      </c>
      <c r="E757" s="273">
        <f>ROUND(Z62,0)</f>
        <v>74326</v>
      </c>
      <c r="F757" s="273">
        <f>ROUND(Z63,0)</f>
        <v>53101</v>
      </c>
      <c r="G757" s="273">
        <f>ROUND(Z64,0)</f>
        <v>222676</v>
      </c>
      <c r="H757" s="273">
        <f>ROUND(Z65,0)</f>
        <v>0</v>
      </c>
      <c r="I757" s="273">
        <f>ROUND(Z66,0)</f>
        <v>532789</v>
      </c>
      <c r="J757" s="273">
        <f>ROUND(Z67,0)</f>
        <v>0</v>
      </c>
      <c r="K757" s="273">
        <f>ROUND(Z68,0)</f>
        <v>0</v>
      </c>
      <c r="L757" s="273">
        <f>ROUND(Z69,0)</f>
        <v>18720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 t="e">
        <f t="shared" si="23"/>
        <v>#DIV/0!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>
      <c r="A758" s="209" t="e">
        <f>RIGHT($C$83,3)&amp;"*"&amp;RIGHT($C$82,4)&amp;"*"&amp;AA$55&amp;"*"&amp;"A"</f>
        <v>#VALUE!</v>
      </c>
      <c r="B758" s="273">
        <f>ROUND(AA59,0)</f>
        <v>0</v>
      </c>
      <c r="C758" s="275">
        <f>ROUND(AA60,2)</f>
        <v>1.62</v>
      </c>
      <c r="D758" s="273">
        <f>ROUND(AA61,0)</f>
        <v>161966</v>
      </c>
      <c r="E758" s="273">
        <f>ROUND(AA62,0)</f>
        <v>19172</v>
      </c>
      <c r="F758" s="273">
        <f>ROUND(AA63,0)</f>
        <v>8972</v>
      </c>
      <c r="G758" s="273">
        <f>ROUND(AA64,0)</f>
        <v>57320</v>
      </c>
      <c r="H758" s="273">
        <f>ROUND(AA65,0)</f>
        <v>0</v>
      </c>
      <c r="I758" s="273">
        <f>ROUND(AA66,0)</f>
        <v>329226</v>
      </c>
      <c r="J758" s="273">
        <f>ROUND(AA67,0)</f>
        <v>5538</v>
      </c>
      <c r="K758" s="273">
        <f>ROUND(AA68,0)</f>
        <v>0</v>
      </c>
      <c r="L758" s="273">
        <f>ROUND(AA69,0)</f>
        <v>738</v>
      </c>
      <c r="M758" s="273">
        <f>ROUND(AA70,0)</f>
        <v>0</v>
      </c>
      <c r="N758" s="273">
        <f>ROUND(AA75,0)</f>
        <v>0</v>
      </c>
      <c r="O758" s="273">
        <f>ROUND(AA73,0)</f>
        <v>0</v>
      </c>
      <c r="P758" s="273">
        <f>IF(AA76&gt;0,ROUND(AA76,0),0)</f>
        <v>0</v>
      </c>
      <c r="Q758" s="273">
        <f>IF(AA77&gt;0,ROUND(AA77,0),0)</f>
        <v>0</v>
      </c>
      <c r="R758" s="273">
        <f>IF(AA78&gt;0,ROUND(AA78,0),0)</f>
        <v>0</v>
      </c>
      <c r="S758" s="273">
        <f>IF(AA79&gt;0,ROUND(AA79,0),0)</f>
        <v>1244</v>
      </c>
      <c r="T758" s="275">
        <f>IF(AA80&gt;0,ROUND(AA80,2),0)</f>
        <v>0</v>
      </c>
      <c r="U758" s="273"/>
      <c r="V758" s="274"/>
      <c r="W758" s="273"/>
      <c r="X758" s="273"/>
      <c r="Y758" s="273" t="e">
        <f t="shared" si="23"/>
        <v>#DIV/0!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>
      <c r="A759" s="209" t="e">
        <f>RIGHT($C$83,3)&amp;"*"&amp;RIGHT($C$82,4)&amp;"*"&amp;AB$55&amp;"*"&amp;"A"</f>
        <v>#VALUE!</v>
      </c>
      <c r="B759" s="273"/>
      <c r="C759" s="275">
        <f>ROUND(AB60,2)</f>
        <v>9.4</v>
      </c>
      <c r="D759" s="273">
        <f>ROUND(AB61,0)</f>
        <v>1059167</v>
      </c>
      <c r="E759" s="273">
        <f>ROUND(AB62,0)</f>
        <v>132034</v>
      </c>
      <c r="F759" s="273">
        <f>ROUND(AB63,0)</f>
        <v>0</v>
      </c>
      <c r="G759" s="273">
        <f>ROUND(AB64,0)</f>
        <v>1811538</v>
      </c>
      <c r="H759" s="273">
        <f>ROUND(AB65,0)</f>
        <v>0</v>
      </c>
      <c r="I759" s="273">
        <f>ROUND(AB66,0)</f>
        <v>34651</v>
      </c>
      <c r="J759" s="273">
        <f>ROUND(AB67,0)</f>
        <v>0</v>
      </c>
      <c r="K759" s="273">
        <f>ROUND(AB68,0)</f>
        <v>101420</v>
      </c>
      <c r="L759" s="273">
        <f>ROUND(AB69,0)</f>
        <v>17955</v>
      </c>
      <c r="M759" s="273">
        <f>ROUND(AB70,0)</f>
        <v>43960</v>
      </c>
      <c r="N759" s="273">
        <f>ROUND(AB75,0)</f>
        <v>0</v>
      </c>
      <c r="O759" s="273">
        <f>ROUND(AB73,0)</f>
        <v>0</v>
      </c>
      <c r="P759" s="273">
        <f>IF(AB76&gt;0,ROUND(AB76,0),0)</f>
        <v>0</v>
      </c>
      <c r="Q759" s="273">
        <f>IF(AB77&gt;0,ROUND(AB77,0),0)</f>
        <v>0</v>
      </c>
      <c r="R759" s="273">
        <f>IF(AB78&gt;0,ROUND(AB78,0),0)</f>
        <v>0</v>
      </c>
      <c r="S759" s="273">
        <f>IF(AB79&gt;0,ROUND(AB79,0),0)</f>
        <v>11406</v>
      </c>
      <c r="T759" s="275">
        <f>IF(AB80&gt;0,ROUND(AB80,2),0)</f>
        <v>0</v>
      </c>
      <c r="U759" s="273"/>
      <c r="V759" s="274"/>
      <c r="W759" s="273"/>
      <c r="X759" s="273"/>
      <c r="Y759" s="273" t="e">
        <f t="shared" si="23"/>
        <v>#DIV/0!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>
      <c r="A760" s="209" t="e">
        <f>RIGHT($C$83,3)&amp;"*"&amp;RIGHT($C$82,4)&amp;"*"&amp;AC$55&amp;"*"&amp;"A"</f>
        <v>#VALUE!</v>
      </c>
      <c r="B760" s="273">
        <f>ROUND(AC59,0)</f>
        <v>0</v>
      </c>
      <c r="C760" s="275">
        <f>ROUND(AC60,2)</f>
        <v>8.16</v>
      </c>
      <c r="D760" s="273">
        <f>ROUND(AC61,0)</f>
        <v>854615</v>
      </c>
      <c r="E760" s="273">
        <f>ROUND(AC62,0)</f>
        <v>107032</v>
      </c>
      <c r="F760" s="273">
        <f>ROUND(AC63,0)</f>
        <v>21909</v>
      </c>
      <c r="G760" s="273">
        <f>ROUND(AC64,0)</f>
        <v>201651</v>
      </c>
      <c r="H760" s="273">
        <f>ROUND(AC65,0)</f>
        <v>0</v>
      </c>
      <c r="I760" s="273">
        <f>ROUND(AC66,0)</f>
        <v>37381</v>
      </c>
      <c r="J760" s="273">
        <f>ROUND(AC67,0)</f>
        <v>0</v>
      </c>
      <c r="K760" s="273">
        <f>ROUND(AC68,0)</f>
        <v>83517</v>
      </c>
      <c r="L760" s="273">
        <f>ROUND(AC69,0)</f>
        <v>10271</v>
      </c>
      <c r="M760" s="273">
        <f>ROUND(AC70,0)</f>
        <v>9789</v>
      </c>
      <c r="N760" s="273">
        <f>ROUND(AC75,0)</f>
        <v>0</v>
      </c>
      <c r="O760" s="273">
        <f>ROUND(AC73,0)</f>
        <v>0</v>
      </c>
      <c r="P760" s="273">
        <f>IF(AC76&gt;0,ROUND(AC76,0),0)</f>
        <v>0</v>
      </c>
      <c r="Q760" s="273">
        <f>IF(AC77&gt;0,ROUND(AC77,0),0)</f>
        <v>0</v>
      </c>
      <c r="R760" s="273">
        <f>IF(AC78&gt;0,ROUND(AC78,0),0)</f>
        <v>0</v>
      </c>
      <c r="S760" s="273">
        <f>IF(AC79&gt;0,ROUND(AC79,0),0)</f>
        <v>2554</v>
      </c>
      <c r="T760" s="275">
        <f>IF(AC80&gt;0,ROUND(AC80,2),0)</f>
        <v>0</v>
      </c>
      <c r="U760" s="273"/>
      <c r="V760" s="274"/>
      <c r="W760" s="273"/>
      <c r="X760" s="273"/>
      <c r="Y760" s="273" t="e">
        <f t="shared" si="23"/>
        <v>#DIV/0!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>
      <c r="A761" s="209" t="e">
        <f>RIGHT($C$83,3)&amp;"*"&amp;RIGHT($C$82,4)&amp;"*"&amp;AD$55&amp;"*"&amp;"A"</f>
        <v>#VALUE!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8330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 t="e">
        <f t="shared" si="23"/>
        <v>#DIV/0!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>
      <c r="A762" s="209" t="e">
        <f>RIGHT($C$83,3)&amp;"*"&amp;RIGHT($C$82,4)&amp;"*"&amp;AE$55&amp;"*"&amp;"A"</f>
        <v>#VALUE!</v>
      </c>
      <c r="B762" s="273">
        <f>ROUND(AE59,0)</f>
        <v>0</v>
      </c>
      <c r="C762" s="275">
        <f>ROUND(AE60,2)</f>
        <v>6.93</v>
      </c>
      <c r="D762" s="273">
        <f>ROUND(AE61,0)</f>
        <v>541074</v>
      </c>
      <c r="E762" s="273">
        <f>ROUND(AE62,0)</f>
        <v>89881</v>
      </c>
      <c r="F762" s="273">
        <f>ROUND(AE63,0)</f>
        <v>0</v>
      </c>
      <c r="G762" s="273">
        <f>ROUND(AE64,0)</f>
        <v>19013</v>
      </c>
      <c r="H762" s="273">
        <f>ROUND(AE65,0)</f>
        <v>1763</v>
      </c>
      <c r="I762" s="273">
        <f>ROUND(AE66,0)</f>
        <v>7740</v>
      </c>
      <c r="J762" s="273">
        <f>ROUND(AE67,0)</f>
        <v>0</v>
      </c>
      <c r="K762" s="273">
        <f>ROUND(AE68,0)</f>
        <v>651</v>
      </c>
      <c r="L762" s="273">
        <f>ROUND(AE69,0)</f>
        <v>29611</v>
      </c>
      <c r="M762" s="273">
        <f>ROUND(AE70,0)</f>
        <v>10269</v>
      </c>
      <c r="N762" s="273">
        <f>ROUND(AE75,0)</f>
        <v>0</v>
      </c>
      <c r="O762" s="273">
        <f>ROUND(AE73,0)</f>
        <v>0</v>
      </c>
      <c r="P762" s="273">
        <f>IF(AE76&gt;0,ROUND(AE76,0),0)</f>
        <v>0</v>
      </c>
      <c r="Q762" s="273">
        <f>IF(AE77&gt;0,ROUND(AE77,0),0)</f>
        <v>0</v>
      </c>
      <c r="R762" s="273">
        <f>IF(AE78&gt;0,ROUND(AE78,0),0)</f>
        <v>0</v>
      </c>
      <c r="S762" s="273">
        <f>IF(AE79&gt;0,ROUND(AE79,0),0)</f>
        <v>5534</v>
      </c>
      <c r="T762" s="275">
        <f>IF(AE80&gt;0,ROUND(AE80,2),0)</f>
        <v>0</v>
      </c>
      <c r="U762" s="273"/>
      <c r="V762" s="274"/>
      <c r="W762" s="273"/>
      <c r="X762" s="273"/>
      <c r="Y762" s="273" t="e">
        <f t="shared" si="23"/>
        <v>#DIV/0!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>
      <c r="A763" s="209" t="e">
        <f>RIGHT($C$83,3)&amp;"*"&amp;RIGHT($C$82,4)&amp;"*"&amp;AF$55&amp;"*"&amp;"A"</f>
        <v>#VALUE!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 t="e">
        <f t="shared" si="23"/>
        <v>#DIV/0!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>
      <c r="A764" s="209" t="e">
        <f>RIGHT($C$83,3)&amp;"*"&amp;RIGHT($C$82,4)&amp;"*"&amp;AG$55&amp;"*"&amp;"A"</f>
        <v>#VALUE!</v>
      </c>
      <c r="B764" s="273">
        <f>ROUND(AG59,0)</f>
        <v>0</v>
      </c>
      <c r="C764" s="275">
        <f>ROUND(AG60,2)</f>
        <v>20.100000000000001</v>
      </c>
      <c r="D764" s="273">
        <f>ROUND(AG61,0)</f>
        <v>3037691</v>
      </c>
      <c r="E764" s="273">
        <f>ROUND(AG62,0)</f>
        <v>314649</v>
      </c>
      <c r="F764" s="273">
        <f>ROUND(AG63,0)</f>
        <v>216320</v>
      </c>
      <c r="G764" s="273">
        <f>ROUND(AG64,0)</f>
        <v>317780</v>
      </c>
      <c r="H764" s="273">
        <f>ROUND(AG65,0)</f>
        <v>0</v>
      </c>
      <c r="I764" s="273">
        <f>ROUND(AG66,0)</f>
        <v>260765</v>
      </c>
      <c r="J764" s="273">
        <f>ROUND(AG67,0)</f>
        <v>10710</v>
      </c>
      <c r="K764" s="273">
        <f>ROUND(AG68,0)</f>
        <v>0</v>
      </c>
      <c r="L764" s="273">
        <f>ROUND(AG69,0)</f>
        <v>185747</v>
      </c>
      <c r="M764" s="273">
        <f>ROUND(AG70,0)</f>
        <v>-13220</v>
      </c>
      <c r="N764" s="273">
        <f>ROUND(AG75,0)</f>
        <v>0</v>
      </c>
      <c r="O764" s="273">
        <f>ROUND(AG73,0)</f>
        <v>0</v>
      </c>
      <c r="P764" s="273">
        <f>IF(AG76&gt;0,ROUND(AG76,0),0)</f>
        <v>0</v>
      </c>
      <c r="Q764" s="273">
        <f>IF(AG77&gt;0,ROUND(AG77,0),0)</f>
        <v>0</v>
      </c>
      <c r="R764" s="273">
        <f>IF(AG78&gt;0,ROUND(AG78,0),0)</f>
        <v>0</v>
      </c>
      <c r="S764" s="273">
        <f>IF(AG79&gt;0,ROUND(AG79,0),0)</f>
        <v>46823</v>
      </c>
      <c r="T764" s="275">
        <f>IF(AG80&gt;0,ROUND(AG80,2),0)</f>
        <v>0</v>
      </c>
      <c r="U764" s="273"/>
      <c r="V764" s="274"/>
      <c r="W764" s="273"/>
      <c r="X764" s="273"/>
      <c r="Y764" s="273" t="e">
        <f t="shared" si="23"/>
        <v>#DIV/0!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>
      <c r="A765" s="209" t="e">
        <f>RIGHT($C$83,3)&amp;"*"&amp;RIGHT($C$82,4)&amp;"*"&amp;AH$55&amp;"*"&amp;"A"</f>
        <v>#VALUE!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 t="e">
        <f t="shared" si="23"/>
        <v>#DIV/0!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>
      <c r="A766" s="209" t="e">
        <f>RIGHT($C$83,3)&amp;"*"&amp;RIGHT($C$82,4)&amp;"*"&amp;AI$55&amp;"*"&amp;"A"</f>
        <v>#VALUE!</v>
      </c>
      <c r="B766" s="273">
        <f>ROUND(AI59,0)</f>
        <v>0</v>
      </c>
      <c r="C766" s="275">
        <f>ROUND(AI60,2)</f>
        <v>12.75</v>
      </c>
      <c r="D766" s="273">
        <f>ROUND(AI61,0)</f>
        <v>1473646</v>
      </c>
      <c r="E766" s="273">
        <f>ROUND(AI62,0)</f>
        <v>180985</v>
      </c>
      <c r="F766" s="273">
        <f>ROUND(AI63,0)</f>
        <v>0</v>
      </c>
      <c r="G766" s="273">
        <f>ROUND(AI64,0)</f>
        <v>240094</v>
      </c>
      <c r="H766" s="273">
        <f>ROUND(AI65,0)</f>
        <v>0</v>
      </c>
      <c r="I766" s="273">
        <f>ROUND(AI66,0)</f>
        <v>8905</v>
      </c>
      <c r="J766" s="273">
        <f>ROUND(AI67,0)</f>
        <v>0</v>
      </c>
      <c r="K766" s="273">
        <f>ROUND(AI68,0)</f>
        <v>0</v>
      </c>
      <c r="L766" s="273">
        <f>ROUND(AI69,0)</f>
        <v>33303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33224</v>
      </c>
      <c r="T766" s="275">
        <f>IF(AI80&gt;0,ROUND(AI80,2),0)</f>
        <v>0</v>
      </c>
      <c r="U766" s="273"/>
      <c r="V766" s="274"/>
      <c r="W766" s="273"/>
      <c r="X766" s="273"/>
      <c r="Y766" s="273" t="e">
        <f t="shared" si="23"/>
        <v>#DIV/0!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>
      <c r="A767" s="209" t="e">
        <f>RIGHT($C$83,3)&amp;"*"&amp;RIGHT($C$82,4)&amp;"*"&amp;AJ$55&amp;"*"&amp;"A"</f>
        <v>#VALUE!</v>
      </c>
      <c r="B767" s="273">
        <f>ROUND(AJ59,0)</f>
        <v>0</v>
      </c>
      <c r="C767" s="275">
        <f>ROUND(AJ60,2)</f>
        <v>2.2999999999999998</v>
      </c>
      <c r="D767" s="273">
        <f>ROUND(AJ61,0)</f>
        <v>208732</v>
      </c>
      <c r="E767" s="273">
        <f>ROUND(AJ62,0)</f>
        <v>32345</v>
      </c>
      <c r="F767" s="273">
        <f>ROUND(AJ63,0)</f>
        <v>0</v>
      </c>
      <c r="G767" s="273">
        <f>ROUND(AJ64,0)</f>
        <v>20923</v>
      </c>
      <c r="H767" s="273">
        <f>ROUND(AJ65,0)</f>
        <v>3217</v>
      </c>
      <c r="I767" s="273">
        <f>ROUND(AJ66,0)</f>
        <v>164815</v>
      </c>
      <c r="J767" s="273">
        <f>ROUND(AJ67,0)</f>
        <v>2553468</v>
      </c>
      <c r="K767" s="273">
        <f>ROUND(AJ68,0)</f>
        <v>1485</v>
      </c>
      <c r="L767" s="273">
        <f>ROUND(AJ69,0)</f>
        <v>0</v>
      </c>
      <c r="M767" s="273">
        <f>ROUND(AJ70,0)</f>
        <v>0</v>
      </c>
      <c r="N767" s="273">
        <f>ROUND(AJ75,0)</f>
        <v>0</v>
      </c>
      <c r="O767" s="273">
        <f>ROUND(AJ73,0)</f>
        <v>0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0</v>
      </c>
      <c r="U767" s="273"/>
      <c r="V767" s="274"/>
      <c r="W767" s="273"/>
      <c r="X767" s="273"/>
      <c r="Y767" s="273" t="e">
        <f t="shared" si="23"/>
        <v>#DIV/0!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>
      <c r="A768" s="209" t="e">
        <f>RIGHT($C$83,3)&amp;"*"&amp;RIGHT($C$82,4)&amp;"*"&amp;AK$55&amp;"*"&amp;"A"</f>
        <v>#VALUE!</v>
      </c>
      <c r="B768" s="273">
        <f>ROUND(AK59,0)</f>
        <v>0</v>
      </c>
      <c r="C768" s="275">
        <f>ROUND(AK60,2)</f>
        <v>0.63</v>
      </c>
      <c r="D768" s="273">
        <f>ROUND(AK61,0)</f>
        <v>79519</v>
      </c>
      <c r="E768" s="273">
        <f>ROUND(AK62,0)</f>
        <v>10847</v>
      </c>
      <c r="F768" s="273">
        <f>ROUND(AK63,0)</f>
        <v>0</v>
      </c>
      <c r="G768" s="273">
        <f>ROUND(AK64,0)</f>
        <v>72</v>
      </c>
      <c r="H768" s="273">
        <f>ROUND(AK65,0)</f>
        <v>73</v>
      </c>
      <c r="I768" s="273">
        <f>ROUND(AK66,0)</f>
        <v>3</v>
      </c>
      <c r="J768" s="273">
        <f>ROUND(AK67,0)</f>
        <v>0</v>
      </c>
      <c r="K768" s="273">
        <f>ROUND(AK68,0)</f>
        <v>0</v>
      </c>
      <c r="L768" s="273">
        <f>ROUND(AK69,0)</f>
        <v>352</v>
      </c>
      <c r="M768" s="273">
        <f>ROUND(AK70,0)</f>
        <v>0</v>
      </c>
      <c r="N768" s="273">
        <f>ROUND(AK75,0)</f>
        <v>0</v>
      </c>
      <c r="O768" s="273">
        <f>ROUND(AK73,0)</f>
        <v>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 t="e">
        <f t="shared" si="23"/>
        <v>#DIV/0!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>
      <c r="A769" s="209" t="e">
        <f>RIGHT($C$83,3)&amp;"*"&amp;RIGHT($C$82,4)&amp;"*"&amp;AL$55&amp;"*"&amp;"A"</f>
        <v>#VALUE!</v>
      </c>
      <c r="B769" s="273">
        <f>ROUND(AL59,0)</f>
        <v>0</v>
      </c>
      <c r="C769" s="275">
        <f>ROUND(AL60,2)</f>
        <v>0</v>
      </c>
      <c r="D769" s="273">
        <f>ROUND(AL61,0)</f>
        <v>50145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 t="e">
        <f t="shared" si="23"/>
        <v>#DIV/0!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>
      <c r="A770" s="209" t="e">
        <f>RIGHT($C$83,3)&amp;"*"&amp;RIGHT($C$82,4)&amp;"*"&amp;AM$55&amp;"*"&amp;"A"</f>
        <v>#VALUE!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20669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 t="e">
        <f t="shared" si="23"/>
        <v>#DIV/0!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>
      <c r="A771" s="209" t="e">
        <f>RIGHT($C$83,3)&amp;"*"&amp;RIGHT($C$82,4)&amp;"*"&amp;AN$55&amp;"*"&amp;"A"</f>
        <v>#VALUE!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1217444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 t="e">
        <f t="shared" si="23"/>
        <v>#DIV/0!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>
      <c r="A772" s="209" t="e">
        <f>RIGHT($C$83,3)&amp;"*"&amp;RIGHT($C$82,4)&amp;"*"&amp;AO$55&amp;"*"&amp;"A"</f>
        <v>#VALUE!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 t="e">
        <f t="shared" si="23"/>
        <v>#DIV/0!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>
      <c r="A773" s="209" t="e">
        <f>RIGHT($C$83,3)&amp;"*"&amp;RIGHT($C$82,4)&amp;"*"&amp;AP$55&amp;"*"&amp;"A"</f>
        <v>#VALUE!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 t="e">
        <f t="shared" si="23"/>
        <v>#DIV/0!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>
      <c r="A774" s="209" t="e">
        <f>RIGHT($C$83,3)&amp;"*"&amp;RIGHT($C$82,4)&amp;"*"&amp;AQ$55&amp;"*"&amp;"A"</f>
        <v>#VALUE!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 t="e">
        <f t="shared" si="23"/>
        <v>#DIV/0!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>
      <c r="A775" s="209" t="e">
        <f>RIGHT($C$83,3)&amp;"*"&amp;RIGHT($C$82,4)&amp;"*"&amp;AR$55&amp;"*"&amp;"A"</f>
        <v>#VALUE!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 t="e">
        <f t="shared" si="23"/>
        <v>#DIV/0!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>
      <c r="A776" s="209" t="e">
        <f>RIGHT($C$83,3)&amp;"*"&amp;RIGHT($C$82,4)&amp;"*"&amp;AS$55&amp;"*"&amp;"A"</f>
        <v>#VALUE!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 t="e">
        <f t="shared" si="23"/>
        <v>#DIV/0!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>
      <c r="A777" s="209" t="e">
        <f>RIGHT($C$83,3)&amp;"*"&amp;RIGHT($C$82,4)&amp;"*"&amp;AT$55&amp;"*"&amp;"A"</f>
        <v>#VALUE!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 t="e">
        <f t="shared" si="23"/>
        <v>#DIV/0!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>
      <c r="A778" s="209" t="e">
        <f>RIGHT($C$83,3)&amp;"*"&amp;RIGHT($C$82,4)&amp;"*"&amp;AU$55&amp;"*"&amp;"A"</f>
        <v>#VALUE!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 t="e">
        <f t="shared" si="23"/>
        <v>#DIV/0!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>
      <c r="A779" s="209" t="e">
        <f>RIGHT($C$83,3)&amp;"*"&amp;RIGHT($C$82,4)&amp;"*"&amp;AV$55&amp;"*"&amp;"A"</f>
        <v>#VALUE!</v>
      </c>
      <c r="B779" s="273"/>
      <c r="C779" s="275">
        <f>ROUND(AV60,2)</f>
        <v>13.7</v>
      </c>
      <c r="D779" s="273">
        <f>ROUND(AV61,0)</f>
        <v>1096311</v>
      </c>
      <c r="E779" s="273">
        <f>ROUND(AV62,0)</f>
        <v>175965</v>
      </c>
      <c r="F779" s="273">
        <f>ROUND(AV63,0)</f>
        <v>0</v>
      </c>
      <c r="G779" s="273">
        <f>ROUND(AV64,0)</f>
        <v>231612</v>
      </c>
      <c r="H779" s="273">
        <f>ROUND(AV65,0)</f>
        <v>0</v>
      </c>
      <c r="I779" s="273">
        <f>ROUND(AV66,0)</f>
        <v>615084</v>
      </c>
      <c r="J779" s="273">
        <f>ROUND(AV67,0)</f>
        <v>0</v>
      </c>
      <c r="K779" s="273">
        <f>ROUND(AV68,0)</f>
        <v>8514</v>
      </c>
      <c r="L779" s="273">
        <f>ROUND(AV69,0)</f>
        <v>9751</v>
      </c>
      <c r="M779" s="273">
        <f>ROUND(AV70,0)</f>
        <v>0</v>
      </c>
      <c r="N779" s="273">
        <f>ROUND(AV75,0)</f>
        <v>0</v>
      </c>
      <c r="O779" s="273">
        <f>ROUND(AV73,0)</f>
        <v>0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1367</v>
      </c>
      <c r="T779" s="275">
        <f>IF(AV80&gt;0,ROUND(AV80,2),0)</f>
        <v>0</v>
      </c>
      <c r="U779" s="273"/>
      <c r="V779" s="274"/>
      <c r="W779" s="273"/>
      <c r="X779" s="273"/>
      <c r="Y779" s="273" t="e">
        <f t="shared" si="23"/>
        <v>#DIV/0!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>
      <c r="A780" s="209" t="e">
        <f>RIGHT($C$83,3)&amp;"*"&amp;RIGHT($C$82,4)&amp;"*"&amp;AW$55&amp;"*"&amp;"A"</f>
        <v>#VALUE!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>
      <c r="A781" s="209" t="e">
        <f>RIGHT($C$83,3)&amp;"*"&amp;RIGHT($C$82,4)&amp;"*"&amp;AX$55&amp;"*"&amp;"A"</f>
        <v>#VALUE!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62357</v>
      </c>
      <c r="L781" s="273">
        <f>ROUND(AX69,0)</f>
        <v>13452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>
      <c r="A782" s="209" t="e">
        <f>RIGHT($C$83,3)&amp;"*"&amp;RIGHT($C$82,4)&amp;"*"&amp;AY$55&amp;"*"&amp;"A"</f>
        <v>#VALUE!</v>
      </c>
      <c r="B782" s="273">
        <f>ROUND(AY59,0)</f>
        <v>42236</v>
      </c>
      <c r="C782" s="275">
        <f>ROUND(AY60,2)</f>
        <v>16.420000000000002</v>
      </c>
      <c r="D782" s="273">
        <f>ROUND(AY61,0)</f>
        <v>718301</v>
      </c>
      <c r="E782" s="273">
        <f>ROUND(AY62,0)</f>
        <v>175642</v>
      </c>
      <c r="F782" s="273">
        <f>ROUND(AY63,0)</f>
        <v>0</v>
      </c>
      <c r="G782" s="273">
        <f>ROUND(AY64,0)</f>
        <v>424073</v>
      </c>
      <c r="H782" s="273">
        <f>ROUND(AY65,0)</f>
        <v>0</v>
      </c>
      <c r="I782" s="273">
        <f>ROUND(AY66,0)</f>
        <v>43540</v>
      </c>
      <c r="J782" s="273">
        <f>ROUND(AY67,0)</f>
        <v>0</v>
      </c>
      <c r="K782" s="273">
        <f>ROUND(AY68,0)</f>
        <v>0</v>
      </c>
      <c r="L782" s="273">
        <f>ROUND(AY69,0)</f>
        <v>4151</v>
      </c>
      <c r="M782" s="273">
        <f>ROUND(AY70,0)</f>
        <v>124439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>
      <c r="A783" s="209" t="e">
        <f>RIGHT($C$83,3)&amp;"*"&amp;RIGHT($C$82,4)&amp;"*"&amp;AZ$55&amp;"*"&amp;"A"</f>
        <v>#VALUE!</v>
      </c>
      <c r="B783" s="273">
        <f>ROUND(AZ59,0)</f>
        <v>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>
      <c r="A784" s="209" t="e">
        <f>RIGHT($C$83,3)&amp;"*"&amp;RIGHT($C$82,4)&amp;"*"&amp;BA$55&amp;"*"&amp;"A"</f>
        <v>#VALUE!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306209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>
      <c r="A785" s="209" t="e">
        <f>RIGHT($C$83,3)&amp;"*"&amp;RIGHT($C$82,4)&amp;"*"&amp;BB$55&amp;"*"&amp;"A"</f>
        <v>#VALUE!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>
      <c r="A786" s="209" t="e">
        <f>RIGHT($C$83,3)&amp;"*"&amp;RIGHT($C$82,4)&amp;"*"&amp;BC$55&amp;"*"&amp;"A"</f>
        <v>#VALUE!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>
      <c r="A787" s="209" t="e">
        <f>RIGHT($C$83,3)&amp;"*"&amp;RIGHT($C$82,4)&amp;"*"&amp;BD$55&amp;"*"&amp;"A"</f>
        <v>#VALUE!</v>
      </c>
      <c r="B787" s="273"/>
      <c r="C787" s="275">
        <f>ROUND(BD60,2)</f>
        <v>5.56</v>
      </c>
      <c r="D787" s="273">
        <f>ROUND(BD61,0)</f>
        <v>339138</v>
      </c>
      <c r="E787" s="273">
        <f>ROUND(BD62,0)</f>
        <v>65176</v>
      </c>
      <c r="F787" s="273">
        <f>ROUND(BD63,0)</f>
        <v>5280</v>
      </c>
      <c r="G787" s="273">
        <f>ROUND(BD64,0)</f>
        <v>2480104</v>
      </c>
      <c r="H787" s="273">
        <f>ROUND(BD65,0)</f>
        <v>0</v>
      </c>
      <c r="I787" s="273">
        <f>ROUND(BD66,0)</f>
        <v>155115</v>
      </c>
      <c r="J787" s="273">
        <f>ROUND(BD67,0)</f>
        <v>0</v>
      </c>
      <c r="K787" s="273">
        <f>ROUND(BD68,0)</f>
        <v>-473</v>
      </c>
      <c r="L787" s="273">
        <f>ROUND(BD69,0)</f>
        <v>29882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>
      <c r="A788" s="209" t="e">
        <f>RIGHT($C$83,3)&amp;"*"&amp;RIGHT($C$82,4)&amp;"*"&amp;BE$55&amp;"*"&amp;"A"</f>
        <v>#VALUE!</v>
      </c>
      <c r="B788" s="273">
        <f>ROUND(BE59,0)</f>
        <v>1</v>
      </c>
      <c r="C788" s="275">
        <f>ROUND(BE60,2)</f>
        <v>4.92</v>
      </c>
      <c r="D788" s="273">
        <f>ROUND(BE61,0)</f>
        <v>409133</v>
      </c>
      <c r="E788" s="273">
        <f>ROUND(BE62,0)</f>
        <v>65098</v>
      </c>
      <c r="F788" s="273">
        <f>ROUND(BE63,0)</f>
        <v>6544</v>
      </c>
      <c r="G788" s="273">
        <f>ROUND(BE64,0)</f>
        <v>41412</v>
      </c>
      <c r="H788" s="273">
        <f>ROUND(BE65,0)</f>
        <v>592451</v>
      </c>
      <c r="I788" s="273">
        <f>ROUND(BE66,0)</f>
        <v>1255555</v>
      </c>
      <c r="J788" s="273">
        <f>ROUND(BE67,0)</f>
        <v>0</v>
      </c>
      <c r="K788" s="273">
        <f>ROUND(BE68,0)</f>
        <v>2418</v>
      </c>
      <c r="L788" s="273">
        <f>ROUND(BE69,0)</f>
        <v>120169</v>
      </c>
      <c r="M788" s="273">
        <f>ROUND(BE70,0)</f>
        <v>0</v>
      </c>
      <c r="N788" s="273"/>
      <c r="O788" s="273"/>
      <c r="P788" s="273">
        <f>IF(BE76&gt;0,ROUND(BE76,0),0)</f>
        <v>0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>
      <c r="A789" s="209" t="e">
        <f>RIGHT($C$83,3)&amp;"*"&amp;RIGHT($C$82,4)&amp;"*"&amp;BF$55&amp;"*"&amp;"A"</f>
        <v>#VALUE!</v>
      </c>
      <c r="B789" s="273"/>
      <c r="C789" s="275">
        <f>ROUND(BF60,2)</f>
        <v>16.079999999999998</v>
      </c>
      <c r="D789" s="273">
        <f>ROUND(BF61,0)</f>
        <v>514612</v>
      </c>
      <c r="E789" s="273">
        <f>ROUND(BF62,0)</f>
        <v>155961</v>
      </c>
      <c r="F789" s="273">
        <f>ROUND(BF63,0)</f>
        <v>0</v>
      </c>
      <c r="G789" s="273">
        <f>ROUND(BF64,0)</f>
        <v>109461</v>
      </c>
      <c r="H789" s="273">
        <f>ROUND(BF65,0)</f>
        <v>0</v>
      </c>
      <c r="I789" s="273">
        <f>ROUND(BF66,0)</f>
        <v>177325</v>
      </c>
      <c r="J789" s="273">
        <f>ROUND(BF67,0)</f>
        <v>0</v>
      </c>
      <c r="K789" s="273">
        <f>ROUND(BF68,0)</f>
        <v>0</v>
      </c>
      <c r="L789" s="273">
        <f>ROUND(BF69,0)</f>
        <v>4941</v>
      </c>
      <c r="M789" s="273">
        <f>ROUND(BF70,0)</f>
        <v>160</v>
      </c>
      <c r="N789" s="273"/>
      <c r="O789" s="273"/>
      <c r="P789" s="273">
        <f>IF(BF76&gt;0,ROUND(BF76,0),0)</f>
        <v>0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>
      <c r="A790" s="209" t="e">
        <f>RIGHT($C$83,3)&amp;"*"&amp;RIGHT($C$82,4)&amp;"*"&amp;BG$55&amp;"*"&amp;"A"</f>
        <v>#VALUE!</v>
      </c>
      <c r="B790" s="273"/>
      <c r="C790" s="275">
        <f>ROUND(BG60,2)</f>
        <v>1.41</v>
      </c>
      <c r="D790" s="273">
        <f>ROUND(BG61,0)</f>
        <v>49820</v>
      </c>
      <c r="E790" s="273">
        <f>ROUND(BG62,0)</f>
        <v>15458</v>
      </c>
      <c r="F790" s="273">
        <f>ROUND(BG63,0)</f>
        <v>0</v>
      </c>
      <c r="G790" s="273">
        <f>ROUND(BG64,0)</f>
        <v>0</v>
      </c>
      <c r="H790" s="273">
        <f>ROUND(BG65,0)</f>
        <v>12240</v>
      </c>
      <c r="I790" s="273">
        <f>ROUND(BG66,0)</f>
        <v>0</v>
      </c>
      <c r="J790" s="273">
        <f>ROUND(BG67,0)</f>
        <v>0</v>
      </c>
      <c r="K790" s="273">
        <f>ROUND(BG68,0)</f>
        <v>0</v>
      </c>
      <c r="L790" s="273">
        <f>ROUND(BG69,0)</f>
        <v>110497</v>
      </c>
      <c r="M790" s="273">
        <f>ROUND(BG70,0)</f>
        <v>0</v>
      </c>
      <c r="N790" s="273"/>
      <c r="O790" s="273"/>
      <c r="P790" s="273">
        <f>IF(BG76&gt;0,ROUND(BG76,0),0)</f>
        <v>0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>
      <c r="A791" s="209" t="e">
        <f>RIGHT($C$83,3)&amp;"*"&amp;RIGHT($C$82,4)&amp;"*"&amp;BH$55&amp;"*"&amp;"A"</f>
        <v>#VALUE!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>
      <c r="A792" s="209" t="e">
        <f>RIGHT($C$83,3)&amp;"*"&amp;RIGHT($C$82,4)&amp;"*"&amp;BI$55&amp;"*"&amp;"A"</f>
        <v>#VALUE!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>
      <c r="A793" s="209" t="e">
        <f>RIGHT($C$83,3)&amp;"*"&amp;RIGHT($C$82,4)&amp;"*"&amp;BJ$55&amp;"*"&amp;"A"</f>
        <v>#VALUE!</v>
      </c>
      <c r="B793" s="273"/>
      <c r="C793" s="275">
        <f>ROUND(BJ60,2)</f>
        <v>2.09</v>
      </c>
      <c r="D793" s="273">
        <f>ROUND(BJ61,0)</f>
        <v>225122</v>
      </c>
      <c r="E793" s="273">
        <f>ROUND(BJ62,0)</f>
        <v>27335</v>
      </c>
      <c r="F793" s="273">
        <f>ROUND(BJ63,0)</f>
        <v>2756</v>
      </c>
      <c r="G793" s="273">
        <f>ROUND(BJ64,0)</f>
        <v>5902</v>
      </c>
      <c r="H793" s="273">
        <f>ROUND(BJ65,0)</f>
        <v>0</v>
      </c>
      <c r="I793" s="273">
        <f>ROUND(BJ66,0)</f>
        <v>264654</v>
      </c>
      <c r="J793" s="273">
        <f>ROUND(BJ67,0)</f>
        <v>0</v>
      </c>
      <c r="K793" s="273">
        <f>ROUND(BJ68,0)</f>
        <v>0</v>
      </c>
      <c r="L793" s="273">
        <f>ROUND(BJ69,0)</f>
        <v>112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>
      <c r="A794" s="209" t="e">
        <f>RIGHT($C$83,3)&amp;"*"&amp;RIGHT($C$82,4)&amp;"*"&amp;BK$55&amp;"*"&amp;"A"</f>
        <v>#VALUE!</v>
      </c>
      <c r="B794" s="273"/>
      <c r="C794" s="275">
        <f>ROUND(BK60,2)</f>
        <v>0</v>
      </c>
      <c r="D794" s="273">
        <f>ROUND(BK61,0)</f>
        <v>687</v>
      </c>
      <c r="E794" s="273">
        <f>ROUND(BK62,0)</f>
        <v>169</v>
      </c>
      <c r="F794" s="273">
        <f>ROUND(BK63,0)</f>
        <v>-172</v>
      </c>
      <c r="G794" s="273">
        <f>ROUND(BK64,0)</f>
        <v>6</v>
      </c>
      <c r="H794" s="273">
        <f>ROUND(BK65,0)</f>
        <v>0</v>
      </c>
      <c r="I794" s="273">
        <f>ROUND(BK66,0)</f>
        <v>1815242</v>
      </c>
      <c r="J794" s="273">
        <f>ROUND(BK67,0)</f>
        <v>0</v>
      </c>
      <c r="K794" s="273">
        <f>ROUND(BK68,0)</f>
        <v>0</v>
      </c>
      <c r="L794" s="273">
        <f>ROUND(BK69,0)</f>
        <v>8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>
      <c r="A795" s="209" t="e">
        <f>RIGHT($C$83,3)&amp;"*"&amp;RIGHT($C$82,4)&amp;"*"&amp;BL$55&amp;"*"&amp;"A"</f>
        <v>#VALUE!</v>
      </c>
      <c r="B795" s="273"/>
      <c r="C795" s="275">
        <f>ROUND(BL60,2)</f>
        <v>2.63</v>
      </c>
      <c r="D795" s="273">
        <f>ROUND(BL61,0)</f>
        <v>125399</v>
      </c>
      <c r="E795" s="273">
        <f>ROUND(BL62,0)</f>
        <v>28140</v>
      </c>
      <c r="F795" s="273">
        <f>ROUND(BL63,0)</f>
        <v>0</v>
      </c>
      <c r="G795" s="273">
        <f>ROUND(BL64,0)</f>
        <v>2960</v>
      </c>
      <c r="H795" s="273">
        <f>ROUND(BL65,0)</f>
        <v>0</v>
      </c>
      <c r="I795" s="273">
        <f>ROUND(BL66,0)</f>
        <v>0</v>
      </c>
      <c r="J795" s="273">
        <f>ROUND(BL67,0)</f>
        <v>0</v>
      </c>
      <c r="K795" s="273">
        <f>ROUND(BL68,0)</f>
        <v>0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0</v>
      </c>
      <c r="Q795" s="273">
        <f>IF(BL77&gt;0,ROUND(BL77,0),0)</f>
        <v>0</v>
      </c>
      <c r="R795" s="273">
        <f>IF(BL78&gt;0,ROUND(BL78,0),0)</f>
        <v>0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>
      <c r="A796" s="209" t="e">
        <f>RIGHT($C$83,3)&amp;"*"&amp;RIGHT($C$82,4)&amp;"*"&amp;BM$55&amp;"*"&amp;"A"</f>
        <v>#VALUE!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>
      <c r="A797" s="209" t="e">
        <f>RIGHT($C$83,3)&amp;"*"&amp;RIGHT($C$82,4)&amp;"*"&amp;BN$55&amp;"*"&amp;"A"</f>
        <v>#VALUE!</v>
      </c>
      <c r="B797" s="273"/>
      <c r="C797" s="275">
        <f>ROUND(BN60,2)</f>
        <v>2.97</v>
      </c>
      <c r="D797" s="273">
        <f>ROUND(BN61,0)</f>
        <v>738882</v>
      </c>
      <c r="E797" s="273">
        <f>ROUND(BN62,0)</f>
        <v>300700</v>
      </c>
      <c r="F797" s="273">
        <f>ROUND(BN63,0)</f>
        <v>323993</v>
      </c>
      <c r="G797" s="273">
        <f>ROUND(BN64,0)</f>
        <v>30738</v>
      </c>
      <c r="H797" s="273">
        <f>ROUND(BN65,0)</f>
        <v>0</v>
      </c>
      <c r="I797" s="273">
        <f>ROUND(BN66,0)</f>
        <v>1431712</v>
      </c>
      <c r="J797" s="273">
        <f>ROUND(BN67,0)</f>
        <v>0</v>
      </c>
      <c r="K797" s="273">
        <f>ROUND(BN68,0)</f>
        <v>0</v>
      </c>
      <c r="L797" s="273">
        <f>ROUND(BN69,0)</f>
        <v>268628</v>
      </c>
      <c r="M797" s="273">
        <f>ROUND(BN70,0)</f>
        <v>2507030</v>
      </c>
      <c r="N797" s="273"/>
      <c r="O797" s="273"/>
      <c r="P797" s="273">
        <f>IF(BN76&gt;0,ROUND(BN76,0),0)</f>
        <v>0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>
      <c r="A798" s="209" t="e">
        <f>RIGHT($C$83,3)&amp;"*"&amp;RIGHT($C$82,4)&amp;"*"&amp;BO$55&amp;"*"&amp;"A"</f>
        <v>#VALUE!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>
      <c r="A799" s="209" t="e">
        <f>RIGHT($C$83,3)&amp;"*"&amp;RIGHT($C$82,4)&amp;"*"&amp;BP$55&amp;"*"&amp;"A"</f>
        <v>#VALUE!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>
      <c r="A800" s="209" t="e">
        <f>RIGHT($C$83,3)&amp;"*"&amp;RIGHT($C$82,4)&amp;"*"&amp;BQ$55&amp;"*"&amp;"A"</f>
        <v>#VALUE!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>
      <c r="A801" s="209" t="e">
        <f>RIGHT($C$83,3)&amp;"*"&amp;RIGHT($C$82,4)&amp;"*"&amp;BR$55&amp;"*"&amp;"A"</f>
        <v>#VALUE!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0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0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>
      <c r="A802" s="209" t="e">
        <f>RIGHT($C$83,3)&amp;"*"&amp;RIGHT($C$82,4)&amp;"*"&amp;BS$55&amp;"*"&amp;"A"</f>
        <v>#VALUE!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0</v>
      </c>
      <c r="Q802" s="273">
        <f>IF(BS77&gt;0,ROUND(BS77,0),0)</f>
        <v>0</v>
      </c>
      <c r="R802" s="273">
        <f>IF(BS78&gt;0,ROUND(BS78,0),0)</f>
        <v>0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>
      <c r="A803" s="209" t="e">
        <f>RIGHT($C$83,3)&amp;"*"&amp;RIGHT($C$82,4)&amp;"*"&amp;BT$55&amp;"*"&amp;"A"</f>
        <v>#VALUE!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>
      <c r="A804" s="209" t="e">
        <f>RIGHT($C$83,3)&amp;"*"&amp;RIGHT($C$82,4)&amp;"*"&amp;BU$55&amp;"*"&amp;"A"</f>
        <v>#VALUE!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>
      <c r="A805" s="209" t="e">
        <f>RIGHT($C$83,3)&amp;"*"&amp;RIGHT($C$82,4)&amp;"*"&amp;BV$55&amp;"*"&amp;"A"</f>
        <v>#VALUE!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0</v>
      </c>
      <c r="J805" s="273">
        <f>ROUND(BV67,0)</f>
        <v>0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0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>
      <c r="A806" s="209" t="e">
        <f>RIGHT($C$83,3)&amp;"*"&amp;RIGHT($C$82,4)&amp;"*"&amp;BW$55&amp;"*"&amp;"A"</f>
        <v>#VALUE!</v>
      </c>
      <c r="B806" s="273"/>
      <c r="C806" s="275">
        <f>ROUND(BW60,2)</f>
        <v>1.45</v>
      </c>
      <c r="D806" s="273">
        <f>ROUND(BW61,0)</f>
        <v>128170</v>
      </c>
      <c r="E806" s="273">
        <f>ROUND(BW62,0)</f>
        <v>21125</v>
      </c>
      <c r="F806" s="273">
        <f>ROUND(BW63,0)</f>
        <v>3419</v>
      </c>
      <c r="G806" s="273">
        <f>ROUND(BW64,0)</f>
        <v>3274</v>
      </c>
      <c r="H806" s="273">
        <f>ROUND(BW65,0)</f>
        <v>0</v>
      </c>
      <c r="I806" s="273">
        <f>ROUND(BW66,0)</f>
        <v>-4545</v>
      </c>
      <c r="J806" s="273">
        <f>ROUND(BW67,0)</f>
        <v>0</v>
      </c>
      <c r="K806" s="273">
        <f>ROUND(BW68,0)</f>
        <v>110</v>
      </c>
      <c r="L806" s="273">
        <f>ROUND(BW69,0)</f>
        <v>610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>
      <c r="A807" s="209" t="e">
        <f>RIGHT($C$83,3)&amp;"*"&amp;RIGHT($C$82,4)&amp;"*"&amp;BX$55&amp;"*"&amp;"A"</f>
        <v>#VALUE!</v>
      </c>
      <c r="B807" s="273"/>
      <c r="C807" s="275">
        <f>ROUND(BX60,2)</f>
        <v>5.48</v>
      </c>
      <c r="D807" s="273">
        <f>ROUND(BX61,0)</f>
        <v>622869</v>
      </c>
      <c r="E807" s="273">
        <f>ROUND(BX62,0)</f>
        <v>56189</v>
      </c>
      <c r="F807" s="273">
        <f>ROUND(BX63,0)</f>
        <v>25581</v>
      </c>
      <c r="G807" s="273">
        <f>ROUND(BX64,0)</f>
        <v>1993</v>
      </c>
      <c r="H807" s="273">
        <f>ROUND(BX65,0)</f>
        <v>0</v>
      </c>
      <c r="I807" s="273">
        <f>ROUND(BX66,0)</f>
        <v>1421</v>
      </c>
      <c r="J807" s="273">
        <f>ROUND(BX67,0)</f>
        <v>0</v>
      </c>
      <c r="K807" s="273">
        <f>ROUND(BX68,0)</f>
        <v>0</v>
      </c>
      <c r="L807" s="273">
        <f>ROUND(BX69,0)</f>
        <v>64440</v>
      </c>
      <c r="M807" s="273">
        <f>ROUND(BX70,0)</f>
        <v>5846</v>
      </c>
      <c r="N807" s="273"/>
      <c r="O807" s="273"/>
      <c r="P807" s="273">
        <f>IF(BX76&gt;0,ROUND(BX76,0),0)</f>
        <v>0</v>
      </c>
      <c r="Q807" s="273">
        <f>IF(BX77&gt;0,ROUND(BX77,0),0)</f>
        <v>0</v>
      </c>
      <c r="R807" s="273">
        <f>IF(BX78&gt;0,ROUND(BX78,0),0)</f>
        <v>0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>
      <c r="A808" s="209" t="e">
        <f>RIGHT($C$83,3)&amp;"*"&amp;RIGHT($C$82,4)&amp;"*"&amp;BY$55&amp;"*"&amp;"A"</f>
        <v>#VALUE!</v>
      </c>
      <c r="B808" s="273"/>
      <c r="C808" s="275">
        <f>ROUND(BY60,2)</f>
        <v>6.43</v>
      </c>
      <c r="D808" s="273">
        <f>ROUND(BY61,0)</f>
        <v>724380</v>
      </c>
      <c r="E808" s="273">
        <f>ROUND(BY62,0)</f>
        <v>102422</v>
      </c>
      <c r="F808" s="273">
        <f>ROUND(BY63,0)</f>
        <v>0</v>
      </c>
      <c r="G808" s="273">
        <f>ROUND(BY64,0)</f>
        <v>2021</v>
      </c>
      <c r="H808" s="273">
        <f>ROUND(BY65,0)</f>
        <v>0</v>
      </c>
      <c r="I808" s="273">
        <f>ROUND(BY66,0)</f>
        <v>7557</v>
      </c>
      <c r="J808" s="273">
        <f>ROUND(BY67,0)</f>
        <v>0</v>
      </c>
      <c r="K808" s="273">
        <f>ROUND(BY68,0)</f>
        <v>0</v>
      </c>
      <c r="L808" s="273">
        <f>ROUND(BY69,0)</f>
        <v>42756</v>
      </c>
      <c r="M808" s="273">
        <f>ROUND(BY70,0)</f>
        <v>0</v>
      </c>
      <c r="N808" s="273"/>
      <c r="O808" s="273"/>
      <c r="P808" s="273">
        <f>IF(BY76&gt;0,ROUND(BY76,0),0)</f>
        <v>0</v>
      </c>
      <c r="Q808" s="273">
        <f>IF(BY77&gt;0,ROUND(BY77,0),0)</f>
        <v>0</v>
      </c>
      <c r="R808" s="273">
        <f>IF(BY78&gt;0,ROUND(BY78,0),0)</f>
        <v>0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>
      <c r="A809" s="209" t="e">
        <f>RIGHT($C$83,3)&amp;"*"&amp;RIGHT($C$82,4)&amp;"*"&amp;BZ$55&amp;"*"&amp;"A"</f>
        <v>#VALUE!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>
      <c r="A810" s="209" t="e">
        <f>RIGHT($C$83,3)&amp;"*"&amp;RIGHT($C$82,4)&amp;"*"&amp;CA$55&amp;"*"&amp;"A"</f>
        <v>#VALUE!</v>
      </c>
      <c r="B810" s="273"/>
      <c r="C810" s="275">
        <f>ROUND(CA60,2)</f>
        <v>0</v>
      </c>
      <c r="D810" s="273">
        <f>ROUND(CA61,0)</f>
        <v>0</v>
      </c>
      <c r="E810" s="273">
        <f>ROUND(CA62,0)</f>
        <v>0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0</v>
      </c>
      <c r="K810" s="273">
        <f>ROUND(CA68,0)</f>
        <v>0</v>
      </c>
      <c r="L810" s="273">
        <f>ROUND(CA69,0)</f>
        <v>0</v>
      </c>
      <c r="M810" s="273">
        <f>ROUND(CA70,0)</f>
        <v>0</v>
      </c>
      <c r="N810" s="273"/>
      <c r="O810" s="273"/>
      <c r="P810" s="273">
        <f>IF(CA76&gt;0,ROUND(CA76,0),0)</f>
        <v>0</v>
      </c>
      <c r="Q810" s="273">
        <f>IF(CA77&gt;0,ROUND(CA77,0),0)</f>
        <v>0</v>
      </c>
      <c r="R810" s="273">
        <f>IF(CA78&gt;0,ROUND(CA78,0),0)</f>
        <v>0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>
      <c r="A811" s="209" t="e">
        <f>RIGHT($C$83,3)&amp;"*"&amp;RIGHT($C$82,4)&amp;"*"&amp;CB$55&amp;"*"&amp;"A"</f>
        <v>#VALUE!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>
      <c r="A812" s="209" t="e">
        <f>RIGHT($C$83,3)&amp;"*"&amp;RIGHT($C$82,4)&amp;"*"&amp;CC$55&amp;"*"&amp;"A"</f>
        <v>#VALUE!</v>
      </c>
      <c r="B812" s="273"/>
      <c r="C812" s="275">
        <f>ROUND(CC60,2)</f>
        <v>39.520000000000003</v>
      </c>
      <c r="D812" s="273">
        <f>ROUND(CC61,0)</f>
        <v>2545130</v>
      </c>
      <c r="E812" s="273">
        <f>ROUND(CC62,0)</f>
        <v>477673</v>
      </c>
      <c r="F812" s="273">
        <f>ROUND(CC63,0)</f>
        <v>212864</v>
      </c>
      <c r="G812" s="273">
        <f>ROUND(CC64,0)</f>
        <v>206550</v>
      </c>
      <c r="H812" s="273">
        <f>ROUND(CC65,0)</f>
        <v>185308</v>
      </c>
      <c r="I812" s="273">
        <f>ROUND(CC66,0)</f>
        <v>6039802</v>
      </c>
      <c r="J812" s="273">
        <f>ROUND(CC67,0)</f>
        <v>0</v>
      </c>
      <c r="K812" s="273">
        <f>ROUND(CC68,0)</f>
        <v>8657872</v>
      </c>
      <c r="L812" s="273">
        <f>ROUND(CC69,0)</f>
        <v>3198772</v>
      </c>
      <c r="M812" s="273">
        <f>ROUND(CC70,0)</f>
        <v>7247883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>
      <c r="A813" s="209" t="e">
        <f>RIGHT($C$83,3)&amp;"*"&amp;RIGHT($C$82,4)&amp;"*"&amp;"9000"&amp;"*"&amp;"A"</f>
        <v>#VALUE!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2179099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>
      <c r="B815" s="277" t="s">
        <v>1004</v>
      </c>
      <c r="C815" s="278">
        <f t="shared" ref="C815:K815" si="24">SUM(C734:C813)</f>
        <v>360.24000000000007</v>
      </c>
      <c r="D815" s="274">
        <f t="shared" si="24"/>
        <v>35438388</v>
      </c>
      <c r="E815" s="274">
        <f t="shared" si="24"/>
        <v>4858739</v>
      </c>
      <c r="F815" s="274">
        <f t="shared" si="24"/>
        <v>3851710</v>
      </c>
      <c r="G815" s="274">
        <f t="shared" si="24"/>
        <v>17328823</v>
      </c>
      <c r="H815" s="274">
        <f t="shared" si="24"/>
        <v>795052</v>
      </c>
      <c r="I815" s="274">
        <f t="shared" si="24"/>
        <v>15676322</v>
      </c>
      <c r="J815" s="274">
        <f t="shared" si="24"/>
        <v>4947739</v>
      </c>
      <c r="K815" s="274">
        <f t="shared" si="24"/>
        <v>10687311</v>
      </c>
      <c r="L815" s="274">
        <f>SUM(L734:L813)+SUM(U734:U813)</f>
        <v>7098775</v>
      </c>
      <c r="M815" s="274">
        <f>SUM(M734:M813)+SUM(V734:V813)</f>
        <v>10030849</v>
      </c>
      <c r="N815" s="274">
        <f t="shared" ref="N815:Y815" si="25">SUM(N734:N813)</f>
        <v>458333586</v>
      </c>
      <c r="O815" s="274">
        <f t="shared" si="25"/>
        <v>189689858</v>
      </c>
      <c r="P815" s="274">
        <f t="shared" si="25"/>
        <v>0</v>
      </c>
      <c r="Q815" s="274">
        <f t="shared" si="25"/>
        <v>42236</v>
      </c>
      <c r="R815" s="274">
        <f t="shared" si="25"/>
        <v>0</v>
      </c>
      <c r="S815" s="274" t="e">
        <f t="shared" si="25"/>
        <v>#REF!</v>
      </c>
      <c r="T815" s="278">
        <f t="shared" si="25"/>
        <v>0</v>
      </c>
      <c r="U815" s="274">
        <f t="shared" si="25"/>
        <v>2179099</v>
      </c>
      <c r="V815" s="274">
        <f t="shared" si="25"/>
        <v>0</v>
      </c>
      <c r="W815" s="274">
        <f t="shared" si="25"/>
        <v>0</v>
      </c>
      <c r="X815" s="274">
        <f t="shared" si="25"/>
        <v>0</v>
      </c>
      <c r="Y815" s="274" t="e">
        <f t="shared" si="25"/>
        <v>#DIV/0!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>
      <c r="B816" s="274" t="s">
        <v>1005</v>
      </c>
      <c r="C816" s="278">
        <f>CE60</f>
        <v>360.19884652600024</v>
      </c>
      <c r="D816" s="274">
        <f>CE61</f>
        <v>35438385.840000011</v>
      </c>
      <c r="E816" s="274">
        <f>CE62</f>
        <v>4858739</v>
      </c>
      <c r="F816" s="274">
        <f>CE63</f>
        <v>3851710.76</v>
      </c>
      <c r="G816" s="274">
        <f>CE64</f>
        <v>17328821.969999999</v>
      </c>
      <c r="H816" s="277">
        <f>CE65</f>
        <v>795051.3</v>
      </c>
      <c r="I816" s="277">
        <f>CE66</f>
        <v>15676321.610000001</v>
      </c>
      <c r="J816" s="277">
        <f>CE67</f>
        <v>4947739</v>
      </c>
      <c r="K816" s="277">
        <f>CE68</f>
        <v>10687310.129999999</v>
      </c>
      <c r="L816" s="277">
        <f>CE69</f>
        <v>7098775.3600000013</v>
      </c>
      <c r="M816" s="277">
        <f>CE70</f>
        <v>10030849.42</v>
      </c>
      <c r="N816" s="274">
        <f>CE75</f>
        <v>458333585.80000007</v>
      </c>
      <c r="O816" s="274">
        <f>CE73</f>
        <v>189689856.97</v>
      </c>
      <c r="P816" s="274">
        <f>CE76</f>
        <v>0</v>
      </c>
      <c r="Q816" s="274">
        <f>CE77</f>
        <v>42236</v>
      </c>
      <c r="R816" s="274">
        <f>CE78</f>
        <v>0</v>
      </c>
      <c r="S816" s="274">
        <f>CE79</f>
        <v>490191</v>
      </c>
      <c r="T816" s="278">
        <f>CE80</f>
        <v>0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29679516.740000002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>
      <c r="B817" s="180" t="s">
        <v>471</v>
      </c>
      <c r="C817" s="199" t="s">
        <v>1007</v>
      </c>
      <c r="D817" s="180">
        <f>C378</f>
        <v>35438385.840000011</v>
      </c>
      <c r="E817" s="180">
        <f>C379</f>
        <v>4858733.8699999992</v>
      </c>
      <c r="F817" s="180">
        <f>C380</f>
        <v>3851710.76</v>
      </c>
      <c r="G817" s="238">
        <f>C381</f>
        <v>17328821.969999999</v>
      </c>
      <c r="H817" s="238">
        <f>C382</f>
        <v>795051.3</v>
      </c>
      <c r="I817" s="238">
        <f>C383</f>
        <v>15676321.610000001</v>
      </c>
      <c r="J817" s="238">
        <f>C384</f>
        <v>4947736.2</v>
      </c>
      <c r="K817" s="238">
        <f>C385</f>
        <v>10687310.129999999</v>
      </c>
      <c r="L817" s="238">
        <f>C386+C387+C388+C389</f>
        <v>7098775.3599999994</v>
      </c>
      <c r="M817" s="238">
        <f>C370</f>
        <v>10030849.42</v>
      </c>
      <c r="N817" s="180">
        <f>D361</f>
        <v>458333585.79999995</v>
      </c>
      <c r="O817" s="180">
        <f>C359</f>
        <v>189689856.97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61FE-A708-43E0-A069-34CB51548B71}">
  <sheetPr syncVertical="1" syncRef="C96" transitionEvaluation="1" transitionEntry="1">
    <pageSetUpPr autoPageBreaks="0" fitToPage="1"/>
  </sheetPr>
  <dimension ref="A1:CI817"/>
  <sheetViews>
    <sheetView showGridLines="0" topLeftCell="A43" zoomScale="85" zoomScaleNormal="85" workbookViewId="0">
      <pane xSplit="2" ySplit="4" topLeftCell="C96" activePane="bottomRight" state="frozen"/>
      <selection pane="topRight" activeCell="C1" sqref="C1"/>
      <selection pane="bottomLeft"/>
      <selection pane="bottomRight" activeCell="C75" sqref="C75"/>
    </sheetView>
  </sheetViews>
  <sheetFormatPr defaultColWidth="11.75" defaultRowHeight="12.65" customHeight="1" outlineLevelRow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hidden="1" customHeight="1" outlineLevel="1">
      <c r="A1" s="231" t="s">
        <v>1232</v>
      </c>
      <c r="B1" s="232"/>
      <c r="C1" s="232"/>
      <c r="D1" s="232"/>
      <c r="E1" s="232"/>
      <c r="F1" s="232"/>
    </row>
    <row r="2" spans="1:6" ht="12.75" hidden="1" customHeight="1" outlineLevel="1">
      <c r="A2" s="232" t="s">
        <v>1233</v>
      </c>
      <c r="B2" s="232"/>
      <c r="C2" s="233"/>
      <c r="D2" s="232"/>
      <c r="E2" s="232"/>
      <c r="F2" s="232"/>
    </row>
    <row r="3" spans="1:6" ht="12.75" hidden="1" customHeight="1" outlineLevel="1">
      <c r="A3" s="199"/>
      <c r="C3" s="234"/>
    </row>
    <row r="4" spans="1:6" ht="12.75" hidden="1" customHeight="1" outlineLevel="1">
      <c r="C4" s="234"/>
    </row>
    <row r="5" spans="1:6" ht="12.75" hidden="1" customHeight="1" outlineLevel="1">
      <c r="A5" s="199" t="s">
        <v>1258</v>
      </c>
      <c r="C5" s="234"/>
    </row>
    <row r="6" spans="1:6" ht="12.75" hidden="1" customHeight="1" outlineLevel="1">
      <c r="A6" s="199" t="s">
        <v>0</v>
      </c>
      <c r="C6" s="234"/>
    </row>
    <row r="7" spans="1:6" ht="12.75" hidden="1" customHeight="1" outlineLevel="1">
      <c r="A7" s="199" t="s">
        <v>1</v>
      </c>
      <c r="C7" s="234"/>
    </row>
    <row r="8" spans="1:6" ht="12.75" hidden="1" customHeight="1" outlineLevel="1">
      <c r="C8" s="234"/>
    </row>
    <row r="9" spans="1:6" ht="12.75" hidden="1" customHeight="1" outlineLevel="1">
      <c r="C9" s="234"/>
    </row>
    <row r="10" spans="1:6" ht="12.75" hidden="1" customHeight="1" outlineLevel="1">
      <c r="A10" s="198" t="s">
        <v>1228</v>
      </c>
      <c r="C10" s="234"/>
    </row>
    <row r="11" spans="1:6" ht="12.75" hidden="1" customHeight="1" outlineLevel="1">
      <c r="A11" s="198" t="s">
        <v>1231</v>
      </c>
      <c r="C11" s="234"/>
    </row>
    <row r="12" spans="1:6" ht="12.75" hidden="1" customHeight="1" outlineLevel="1">
      <c r="C12" s="234"/>
    </row>
    <row r="13" spans="1:6" ht="12.75" hidden="1" customHeight="1" outlineLevel="1">
      <c r="C13" s="234"/>
    </row>
    <row r="14" spans="1:6" ht="12.75" hidden="1" customHeight="1" outlineLevel="1">
      <c r="A14" s="199" t="s">
        <v>2</v>
      </c>
      <c r="C14" s="234"/>
    </row>
    <row r="15" spans="1:6" ht="12.75" hidden="1" customHeight="1" outlineLevel="1">
      <c r="A15" s="199"/>
      <c r="C15" s="234"/>
    </row>
    <row r="16" spans="1:6" ht="12.75" hidden="1" customHeight="1" outlineLevel="1">
      <c r="A16" s="180" t="s">
        <v>1260</v>
      </c>
      <c r="C16" s="234"/>
      <c r="F16" s="280" t="s">
        <v>1259</v>
      </c>
    </row>
    <row r="17" spans="1:6" ht="12.75" hidden="1" customHeight="1" outlineLevel="1">
      <c r="A17" s="180" t="s">
        <v>1230</v>
      </c>
      <c r="C17" s="280" t="s">
        <v>1259</v>
      </c>
    </row>
    <row r="18" spans="1:6" ht="12.75" hidden="1" customHeight="1" outlineLevel="1">
      <c r="A18" s="226"/>
      <c r="C18" s="234"/>
    </row>
    <row r="19" spans="1:6" ht="12.75" hidden="1" customHeight="1" outlineLevel="1">
      <c r="C19" s="234"/>
    </row>
    <row r="20" spans="1:6" ht="12.75" hidden="1" customHeight="1" outlineLevel="1">
      <c r="A20" s="270" t="s">
        <v>1234</v>
      </c>
      <c r="B20" s="270"/>
      <c r="C20" s="281"/>
      <c r="D20" s="270"/>
      <c r="E20" s="270"/>
      <c r="F20" s="270"/>
    </row>
    <row r="21" spans="1:6" ht="22.5" hidden="1" customHeight="1" outlineLevel="1">
      <c r="A21" s="199"/>
      <c r="C21" s="234"/>
    </row>
    <row r="22" spans="1:6" ht="12.65" hidden="1" customHeight="1" outlineLevel="1">
      <c r="A22" s="235" t="s">
        <v>1254</v>
      </c>
      <c r="B22" s="236"/>
      <c r="C22" s="237"/>
      <c r="D22" s="235"/>
      <c r="E22" s="235"/>
    </row>
    <row r="23" spans="1:6" ht="12.65" hidden="1" customHeight="1" outlineLevel="1">
      <c r="B23" s="199"/>
      <c r="C23" s="234"/>
    </row>
    <row r="24" spans="1:6" ht="12.65" hidden="1" customHeight="1" outlineLevel="1">
      <c r="A24" s="238" t="s">
        <v>3</v>
      </c>
      <c r="C24" s="234"/>
    </row>
    <row r="25" spans="1:6" ht="12.65" hidden="1" customHeight="1" outlineLevel="1">
      <c r="A25" s="198" t="s">
        <v>1235</v>
      </c>
      <c r="C25" s="234"/>
    </row>
    <row r="26" spans="1:6" ht="12.65" hidden="1" customHeight="1" outlineLevel="1">
      <c r="A26" s="199" t="s">
        <v>4</v>
      </c>
      <c r="C26" s="234"/>
    </row>
    <row r="27" spans="1:6" ht="12.65" hidden="1" customHeight="1" outlineLevel="1">
      <c r="A27" s="198" t="s">
        <v>1236</v>
      </c>
      <c r="C27" s="234"/>
    </row>
    <row r="28" spans="1:6" ht="12.65" hidden="1" customHeight="1" outlineLevel="1">
      <c r="A28" s="199" t="s">
        <v>5</v>
      </c>
      <c r="C28" s="234"/>
    </row>
    <row r="29" spans="1:6" ht="12.65" hidden="1" customHeight="1" outlineLevel="1">
      <c r="A29" s="198"/>
      <c r="C29" s="234"/>
    </row>
    <row r="30" spans="1:6" ht="12.65" hidden="1" customHeight="1" outlineLevel="1">
      <c r="A30" s="180" t="s">
        <v>6</v>
      </c>
      <c r="C30" s="234"/>
    </row>
    <row r="31" spans="1:6" ht="12.65" hidden="1" customHeight="1" outlineLevel="1">
      <c r="A31" s="199" t="s">
        <v>7</v>
      </c>
      <c r="C31" s="234"/>
    </row>
    <row r="32" spans="1:6" ht="12.65" hidden="1" customHeight="1" outlineLevel="1">
      <c r="A32" s="199" t="s">
        <v>8</v>
      </c>
      <c r="C32" s="234"/>
    </row>
    <row r="33" spans="1:86" ht="12.65" hidden="1" customHeight="1" outlineLevel="1">
      <c r="A33" s="198" t="s">
        <v>1237</v>
      </c>
      <c r="C33" s="234"/>
    </row>
    <row r="34" spans="1:86" ht="12.65" hidden="1" customHeight="1" outlineLevel="1">
      <c r="A34" s="199" t="s">
        <v>9</v>
      </c>
      <c r="C34" s="234"/>
    </row>
    <row r="35" spans="1:86" ht="12.65" hidden="1" customHeight="1" outlineLevel="1">
      <c r="A35" s="199"/>
      <c r="C35" s="234"/>
    </row>
    <row r="36" spans="1:86" ht="12.65" hidden="1" customHeight="1" outlineLevel="1">
      <c r="A36" s="198" t="s">
        <v>1238</v>
      </c>
      <c r="C36" s="234"/>
    </row>
    <row r="37" spans="1:86" ht="12.65" hidden="1" customHeight="1" outlineLevel="1">
      <c r="A37" s="199" t="s">
        <v>1229</v>
      </c>
      <c r="C37" s="234"/>
    </row>
    <row r="38" spans="1:86" ht="12" hidden="1" customHeight="1" outlineLevel="1">
      <c r="A38" s="198"/>
      <c r="C38" s="234"/>
    </row>
    <row r="39" spans="1:86" ht="12.65" hidden="1" customHeight="1" outlineLevel="1">
      <c r="A39" s="199"/>
      <c r="C39" s="234"/>
    </row>
    <row r="40" spans="1:86" ht="12" hidden="1" customHeight="1" outlineLevel="1">
      <c r="A40" s="199"/>
      <c r="C40" s="234"/>
    </row>
    <row r="41" spans="1:86" ht="12" hidden="1" customHeight="1" outlineLevel="1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6" ht="12" hidden="1" customHeight="1" outlineLevel="1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6" ht="12" customHeight="1" collapsed="1">
      <c r="A43" s="199"/>
      <c r="C43" s="234"/>
      <c r="F43" s="181"/>
    </row>
    <row r="44" spans="1:86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6" ht="12" customHeight="1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6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  <c r="CH46" s="388" t="s">
        <v>1293</v>
      </c>
    </row>
    <row r="47" spans="1:86" ht="12.65" customHeight="1">
      <c r="A47" s="175" t="s">
        <v>204</v>
      </c>
      <c r="B47" s="183">
        <v>695345.57</v>
      </c>
      <c r="C47" s="184">
        <v>97412</v>
      </c>
      <c r="D47" s="184"/>
      <c r="E47" s="184">
        <v>60030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54431</v>
      </c>
      <c r="P47" s="184">
        <v>23196</v>
      </c>
      <c r="Q47" s="184">
        <v>17529</v>
      </c>
      <c r="R47" s="184">
        <v>3098</v>
      </c>
      <c r="S47" s="184">
        <v>10049</v>
      </c>
      <c r="T47" s="184"/>
      <c r="U47" s="184">
        <v>28517</v>
      </c>
      <c r="V47" s="184"/>
      <c r="W47" s="184">
        <v>3001</v>
      </c>
      <c r="X47" s="184">
        <v>9029</v>
      </c>
      <c r="Y47" s="184">
        <v>54046</v>
      </c>
      <c r="Z47" s="184">
        <v>10624</v>
      </c>
      <c r="AA47" s="184">
        <v>3754</v>
      </c>
      <c r="AB47" s="184">
        <v>26953</v>
      </c>
      <c r="AC47" s="184">
        <v>21275</v>
      </c>
      <c r="AD47" s="184"/>
      <c r="AE47" s="184">
        <v>12011</v>
      </c>
      <c r="AF47" s="184"/>
      <c r="AG47" s="184">
        <v>40292</v>
      </c>
      <c r="AH47" s="184"/>
      <c r="AI47" s="184">
        <v>34897</v>
      </c>
      <c r="AJ47" s="184"/>
      <c r="AK47" s="184">
        <v>1539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9367</v>
      </c>
      <c r="AW47" s="184"/>
      <c r="AX47" s="184"/>
      <c r="AY47" s="184">
        <v>18545</v>
      </c>
      <c r="AZ47" s="184"/>
      <c r="BA47" s="184"/>
      <c r="BB47" s="184">
        <v>15784</v>
      </c>
      <c r="BC47" s="184"/>
      <c r="BD47" s="184">
        <v>9127</v>
      </c>
      <c r="BE47" s="184">
        <v>17951</v>
      </c>
      <c r="BF47" s="184">
        <v>15416</v>
      </c>
      <c r="BG47" s="184">
        <v>1175</v>
      </c>
      <c r="BH47" s="184">
        <v>9932</v>
      </c>
      <c r="BI47" s="184"/>
      <c r="BJ47" s="184">
        <v>4044</v>
      </c>
      <c r="BK47" s="184"/>
      <c r="BL47" s="184">
        <v>2772</v>
      </c>
      <c r="BM47" s="184">
        <v>13574</v>
      </c>
      <c r="BN47" s="184">
        <v>17965</v>
      </c>
      <c r="BO47" s="184"/>
      <c r="BP47" s="184">
        <v>1245</v>
      </c>
      <c r="BQ47" s="184"/>
      <c r="BR47" s="184">
        <v>1148366</v>
      </c>
      <c r="BS47" s="184"/>
      <c r="BT47" s="184"/>
      <c r="BU47" s="184"/>
      <c r="BV47" s="184">
        <v>13983</v>
      </c>
      <c r="BW47" s="184">
        <v>2644</v>
      </c>
      <c r="BX47" s="184">
        <v>8955</v>
      </c>
      <c r="BY47" s="184">
        <v>18534</v>
      </c>
      <c r="BZ47" s="184"/>
      <c r="CA47" s="184">
        <v>4834</v>
      </c>
      <c r="CB47" s="184"/>
      <c r="CC47" s="184"/>
      <c r="CD47" s="195"/>
      <c r="CE47" s="195">
        <f>SUM(C47:CC47)</f>
        <v>1845896</v>
      </c>
    </row>
    <row r="48" spans="1:86" ht="12.65" customHeight="1">
      <c r="A48" s="175" t="s">
        <v>205</v>
      </c>
      <c r="B48" s="183"/>
      <c r="C48" s="243">
        <f>ROUND(((B48/CE61)*C61),0)</f>
        <v>0</v>
      </c>
      <c r="D48" s="243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>
      <c r="A49" s="175" t="s">
        <v>206</v>
      </c>
      <c r="B49" s="195">
        <f>B47+B48</f>
        <v>695345.57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5" customHeight="1">
      <c r="A59" s="171" t="s">
        <v>233</v>
      </c>
      <c r="B59" s="175"/>
      <c r="C59" s="184">
        <v>1382</v>
      </c>
      <c r="D59" s="184"/>
      <c r="E59" s="184">
        <v>1194</v>
      </c>
      <c r="F59" s="184"/>
      <c r="G59" s="184"/>
      <c r="H59" s="184"/>
      <c r="I59" s="184"/>
      <c r="J59" s="184">
        <v>233</v>
      </c>
      <c r="K59" s="184"/>
      <c r="L59" s="184"/>
      <c r="M59" s="184"/>
      <c r="N59" s="184"/>
      <c r="O59" s="184">
        <v>7707</v>
      </c>
      <c r="P59" s="185">
        <v>80002</v>
      </c>
      <c r="Q59" s="185">
        <v>70645</v>
      </c>
      <c r="R59" s="185">
        <v>94279</v>
      </c>
      <c r="S59" s="246"/>
      <c r="T59" s="246"/>
      <c r="U59" s="224">
        <v>54906</v>
      </c>
      <c r="V59" s="185"/>
      <c r="W59" s="185">
        <v>133</v>
      </c>
      <c r="X59" s="185">
        <v>4138</v>
      </c>
      <c r="Y59" s="185">
        <v>6391</v>
      </c>
      <c r="Z59" s="185">
        <v>3703</v>
      </c>
      <c r="AA59" s="185">
        <v>312</v>
      </c>
      <c r="AB59" s="246"/>
      <c r="AC59" s="185">
        <v>345</v>
      </c>
      <c r="AD59" s="185"/>
      <c r="AE59" s="185">
        <v>4743</v>
      </c>
      <c r="AF59" s="185"/>
      <c r="AG59" s="185">
        <v>3556</v>
      </c>
      <c r="AH59" s="185"/>
      <c r="AI59" s="185">
        <v>1967</v>
      </c>
      <c r="AJ59" s="185"/>
      <c r="AK59" s="185">
        <v>957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9270</v>
      </c>
      <c r="AZ59" s="185"/>
      <c r="BA59" s="246"/>
      <c r="BB59" s="246"/>
      <c r="BC59" s="246"/>
      <c r="BD59" s="246"/>
      <c r="BE59" s="368">
        <v>155374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5" customHeight="1">
      <c r="A60" s="248" t="s">
        <v>234</v>
      </c>
      <c r="B60" s="175"/>
      <c r="C60" s="186">
        <v>52.08</v>
      </c>
      <c r="D60" s="187"/>
      <c r="E60" s="187">
        <v>37.32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27.650000000000002</v>
      </c>
      <c r="P60" s="221">
        <v>17.760000000000002</v>
      </c>
      <c r="Q60" s="221">
        <v>6.22</v>
      </c>
      <c r="R60" s="221">
        <v>1.88</v>
      </c>
      <c r="S60" s="221">
        <v>10.16</v>
      </c>
      <c r="T60" s="221"/>
      <c r="U60" s="221">
        <v>18.62</v>
      </c>
      <c r="V60" s="221"/>
      <c r="W60" s="221">
        <v>1.37</v>
      </c>
      <c r="X60" s="221">
        <v>5.3100000000000005</v>
      </c>
      <c r="Y60" s="221">
        <v>31.11</v>
      </c>
      <c r="Z60" s="221">
        <v>6.13</v>
      </c>
      <c r="AA60" s="221">
        <v>1.46</v>
      </c>
      <c r="AB60" s="221">
        <v>0.96</v>
      </c>
      <c r="AC60" s="221">
        <v>11.8</v>
      </c>
      <c r="AD60" s="221"/>
      <c r="AE60" s="221">
        <v>8.09</v>
      </c>
      <c r="AF60" s="221"/>
      <c r="AG60" s="221">
        <v>21.77</v>
      </c>
      <c r="AH60" s="221"/>
      <c r="AI60" s="221">
        <v>18.89</v>
      </c>
      <c r="AJ60" s="221"/>
      <c r="AK60" s="221">
        <v>0.94000000000000006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30.259999999999998</v>
      </c>
      <c r="AW60" s="221"/>
      <c r="AX60" s="221"/>
      <c r="AY60" s="221">
        <v>18.18</v>
      </c>
      <c r="AZ60" s="221"/>
      <c r="BA60" s="221"/>
      <c r="BB60" s="221">
        <v>7.19</v>
      </c>
      <c r="BC60" s="221"/>
      <c r="BD60" s="221"/>
      <c r="BE60" s="221">
        <v>14.280000000000001</v>
      </c>
      <c r="BF60" s="221">
        <v>19.75</v>
      </c>
      <c r="BG60" s="221">
        <v>1.38</v>
      </c>
      <c r="BH60" s="221">
        <v>5.44</v>
      </c>
      <c r="BI60" s="221"/>
      <c r="BJ60" s="221">
        <v>4.43</v>
      </c>
      <c r="BK60" s="221"/>
      <c r="BL60" s="221">
        <v>3.04</v>
      </c>
      <c r="BM60" s="221">
        <v>16.420000000000002</v>
      </c>
      <c r="BN60" s="221">
        <v>14.709999999999999</v>
      </c>
      <c r="BO60" s="221"/>
      <c r="BP60" s="221">
        <v>1.07</v>
      </c>
      <c r="BQ60" s="221"/>
      <c r="BR60" s="221">
        <v>4.75</v>
      </c>
      <c r="BS60" s="221"/>
      <c r="BT60" s="221"/>
      <c r="BU60" s="221"/>
      <c r="BV60" s="221">
        <v>11.21</v>
      </c>
      <c r="BW60" s="221">
        <v>1.22</v>
      </c>
      <c r="BX60" s="221">
        <v>3.36</v>
      </c>
      <c r="BY60" s="221">
        <v>2.0699999999999998</v>
      </c>
      <c r="BZ60" s="221"/>
      <c r="CA60" s="221">
        <v>1.87</v>
      </c>
      <c r="CB60" s="221"/>
      <c r="CC60" s="221"/>
      <c r="CD60" s="247" t="s">
        <v>221</v>
      </c>
      <c r="CE60" s="249">
        <f t="shared" ref="CE60:CE70" si="0">SUM(C60:CD60)</f>
        <v>440.15000000000009</v>
      </c>
    </row>
    <row r="61" spans="1:84" ht="12.65" customHeight="1">
      <c r="A61" s="171" t="s">
        <v>235</v>
      </c>
      <c r="B61" s="175"/>
      <c r="C61" s="184">
        <v>1316573</v>
      </c>
      <c r="D61" s="184"/>
      <c r="E61" s="184">
        <v>821747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732446</v>
      </c>
      <c r="P61" s="185">
        <v>314186</v>
      </c>
      <c r="Q61" s="185">
        <v>232451</v>
      </c>
      <c r="R61" s="185">
        <v>43139</v>
      </c>
      <c r="S61" s="185">
        <v>135411</v>
      </c>
      <c r="T61" s="185"/>
      <c r="U61" s="185">
        <v>362025</v>
      </c>
      <c r="V61" s="185"/>
      <c r="W61" s="185">
        <v>41587</v>
      </c>
      <c r="X61" s="185">
        <v>122334</v>
      </c>
      <c r="Y61" s="185">
        <v>729721</v>
      </c>
      <c r="Z61" s="185">
        <v>145493</v>
      </c>
      <c r="AA61" s="185">
        <v>49619</v>
      </c>
      <c r="AB61" s="185">
        <v>331476</v>
      </c>
      <c r="AC61" s="185">
        <v>287300</v>
      </c>
      <c r="AD61" s="185"/>
      <c r="AE61" s="185">
        <v>162853</v>
      </c>
      <c r="AF61" s="185"/>
      <c r="AG61" s="185">
        <v>541982</v>
      </c>
      <c r="AH61" s="185"/>
      <c r="AI61" s="185">
        <v>478454</v>
      </c>
      <c r="AJ61" s="185"/>
      <c r="AK61" s="185">
        <v>20163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154108</v>
      </c>
      <c r="AW61" s="185"/>
      <c r="AX61" s="185"/>
      <c r="AY61" s="185">
        <v>244709</v>
      </c>
      <c r="AZ61" s="185"/>
      <c r="BA61" s="185"/>
      <c r="BB61" s="185">
        <v>174039</v>
      </c>
      <c r="BC61" s="185"/>
      <c r="BD61" s="185">
        <v>124947</v>
      </c>
      <c r="BE61" s="185">
        <v>246243</v>
      </c>
      <c r="BF61" s="185">
        <v>210395</v>
      </c>
      <c r="BG61" s="185">
        <v>15206</v>
      </c>
      <c r="BH61" s="185">
        <v>129029</v>
      </c>
      <c r="BI61" s="185"/>
      <c r="BJ61" s="185">
        <v>60497</v>
      </c>
      <c r="BK61" s="185"/>
      <c r="BL61" s="185">
        <v>38182</v>
      </c>
      <c r="BM61" s="185">
        <v>184879</v>
      </c>
      <c r="BN61" s="185">
        <v>305714</v>
      </c>
      <c r="BO61" s="185"/>
      <c r="BP61" s="185">
        <v>16562</v>
      </c>
      <c r="BQ61" s="185"/>
      <c r="BR61" s="185">
        <v>86565</v>
      </c>
      <c r="BS61" s="185"/>
      <c r="BT61" s="185"/>
      <c r="BU61" s="185"/>
      <c r="BV61" s="185">
        <v>176289</v>
      </c>
      <c r="BW61" s="185">
        <v>35115</v>
      </c>
      <c r="BX61" s="185">
        <v>121531</v>
      </c>
      <c r="BY61" s="185">
        <v>250370</v>
      </c>
      <c r="BZ61" s="185"/>
      <c r="CA61" s="368">
        <f>64761+5</f>
        <v>64766</v>
      </c>
      <c r="CB61" s="185"/>
      <c r="CC61" s="185"/>
      <c r="CD61" s="247" t="s">
        <v>221</v>
      </c>
      <c r="CE61" s="195">
        <f t="shared" si="0"/>
        <v>9508106</v>
      </c>
      <c r="CF61" s="250"/>
    </row>
    <row r="62" spans="1:84" ht="12.65" customHeight="1">
      <c r="A62" s="171" t="s">
        <v>3</v>
      </c>
      <c r="B62" s="175"/>
      <c r="C62" s="195">
        <f t="shared" ref="C62:BN62" si="1">ROUND(C47+C48,0)</f>
        <v>97412</v>
      </c>
      <c r="D62" s="195">
        <f t="shared" si="1"/>
        <v>0</v>
      </c>
      <c r="E62" s="195">
        <f t="shared" si="1"/>
        <v>60030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54431</v>
      </c>
      <c r="P62" s="195">
        <f t="shared" si="1"/>
        <v>23196</v>
      </c>
      <c r="Q62" s="195">
        <f t="shared" si="1"/>
        <v>17529</v>
      </c>
      <c r="R62" s="195">
        <f t="shared" si="1"/>
        <v>3098</v>
      </c>
      <c r="S62" s="195">
        <f t="shared" si="1"/>
        <v>10049</v>
      </c>
      <c r="T62" s="195">
        <f t="shared" si="1"/>
        <v>0</v>
      </c>
      <c r="U62" s="195">
        <f t="shared" si="1"/>
        <v>28517</v>
      </c>
      <c r="V62" s="195">
        <f t="shared" si="1"/>
        <v>0</v>
      </c>
      <c r="W62" s="195">
        <f t="shared" si="1"/>
        <v>3001</v>
      </c>
      <c r="X62" s="195">
        <f t="shared" si="1"/>
        <v>9029</v>
      </c>
      <c r="Y62" s="195">
        <f t="shared" si="1"/>
        <v>54046</v>
      </c>
      <c r="Z62" s="195">
        <f t="shared" si="1"/>
        <v>10624</v>
      </c>
      <c r="AA62" s="195">
        <f t="shared" si="1"/>
        <v>3754</v>
      </c>
      <c r="AB62" s="195">
        <f t="shared" si="1"/>
        <v>26953</v>
      </c>
      <c r="AC62" s="195">
        <f t="shared" si="1"/>
        <v>21275</v>
      </c>
      <c r="AD62" s="195">
        <f t="shared" si="1"/>
        <v>0</v>
      </c>
      <c r="AE62" s="195">
        <f t="shared" si="1"/>
        <v>12011</v>
      </c>
      <c r="AF62" s="195">
        <f t="shared" si="1"/>
        <v>0</v>
      </c>
      <c r="AG62" s="195">
        <f t="shared" si="1"/>
        <v>40292</v>
      </c>
      <c r="AH62" s="195">
        <f t="shared" si="1"/>
        <v>0</v>
      </c>
      <c r="AI62" s="195">
        <f t="shared" si="1"/>
        <v>34897</v>
      </c>
      <c r="AJ62" s="195">
        <f t="shared" si="1"/>
        <v>0</v>
      </c>
      <c r="AK62" s="195">
        <f t="shared" si="1"/>
        <v>1539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9367</v>
      </c>
      <c r="AW62" s="195">
        <f t="shared" si="1"/>
        <v>0</v>
      </c>
      <c r="AX62" s="195">
        <f t="shared" si="1"/>
        <v>0</v>
      </c>
      <c r="AY62" s="195">
        <f>ROUND(AY47+AY48,0)</f>
        <v>18545</v>
      </c>
      <c r="AZ62" s="195">
        <f>ROUND(AZ47+AZ48,0)</f>
        <v>0</v>
      </c>
      <c r="BA62" s="195">
        <f>ROUND(BA47+BA48,0)</f>
        <v>0</v>
      </c>
      <c r="BB62" s="195">
        <f t="shared" si="1"/>
        <v>15784</v>
      </c>
      <c r="BC62" s="195">
        <f t="shared" si="1"/>
        <v>0</v>
      </c>
      <c r="BD62" s="195">
        <f t="shared" si="1"/>
        <v>9127</v>
      </c>
      <c r="BE62" s="195">
        <f t="shared" si="1"/>
        <v>17951</v>
      </c>
      <c r="BF62" s="195">
        <f t="shared" si="1"/>
        <v>15416</v>
      </c>
      <c r="BG62" s="195">
        <f t="shared" si="1"/>
        <v>1175</v>
      </c>
      <c r="BH62" s="195">
        <f t="shared" si="1"/>
        <v>9932</v>
      </c>
      <c r="BI62" s="195">
        <f t="shared" si="1"/>
        <v>0</v>
      </c>
      <c r="BJ62" s="195">
        <f t="shared" si="1"/>
        <v>4044</v>
      </c>
      <c r="BK62" s="195">
        <f t="shared" si="1"/>
        <v>0</v>
      </c>
      <c r="BL62" s="195">
        <f t="shared" si="1"/>
        <v>2772</v>
      </c>
      <c r="BM62" s="195">
        <f t="shared" si="1"/>
        <v>13574</v>
      </c>
      <c r="BN62" s="195">
        <f t="shared" si="1"/>
        <v>17965</v>
      </c>
      <c r="BO62" s="195">
        <f t="shared" ref="BO62:CC62" si="2">ROUND(BO47+BO48,0)</f>
        <v>0</v>
      </c>
      <c r="BP62" s="195">
        <f t="shared" si="2"/>
        <v>1245</v>
      </c>
      <c r="BQ62" s="195">
        <f t="shared" si="2"/>
        <v>0</v>
      </c>
      <c r="BR62" s="195">
        <f t="shared" si="2"/>
        <v>1148366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13983</v>
      </c>
      <c r="BW62" s="195">
        <f t="shared" si="2"/>
        <v>2644</v>
      </c>
      <c r="BX62" s="195">
        <f t="shared" si="2"/>
        <v>8955</v>
      </c>
      <c r="BY62" s="195">
        <f t="shared" si="2"/>
        <v>18534</v>
      </c>
      <c r="BZ62" s="195">
        <f t="shared" si="2"/>
        <v>0</v>
      </c>
      <c r="CA62" s="195">
        <f t="shared" si="2"/>
        <v>4834</v>
      </c>
      <c r="CB62" s="195">
        <f t="shared" si="2"/>
        <v>0</v>
      </c>
      <c r="CC62" s="195">
        <f t="shared" si="2"/>
        <v>0</v>
      </c>
      <c r="CD62" s="247" t="s">
        <v>221</v>
      </c>
      <c r="CE62" s="195">
        <f t="shared" si="0"/>
        <v>1845896</v>
      </c>
      <c r="CF62" s="250"/>
    </row>
    <row r="63" spans="1:84" ht="12.65" customHeight="1">
      <c r="A63" s="171" t="s">
        <v>236</v>
      </c>
      <c r="B63" s="175"/>
      <c r="C63" s="184">
        <v>129300</v>
      </c>
      <c r="D63" s="184"/>
      <c r="E63" s="184"/>
      <c r="F63" s="185"/>
      <c r="G63" s="184"/>
      <c r="H63" s="184"/>
      <c r="I63" s="185"/>
      <c r="J63" s="185">
        <v>165337</v>
      </c>
      <c r="K63" s="185"/>
      <c r="L63" s="185"/>
      <c r="M63" s="184"/>
      <c r="N63" s="184"/>
      <c r="O63" s="184">
        <v>20884</v>
      </c>
      <c r="P63" s="185">
        <v>90063</v>
      </c>
      <c r="Q63" s="185"/>
      <c r="R63" s="185">
        <v>286749</v>
      </c>
      <c r="S63" s="185"/>
      <c r="T63" s="185"/>
      <c r="U63" s="185">
        <v>7452</v>
      </c>
      <c r="V63" s="185"/>
      <c r="W63" s="185"/>
      <c r="X63" s="185"/>
      <c r="Y63" s="185">
        <v>59266</v>
      </c>
      <c r="Z63" s="185"/>
      <c r="AA63" s="185"/>
      <c r="AB63" s="185"/>
      <c r="AC63" s="185">
        <v>8127</v>
      </c>
      <c r="AD63" s="185"/>
      <c r="AE63" s="185"/>
      <c r="AF63" s="185"/>
      <c r="AG63" s="185">
        <v>954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543210</v>
      </c>
      <c r="AW63" s="185"/>
      <c r="AX63" s="185"/>
      <c r="AY63" s="185"/>
      <c r="AZ63" s="185"/>
      <c r="BA63" s="185"/>
      <c r="BB63" s="185">
        <v>13749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v>13950</v>
      </c>
      <c r="BY63" s="185"/>
      <c r="BZ63" s="185"/>
      <c r="CA63" s="185"/>
      <c r="CB63" s="185"/>
      <c r="CC63" s="185"/>
      <c r="CD63" s="247" t="s">
        <v>221</v>
      </c>
      <c r="CE63" s="195">
        <f t="shared" si="0"/>
        <v>1339041</v>
      </c>
      <c r="CF63" s="250"/>
    </row>
    <row r="64" spans="1:84" ht="12.65" customHeight="1">
      <c r="A64" s="171" t="s">
        <v>237</v>
      </c>
      <c r="B64" s="175"/>
      <c r="C64" s="184">
        <v>55397</v>
      </c>
      <c r="D64" s="184"/>
      <c r="E64" s="185">
        <v>43008</v>
      </c>
      <c r="F64" s="185"/>
      <c r="G64" s="184"/>
      <c r="H64" s="184"/>
      <c r="I64" s="185"/>
      <c r="J64" s="185">
        <v>4493</v>
      </c>
      <c r="K64" s="185"/>
      <c r="L64" s="185"/>
      <c r="M64" s="184"/>
      <c r="N64" s="184"/>
      <c r="O64" s="184">
        <v>41534</v>
      </c>
      <c r="P64" s="185">
        <v>466385</v>
      </c>
      <c r="Q64" s="185">
        <v>14868</v>
      </c>
      <c r="R64" s="185">
        <v>57316</v>
      </c>
      <c r="S64" s="185">
        <v>100655</v>
      </c>
      <c r="T64" s="185"/>
      <c r="U64" s="185">
        <v>203038</v>
      </c>
      <c r="V64" s="185"/>
      <c r="W64" s="185">
        <v>-1962</v>
      </c>
      <c r="X64" s="185">
        <v>15941</v>
      </c>
      <c r="Y64" s="185">
        <v>-11627</v>
      </c>
      <c r="Z64" s="185">
        <v>1024</v>
      </c>
      <c r="AA64" s="185">
        <v>20720</v>
      </c>
      <c r="AB64" s="185">
        <v>666786</v>
      </c>
      <c r="AC64" s="185">
        <v>34291</v>
      </c>
      <c r="AD64" s="185"/>
      <c r="AE64" s="185">
        <v>1987</v>
      </c>
      <c r="AF64" s="185"/>
      <c r="AG64" s="185">
        <v>53749</v>
      </c>
      <c r="AH64" s="185"/>
      <c r="AI64" s="185">
        <v>91942</v>
      </c>
      <c r="AJ64" s="185"/>
      <c r="AK64" s="185">
        <v>1343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10900</v>
      </c>
      <c r="AW64" s="185"/>
      <c r="AX64" s="185"/>
      <c r="AY64" s="185">
        <v>147508</v>
      </c>
      <c r="AZ64" s="185"/>
      <c r="BA64" s="185"/>
      <c r="BB64" s="185">
        <v>2621</v>
      </c>
      <c r="BC64" s="185"/>
      <c r="BD64" s="185">
        <v>1905782</v>
      </c>
      <c r="BE64" s="185">
        <v>6256</v>
      </c>
      <c r="BF64" s="185">
        <v>24819</v>
      </c>
      <c r="BG64" s="185"/>
      <c r="BH64" s="185">
        <v>17403</v>
      </c>
      <c r="BI64" s="185"/>
      <c r="BJ64" s="185">
        <v>1051</v>
      </c>
      <c r="BK64" s="185"/>
      <c r="BL64" s="185"/>
      <c r="BM64" s="185">
        <v>5248</v>
      </c>
      <c r="BN64" s="185">
        <v>65741</v>
      </c>
      <c r="BO64" s="185"/>
      <c r="BP64" s="185">
        <v>255</v>
      </c>
      <c r="BQ64" s="185"/>
      <c r="BR64" s="185">
        <v>936</v>
      </c>
      <c r="BS64" s="185"/>
      <c r="BT64" s="185"/>
      <c r="BU64" s="185"/>
      <c r="BV64" s="185">
        <v>1532</v>
      </c>
      <c r="BW64" s="185">
        <v>252</v>
      </c>
      <c r="BX64" s="185">
        <v>9</v>
      </c>
      <c r="BY64" s="185">
        <v>5186</v>
      </c>
      <c r="BZ64" s="185"/>
      <c r="CA64" s="185">
        <v>693</v>
      </c>
      <c r="CB64" s="185"/>
      <c r="CC64" s="185"/>
      <c r="CD64" s="247" t="s">
        <v>221</v>
      </c>
      <c r="CE64" s="195">
        <f t="shared" si="0"/>
        <v>4057080</v>
      </c>
      <c r="CF64" s="250"/>
    </row>
    <row r="65" spans="1:87" ht="12.65" customHeight="1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>
        <v>1087</v>
      </c>
      <c r="Y65" s="185"/>
      <c r="Z65" s="185"/>
      <c r="AA65" s="185"/>
      <c r="AB65" s="185"/>
      <c r="AC65" s="185"/>
      <c r="AD65" s="185"/>
      <c r="AE65" s="185">
        <v>692</v>
      </c>
      <c r="AF65" s="185"/>
      <c r="AG65" s="185"/>
      <c r="AH65" s="185"/>
      <c r="AI65" s="185"/>
      <c r="AJ65" s="185"/>
      <c r="AK65" s="185">
        <v>52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165</v>
      </c>
      <c r="AW65" s="185"/>
      <c r="AX65" s="185"/>
      <c r="AY65" s="185"/>
      <c r="AZ65" s="185"/>
      <c r="BA65" s="185"/>
      <c r="BB65" s="185"/>
      <c r="BC65" s="185"/>
      <c r="BD65" s="185"/>
      <c r="BE65" s="185">
        <v>189920</v>
      </c>
      <c r="BF65" s="185"/>
      <c r="BG65" s="185">
        <v>56776</v>
      </c>
      <c r="BH65" s="185"/>
      <c r="BI65" s="185"/>
      <c r="BJ65" s="185"/>
      <c r="BK65" s="185"/>
      <c r="BL65" s="185"/>
      <c r="BM65" s="185"/>
      <c r="BN65" s="185">
        <v>90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7" t="s">
        <v>221</v>
      </c>
      <c r="CE65" s="195">
        <f t="shared" si="0"/>
        <v>248782</v>
      </c>
      <c r="CF65" s="250"/>
    </row>
    <row r="66" spans="1:87" ht="12.65" customHeight="1">
      <c r="A66" s="171" t="s">
        <v>239</v>
      </c>
      <c r="B66" s="175"/>
      <c r="C66" s="184">
        <v>15692</v>
      </c>
      <c r="D66" s="184"/>
      <c r="E66" s="184">
        <v>9864</v>
      </c>
      <c r="F66" s="184"/>
      <c r="G66" s="184"/>
      <c r="H66" s="184"/>
      <c r="I66" s="184"/>
      <c r="J66" s="184">
        <v>18372</v>
      </c>
      <c r="K66" s="185"/>
      <c r="L66" s="185"/>
      <c r="M66" s="184"/>
      <c r="N66" s="184"/>
      <c r="O66" s="185">
        <v>412</v>
      </c>
      <c r="P66" s="185">
        <v>69829</v>
      </c>
      <c r="Q66" s="185">
        <v>80</v>
      </c>
      <c r="R66" s="185">
        <v>16</v>
      </c>
      <c r="S66" s="184">
        <v>377442</v>
      </c>
      <c r="T66" s="184"/>
      <c r="U66" s="185">
        <v>105342</v>
      </c>
      <c r="V66" s="185"/>
      <c r="W66" s="185"/>
      <c r="X66" s="185">
        <v>117776</v>
      </c>
      <c r="Y66" s="185">
        <v>113589</v>
      </c>
      <c r="Z66" s="185">
        <v>124728</v>
      </c>
      <c r="AA66" s="185">
        <v>6858</v>
      </c>
      <c r="AB66" s="185">
        <v>24888</v>
      </c>
      <c r="AC66" s="185">
        <v>6651</v>
      </c>
      <c r="AD66" s="185"/>
      <c r="AE66" s="185">
        <v>3123</v>
      </c>
      <c r="AF66" s="185"/>
      <c r="AG66" s="185">
        <v>9914</v>
      </c>
      <c r="AH66" s="185"/>
      <c r="AI66" s="185">
        <v>271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189250</v>
      </c>
      <c r="AW66" s="185"/>
      <c r="AX66" s="185"/>
      <c r="AY66" s="185">
        <v>889</v>
      </c>
      <c r="AZ66" s="185"/>
      <c r="BA66" s="185"/>
      <c r="BB66" s="185">
        <v>1181</v>
      </c>
      <c r="BC66" s="185"/>
      <c r="BD66" s="185">
        <v>469</v>
      </c>
      <c r="BE66" s="185">
        <v>68442</v>
      </c>
      <c r="BF66" s="185">
        <v>139005</v>
      </c>
      <c r="BG66" s="185">
        <v>854</v>
      </c>
      <c r="BH66" s="185">
        <v>446582</v>
      </c>
      <c r="BI66" s="185"/>
      <c r="BJ66" s="185">
        <v>-5000</v>
      </c>
      <c r="BK66" s="185">
        <v>419129</v>
      </c>
      <c r="BL66" s="185"/>
      <c r="BM66" s="185">
        <v>10154</v>
      </c>
      <c r="BN66" s="185">
        <v>319484</v>
      </c>
      <c r="BO66" s="185"/>
      <c r="BP66" s="185">
        <v>3401</v>
      </c>
      <c r="BQ66" s="185"/>
      <c r="BR66" s="185">
        <v>44171</v>
      </c>
      <c r="BS66" s="185"/>
      <c r="BT66" s="185"/>
      <c r="BU66" s="185"/>
      <c r="BV66" s="185">
        <v>53038</v>
      </c>
      <c r="BW66" s="185">
        <v>17425</v>
      </c>
      <c r="BX66" s="185">
        <v>44021</v>
      </c>
      <c r="BY66" s="185">
        <v>57</v>
      </c>
      <c r="BZ66" s="185"/>
      <c r="CA66" s="185">
        <v>1000</v>
      </c>
      <c r="CB66" s="185"/>
      <c r="CC66" s="185"/>
      <c r="CD66" s="247" t="s">
        <v>221</v>
      </c>
      <c r="CE66" s="195">
        <f t="shared" si="0"/>
        <v>2758399</v>
      </c>
      <c r="CF66" s="250"/>
    </row>
    <row r="67" spans="1:87" ht="12.65" customHeight="1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7" t="s">
        <v>221</v>
      </c>
      <c r="CE67" s="195">
        <f t="shared" si="0"/>
        <v>0</v>
      </c>
      <c r="CF67" s="250"/>
    </row>
    <row r="68" spans="1:87" ht="12.65" customHeight="1">
      <c r="A68" s="171" t="s">
        <v>240</v>
      </c>
      <c r="B68" s="175"/>
      <c r="C68" s="184">
        <v>8674</v>
      </c>
      <c r="D68" s="184"/>
      <c r="E68" s="184">
        <v>13324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25</v>
      </c>
      <c r="P68" s="185">
        <v>79627</v>
      </c>
      <c r="Q68" s="185"/>
      <c r="R68" s="185">
        <v>32123</v>
      </c>
      <c r="S68" s="185">
        <v>2505</v>
      </c>
      <c r="T68" s="185"/>
      <c r="U68" s="185">
        <v>55770</v>
      </c>
      <c r="V68" s="185"/>
      <c r="W68" s="185"/>
      <c r="X68" s="185">
        <v>153842</v>
      </c>
      <c r="Y68" s="185">
        <v>694</v>
      </c>
      <c r="Z68" s="185">
        <v>232</v>
      </c>
      <c r="AA68" s="185"/>
      <c r="AB68" s="185">
        <v>69256</v>
      </c>
      <c r="AC68" s="185">
        <v>44698</v>
      </c>
      <c r="AD68" s="185"/>
      <c r="AE68" s="185">
        <v>22444</v>
      </c>
      <c r="AF68" s="185"/>
      <c r="AG68" s="185">
        <v>1089</v>
      </c>
      <c r="AH68" s="185"/>
      <c r="AI68" s="185">
        <v>1</v>
      </c>
      <c r="AJ68" s="185"/>
      <c r="AK68" s="185">
        <v>1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3611</v>
      </c>
      <c r="AW68" s="185"/>
      <c r="AX68" s="185"/>
      <c r="AY68" s="185"/>
      <c r="AZ68" s="185"/>
      <c r="BA68" s="185"/>
      <c r="BB68" s="185">
        <v>12</v>
      </c>
      <c r="BC68" s="185"/>
      <c r="BD68" s="185">
        <v>919</v>
      </c>
      <c r="BE68" s="185">
        <v>386</v>
      </c>
      <c r="BF68" s="185"/>
      <c r="BG68" s="185"/>
      <c r="BH68" s="185"/>
      <c r="BI68" s="185"/>
      <c r="BJ68" s="185">
        <v>7</v>
      </c>
      <c r="BK68" s="185"/>
      <c r="BL68" s="185"/>
      <c r="BM68" s="185"/>
      <c r="BN68" s="185">
        <v>121716</v>
      </c>
      <c r="BO68" s="185"/>
      <c r="BP68" s="185"/>
      <c r="BQ68" s="185"/>
      <c r="BR68" s="185"/>
      <c r="BS68" s="185"/>
      <c r="BT68" s="185"/>
      <c r="BU68" s="185"/>
      <c r="BV68" s="185">
        <v>10243</v>
      </c>
      <c r="BW68" s="185">
        <v>128</v>
      </c>
      <c r="BX68" s="185"/>
      <c r="BY68" s="185">
        <v>119</v>
      </c>
      <c r="BZ68" s="185"/>
      <c r="CA68" s="185"/>
      <c r="CB68" s="185"/>
      <c r="CC68" s="185"/>
      <c r="CD68" s="247" t="s">
        <v>221</v>
      </c>
      <c r="CE68" s="195">
        <f t="shared" si="0"/>
        <v>621446</v>
      </c>
      <c r="CF68" s="250"/>
    </row>
    <row r="69" spans="1:87" ht="12.65" customHeight="1">
      <c r="A69" s="171" t="s">
        <v>241</v>
      </c>
      <c r="B69" s="175"/>
      <c r="C69" s="184">
        <v>48178</v>
      </c>
      <c r="D69" s="184"/>
      <c r="E69" s="185">
        <v>10324</v>
      </c>
      <c r="F69" s="185"/>
      <c r="G69" s="184"/>
      <c r="H69" s="184"/>
      <c r="I69" s="185"/>
      <c r="J69" s="185">
        <v>357</v>
      </c>
      <c r="K69" s="185"/>
      <c r="L69" s="185"/>
      <c r="M69" s="184"/>
      <c r="N69" s="184"/>
      <c r="O69" s="184">
        <v>60236</v>
      </c>
      <c r="P69" s="185">
        <v>458544</v>
      </c>
      <c r="Q69" s="185">
        <v>863</v>
      </c>
      <c r="R69" s="224">
        <v>2411</v>
      </c>
      <c r="S69" s="185">
        <v>149587</v>
      </c>
      <c r="T69" s="184"/>
      <c r="U69" s="185">
        <v>37703</v>
      </c>
      <c r="V69" s="185"/>
      <c r="W69" s="184">
        <v>22334</v>
      </c>
      <c r="X69" s="185">
        <v>69170</v>
      </c>
      <c r="Y69" s="185">
        <v>530124</v>
      </c>
      <c r="Z69" s="185">
        <v>69841</v>
      </c>
      <c r="AA69" s="185">
        <v>14447</v>
      </c>
      <c r="AB69" s="185">
        <v>22771</v>
      </c>
      <c r="AC69" s="185">
        <v>661</v>
      </c>
      <c r="AD69" s="185"/>
      <c r="AE69" s="185">
        <v>3130</v>
      </c>
      <c r="AF69" s="185"/>
      <c r="AG69" s="185">
        <v>286599</v>
      </c>
      <c r="AH69" s="185"/>
      <c r="AI69" s="185">
        <v>21572</v>
      </c>
      <c r="AJ69" s="185"/>
      <c r="AK69" s="185">
        <v>11120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4952</v>
      </c>
      <c r="AW69" s="185"/>
      <c r="AX69" s="185"/>
      <c r="AY69" s="185">
        <v>9817</v>
      </c>
      <c r="AZ69" s="185"/>
      <c r="BA69" s="185"/>
      <c r="BB69" s="185">
        <v>68726</v>
      </c>
      <c r="BC69" s="185"/>
      <c r="BD69" s="185">
        <v>49695</v>
      </c>
      <c r="BE69" s="185">
        <v>202999</v>
      </c>
      <c r="BF69" s="185">
        <v>1810</v>
      </c>
      <c r="BG69" s="185"/>
      <c r="BH69" s="224">
        <v>75002</v>
      </c>
      <c r="BI69" s="185"/>
      <c r="BJ69" s="185">
        <v>36697</v>
      </c>
      <c r="BK69" s="185"/>
      <c r="BL69" s="185"/>
      <c r="BM69" s="185">
        <v>60305</v>
      </c>
      <c r="BN69" s="185">
        <v>706461</v>
      </c>
      <c r="BO69" s="185"/>
      <c r="BP69" s="185">
        <v>45999</v>
      </c>
      <c r="BQ69" s="185"/>
      <c r="BR69" s="185">
        <v>47357</v>
      </c>
      <c r="BS69" s="185"/>
      <c r="BT69" s="185"/>
      <c r="BU69" s="185"/>
      <c r="BV69" s="185">
        <v>2018</v>
      </c>
      <c r="BW69" s="185">
        <v>-1992</v>
      </c>
      <c r="BX69" s="185">
        <v>18716</v>
      </c>
      <c r="BY69" s="185">
        <v>-50</v>
      </c>
      <c r="BZ69" s="185"/>
      <c r="CA69" s="185">
        <v>20022</v>
      </c>
      <c r="CB69" s="185"/>
      <c r="CC69" s="185"/>
      <c r="CD69" s="368">
        <v>-72174</v>
      </c>
      <c r="CE69" s="195">
        <f t="shared" si="0"/>
        <v>3096332</v>
      </c>
      <c r="CF69" s="250"/>
    </row>
    <row r="70" spans="1:87" ht="12.65" customHeight="1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0"/>
    </row>
    <row r="71" spans="1:87" ht="12.65" customHeight="1">
      <c r="A71" s="171" t="s">
        <v>243</v>
      </c>
      <c r="B71" s="175"/>
      <c r="C71" s="195">
        <f>SUM(C61:C68)+C69-C70</f>
        <v>1671226</v>
      </c>
      <c r="D71" s="195">
        <f t="shared" ref="D71:AI71" si="5">SUM(D61:D69)-D70</f>
        <v>0</v>
      </c>
      <c r="E71" s="195">
        <f t="shared" si="5"/>
        <v>958297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188559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909968</v>
      </c>
      <c r="P71" s="195">
        <f t="shared" si="5"/>
        <v>1501830</v>
      </c>
      <c r="Q71" s="195">
        <f t="shared" si="5"/>
        <v>265791</v>
      </c>
      <c r="R71" s="195">
        <f t="shared" si="5"/>
        <v>424852</v>
      </c>
      <c r="S71" s="195">
        <f t="shared" si="5"/>
        <v>775649</v>
      </c>
      <c r="T71" s="195">
        <f t="shared" si="5"/>
        <v>0</v>
      </c>
      <c r="U71" s="195">
        <f t="shared" si="5"/>
        <v>799847</v>
      </c>
      <c r="V71" s="195">
        <f t="shared" si="5"/>
        <v>0</v>
      </c>
      <c r="W71" s="195">
        <f t="shared" si="5"/>
        <v>64960</v>
      </c>
      <c r="X71" s="195">
        <f t="shared" si="5"/>
        <v>489179</v>
      </c>
      <c r="Y71" s="195">
        <f t="shared" si="5"/>
        <v>1475813</v>
      </c>
      <c r="Z71" s="195">
        <f t="shared" si="5"/>
        <v>351942</v>
      </c>
      <c r="AA71" s="195">
        <f t="shared" si="5"/>
        <v>95398</v>
      </c>
      <c r="AB71" s="195">
        <f t="shared" si="5"/>
        <v>1142130</v>
      </c>
      <c r="AC71" s="195">
        <f t="shared" si="5"/>
        <v>403003</v>
      </c>
      <c r="AD71" s="195">
        <f t="shared" si="5"/>
        <v>0</v>
      </c>
      <c r="AE71" s="195">
        <f t="shared" si="5"/>
        <v>206240</v>
      </c>
      <c r="AF71" s="195">
        <f t="shared" si="5"/>
        <v>0</v>
      </c>
      <c r="AG71" s="195">
        <f t="shared" si="5"/>
        <v>934579</v>
      </c>
      <c r="AH71" s="195">
        <f t="shared" si="5"/>
        <v>0</v>
      </c>
      <c r="AI71" s="195">
        <f t="shared" si="5"/>
        <v>627137</v>
      </c>
      <c r="AJ71" s="195">
        <f t="shared" ref="AJ71:BO71" si="6">SUM(AJ61:AJ69)-AJ70</f>
        <v>0</v>
      </c>
      <c r="AK71" s="195">
        <f t="shared" si="6"/>
        <v>34218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915563</v>
      </c>
      <c r="AW71" s="195">
        <f t="shared" si="6"/>
        <v>0</v>
      </c>
      <c r="AX71" s="195">
        <f t="shared" si="6"/>
        <v>0</v>
      </c>
      <c r="AY71" s="195">
        <f t="shared" si="6"/>
        <v>421468</v>
      </c>
      <c r="AZ71" s="195">
        <f t="shared" si="6"/>
        <v>0</v>
      </c>
      <c r="BA71" s="195">
        <f t="shared" si="6"/>
        <v>0</v>
      </c>
      <c r="BB71" s="195">
        <f t="shared" si="6"/>
        <v>276112</v>
      </c>
      <c r="BC71" s="195">
        <f t="shared" si="6"/>
        <v>0</v>
      </c>
      <c r="BD71" s="195">
        <f t="shared" si="6"/>
        <v>2090939</v>
      </c>
      <c r="BE71" s="195">
        <f t="shared" si="6"/>
        <v>732197</v>
      </c>
      <c r="BF71" s="195">
        <f t="shared" si="6"/>
        <v>391445</v>
      </c>
      <c r="BG71" s="195">
        <f t="shared" si="6"/>
        <v>74011</v>
      </c>
      <c r="BH71" s="195">
        <f t="shared" si="6"/>
        <v>677948</v>
      </c>
      <c r="BI71" s="195">
        <f t="shared" si="6"/>
        <v>0</v>
      </c>
      <c r="BJ71" s="195">
        <f t="shared" si="6"/>
        <v>97296</v>
      </c>
      <c r="BK71" s="195">
        <f t="shared" si="6"/>
        <v>419129</v>
      </c>
      <c r="BL71" s="195">
        <f t="shared" si="6"/>
        <v>40954</v>
      </c>
      <c r="BM71" s="195">
        <f t="shared" si="6"/>
        <v>274160</v>
      </c>
      <c r="BN71" s="195">
        <f t="shared" si="6"/>
        <v>1537171</v>
      </c>
      <c r="BO71" s="195">
        <f t="shared" si="6"/>
        <v>0</v>
      </c>
      <c r="BP71" s="195">
        <f t="shared" ref="BP71:CC71" si="7">SUM(BP61:BP69)-BP70</f>
        <v>67462</v>
      </c>
      <c r="BQ71" s="195">
        <f t="shared" si="7"/>
        <v>0</v>
      </c>
      <c r="BR71" s="195">
        <f t="shared" si="7"/>
        <v>1327395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257103</v>
      </c>
      <c r="BW71" s="195">
        <f t="shared" si="7"/>
        <v>53572</v>
      </c>
      <c r="BX71" s="195">
        <f t="shared" si="7"/>
        <v>207182</v>
      </c>
      <c r="BY71" s="195">
        <f t="shared" si="7"/>
        <v>274216</v>
      </c>
      <c r="BZ71" s="195">
        <f t="shared" si="7"/>
        <v>0</v>
      </c>
      <c r="CA71" s="195">
        <f t="shared" si="7"/>
        <v>91315</v>
      </c>
      <c r="CB71" s="195">
        <f t="shared" si="7"/>
        <v>0</v>
      </c>
      <c r="CC71" s="195">
        <f t="shared" si="7"/>
        <v>0</v>
      </c>
      <c r="CD71" s="243">
        <f>CD69-CD70</f>
        <v>-72174</v>
      </c>
      <c r="CE71" s="195">
        <f>SUM(CE61:CE69)-CE70</f>
        <v>23475082</v>
      </c>
      <c r="CF71" s="250"/>
    </row>
    <row r="72" spans="1:87" ht="12.65" customHeight="1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/>
      <c r="CF72" s="250"/>
      <c r="CH72" s="387" t="s">
        <v>1294</v>
      </c>
    </row>
    <row r="73" spans="1:87" ht="12.65" customHeight="1">
      <c r="A73" s="171" t="s">
        <v>245</v>
      </c>
      <c r="B73" s="175"/>
      <c r="C73" s="184">
        <f>'data 1Q21'!C73-48384</f>
        <v>7542938</v>
      </c>
      <c r="D73" s="184">
        <f>'data 1Q21'!D73</f>
        <v>0</v>
      </c>
      <c r="E73" s="184">
        <f>'data 1Q21'!E73</f>
        <v>3146150</v>
      </c>
      <c r="F73" s="184">
        <f>'data 1Q21'!F73</f>
        <v>0</v>
      </c>
      <c r="G73" s="184">
        <f>'data 1Q21'!G73</f>
        <v>0</v>
      </c>
      <c r="H73" s="184">
        <f>'data 1Q21'!H73</f>
        <v>0</v>
      </c>
      <c r="I73" s="184">
        <f>'data 1Q21'!I73</f>
        <v>0</v>
      </c>
      <c r="J73" s="184">
        <f>'data 1Q21'!J73</f>
        <v>850287</v>
      </c>
      <c r="K73" s="184">
        <f>'data 1Q21'!K73</f>
        <v>0</v>
      </c>
      <c r="L73" s="184">
        <f>'data 1Q21'!L73</f>
        <v>0</v>
      </c>
      <c r="M73" s="184">
        <f>'data 1Q21'!M73</f>
        <v>0</v>
      </c>
      <c r="N73" s="184">
        <f>'data 1Q21'!N73</f>
        <v>0</v>
      </c>
      <c r="O73" s="184">
        <f>'data 1Q21'!O73</f>
        <v>5044465</v>
      </c>
      <c r="P73" s="184">
        <f>'data 1Q21'!P73</f>
        <v>6655965</v>
      </c>
      <c r="Q73" s="184">
        <f>'data 1Q21'!Q73</f>
        <v>1797350</v>
      </c>
      <c r="R73" s="184">
        <f>'data 1Q21'!R73</f>
        <v>1159690</v>
      </c>
      <c r="S73" s="184">
        <f>'data 1Q21'!S73</f>
        <v>0</v>
      </c>
      <c r="T73" s="184">
        <f>'data 1Q21'!T73</f>
        <v>0</v>
      </c>
      <c r="U73" s="184">
        <f>'data 1Q21'!U73</f>
        <v>5557114</v>
      </c>
      <c r="V73" s="184">
        <f>'data 1Q21'!V73</f>
        <v>0</v>
      </c>
      <c r="W73" s="184">
        <f>'data 1Q21'!W73</f>
        <v>324702</v>
      </c>
      <c r="X73" s="184">
        <f>'data 1Q21'!X73</f>
        <v>2829976</v>
      </c>
      <c r="Y73" s="184">
        <f>'data 1Q21'!Y73</f>
        <v>4076745</v>
      </c>
      <c r="Z73" s="184">
        <f>'data 1Q21'!Z73</f>
        <v>29791</v>
      </c>
      <c r="AA73" s="184">
        <f>'data 1Q21'!AA73</f>
        <v>214324</v>
      </c>
      <c r="AB73" s="184">
        <f>'data 1Q21'!AB73</f>
        <v>2822175</v>
      </c>
      <c r="AC73" s="184">
        <f>'data 1Q21'!AC73</f>
        <v>1490751</v>
      </c>
      <c r="AD73" s="184">
        <f>'data 1Q21'!AD73</f>
        <v>0</v>
      </c>
      <c r="AE73" s="184">
        <f>'data 1Q21'!AE73</f>
        <v>365644</v>
      </c>
      <c r="AF73" s="184">
        <f>'data 1Q21'!AF73</f>
        <v>0</v>
      </c>
      <c r="AG73" s="184">
        <f>'data 1Q21'!AG73</f>
        <v>2335409</v>
      </c>
      <c r="AH73" s="184">
        <f>'data 1Q21'!AH73</f>
        <v>0</v>
      </c>
      <c r="AI73" s="184">
        <f>'data 1Q21'!AI73</f>
        <v>353987</v>
      </c>
      <c r="AJ73" s="184">
        <f>'data 1Q21'!AJ73</f>
        <v>0</v>
      </c>
      <c r="AK73" s="184">
        <f>'data 1Q21'!AK73</f>
        <v>97840</v>
      </c>
      <c r="AL73" s="184">
        <f>'data 1Q21'!AL73</f>
        <v>0</v>
      </c>
      <c r="AM73" s="184">
        <f>'data 1Q21'!AM73</f>
        <v>0</v>
      </c>
      <c r="AN73" s="184">
        <f>'data 1Q21'!AN73</f>
        <v>0</v>
      </c>
      <c r="AO73" s="184">
        <f>'data 1Q21'!AO73</f>
        <v>0</v>
      </c>
      <c r="AP73" s="184">
        <f>'data 1Q21'!AP73</f>
        <v>0</v>
      </c>
      <c r="AQ73" s="184">
        <f>'data 1Q21'!AQ73</f>
        <v>0</v>
      </c>
      <c r="AR73" s="184">
        <f>'data 1Q21'!AR73</f>
        <v>0</v>
      </c>
      <c r="AS73" s="184">
        <f>'data 1Q21'!AS73</f>
        <v>0</v>
      </c>
      <c r="AT73" s="184">
        <f>'data 1Q21'!AT73</f>
        <v>0</v>
      </c>
      <c r="AU73" s="184">
        <f>'data 1Q21'!AU73</f>
        <v>0</v>
      </c>
      <c r="AV73" s="184">
        <f>'data 1Q21'!AV73</f>
        <v>7186636</v>
      </c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>SUM(C73:CD73)</f>
        <v>53881939</v>
      </c>
      <c r="CF73" s="250">
        <f>G141</f>
        <v>0</v>
      </c>
      <c r="CH73" s="180">
        <f>'data 1Q21'!CE73</f>
        <v>53930323</v>
      </c>
      <c r="CI73" s="180">
        <f t="shared" ref="CI73:CI75" si="8">CH73-CE73</f>
        <v>48384</v>
      </c>
    </row>
    <row r="74" spans="1:87" ht="12.65" customHeight="1">
      <c r="A74" s="171" t="s">
        <v>246</v>
      </c>
      <c r="B74" s="175"/>
      <c r="C74" s="184">
        <f>'data 1Q21'!C74-2</f>
        <v>472694</v>
      </c>
      <c r="D74" s="184">
        <f>'data 1Q21'!D74</f>
        <v>0</v>
      </c>
      <c r="E74" s="184">
        <f>'data 1Q21'!E74</f>
        <v>278975</v>
      </c>
      <c r="F74" s="184">
        <f>'data 1Q21'!F74</f>
        <v>0</v>
      </c>
      <c r="G74" s="184">
        <f>'data 1Q21'!G74</f>
        <v>0</v>
      </c>
      <c r="H74" s="184">
        <f>'data 1Q21'!H74</f>
        <v>0</v>
      </c>
      <c r="I74" s="184">
        <f>'data 1Q21'!I74</f>
        <v>0</v>
      </c>
      <c r="J74" s="184">
        <f>'data 1Q21'!J74</f>
        <v>1386</v>
      </c>
      <c r="K74" s="184">
        <f>'data 1Q21'!K74</f>
        <v>0</v>
      </c>
      <c r="L74" s="184">
        <f>'data 1Q21'!L74</f>
        <v>0</v>
      </c>
      <c r="M74" s="184">
        <f>'data 1Q21'!M74</f>
        <v>0</v>
      </c>
      <c r="N74" s="184">
        <f>'data 1Q21'!N74</f>
        <v>0</v>
      </c>
      <c r="O74" s="184">
        <f>'data 1Q21'!O74</f>
        <v>263311</v>
      </c>
      <c r="P74" s="184">
        <f>'data 1Q21'!P74</f>
        <v>12417191</v>
      </c>
      <c r="Q74" s="184">
        <f>'data 1Q21'!Q74</f>
        <v>4172461</v>
      </c>
      <c r="R74" s="184">
        <f>'data 1Q21'!R74</f>
        <v>2393504</v>
      </c>
      <c r="S74" s="184">
        <f>'data 1Q21'!S74</f>
        <v>0</v>
      </c>
      <c r="T74" s="184">
        <f>'data 1Q21'!T74</f>
        <v>0</v>
      </c>
      <c r="U74" s="184">
        <f>'data 1Q21'!U74</f>
        <v>5792119</v>
      </c>
      <c r="V74" s="184">
        <f>'data 1Q21'!V74</f>
        <v>0</v>
      </c>
      <c r="W74" s="184">
        <f>'data 1Q21'!W74</f>
        <v>622480</v>
      </c>
      <c r="X74" s="184">
        <f>'data 1Q21'!X74</f>
        <v>16550309</v>
      </c>
      <c r="Y74" s="184">
        <f>'data 1Q21'!Y74</f>
        <v>8666802</v>
      </c>
      <c r="Z74" s="184">
        <f>'data 1Q21'!Z74</f>
        <v>9898409</v>
      </c>
      <c r="AA74" s="184">
        <f>'data 1Q21'!AA74</f>
        <v>719151</v>
      </c>
      <c r="AB74" s="184">
        <f>'data 1Q21'!AB74</f>
        <v>2065009</v>
      </c>
      <c r="AC74" s="184">
        <f>'data 1Q21'!AC74</f>
        <v>1117497</v>
      </c>
      <c r="AD74" s="184">
        <f>'data 1Q21'!AD74</f>
        <v>0</v>
      </c>
      <c r="AE74" s="184">
        <f>'data 1Q21'!AE74</f>
        <v>573771</v>
      </c>
      <c r="AF74" s="184">
        <f>'data 1Q21'!AF74</f>
        <v>0</v>
      </c>
      <c r="AG74" s="184">
        <f>'data 1Q21'!AG74</f>
        <v>9352011</v>
      </c>
      <c r="AH74" s="184">
        <f>'data 1Q21'!AH74</f>
        <v>0</v>
      </c>
      <c r="AI74" s="184">
        <f>'data 1Q21'!AI74</f>
        <v>1899216</v>
      </c>
      <c r="AJ74" s="184">
        <f>'data 1Q21'!AJ74</f>
        <v>0</v>
      </c>
      <c r="AK74" s="184">
        <f>'data 1Q21'!AK74</f>
        <v>166673</v>
      </c>
      <c r="AL74" s="184">
        <f>'data 1Q21'!AL74</f>
        <v>0</v>
      </c>
      <c r="AM74" s="184">
        <f>'data 1Q21'!AM74</f>
        <v>0</v>
      </c>
      <c r="AN74" s="184">
        <f>'data 1Q21'!AN74</f>
        <v>0</v>
      </c>
      <c r="AO74" s="184">
        <f>'data 1Q21'!AO74</f>
        <v>0</v>
      </c>
      <c r="AP74" s="184">
        <f>'data 1Q21'!AP74</f>
        <v>0</v>
      </c>
      <c r="AQ74" s="184">
        <f>'data 1Q21'!AQ74</f>
        <v>0</v>
      </c>
      <c r="AR74" s="184">
        <f>'data 1Q21'!AR74</f>
        <v>0</v>
      </c>
      <c r="AS74" s="184">
        <f>'data 1Q21'!AS74</f>
        <v>0</v>
      </c>
      <c r="AT74" s="184">
        <f>'data 1Q21'!AT74</f>
        <v>0</v>
      </c>
      <c r="AU74" s="184">
        <f>'data 1Q21'!AU74</f>
        <v>0</v>
      </c>
      <c r="AV74" s="184">
        <f>'data 1Q21'!AV74</f>
        <v>9926148</v>
      </c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ref="CE74:CE80" si="9">SUM(C74:CD74)</f>
        <v>87349117</v>
      </c>
      <c r="CF74" s="250"/>
      <c r="CH74" s="180">
        <f>'data 1Q21'!CE74</f>
        <v>87349119</v>
      </c>
      <c r="CI74" s="180">
        <f t="shared" si="8"/>
        <v>2</v>
      </c>
    </row>
    <row r="75" spans="1:87" ht="12.65" customHeight="1">
      <c r="A75" s="171" t="s">
        <v>247</v>
      </c>
      <c r="B75" s="175"/>
      <c r="C75" s="195">
        <f t="shared" ref="C75:AV75" si="10">SUM(C73:C74)</f>
        <v>8015632</v>
      </c>
      <c r="D75" s="195">
        <f t="shared" si="10"/>
        <v>0</v>
      </c>
      <c r="E75" s="195">
        <f t="shared" si="10"/>
        <v>3425125</v>
      </c>
      <c r="F75" s="195">
        <f t="shared" si="10"/>
        <v>0</v>
      </c>
      <c r="G75" s="195">
        <f t="shared" si="10"/>
        <v>0</v>
      </c>
      <c r="H75" s="195">
        <f t="shared" si="10"/>
        <v>0</v>
      </c>
      <c r="I75" s="195">
        <f t="shared" si="10"/>
        <v>0</v>
      </c>
      <c r="J75" s="195">
        <f t="shared" si="10"/>
        <v>851673</v>
      </c>
      <c r="K75" s="195">
        <f t="shared" si="10"/>
        <v>0</v>
      </c>
      <c r="L75" s="195">
        <f t="shared" si="10"/>
        <v>0</v>
      </c>
      <c r="M75" s="195">
        <f t="shared" si="10"/>
        <v>0</v>
      </c>
      <c r="N75" s="195">
        <f t="shared" si="10"/>
        <v>0</v>
      </c>
      <c r="O75" s="195">
        <f t="shared" si="10"/>
        <v>5307776</v>
      </c>
      <c r="P75" s="195">
        <f t="shared" si="10"/>
        <v>19073156</v>
      </c>
      <c r="Q75" s="195">
        <f t="shared" si="10"/>
        <v>5969811</v>
      </c>
      <c r="R75" s="195">
        <f t="shared" si="10"/>
        <v>3553194</v>
      </c>
      <c r="S75" s="195">
        <f t="shared" si="10"/>
        <v>0</v>
      </c>
      <c r="T75" s="195">
        <f t="shared" si="10"/>
        <v>0</v>
      </c>
      <c r="U75" s="195">
        <f t="shared" si="10"/>
        <v>11349233</v>
      </c>
      <c r="V75" s="195">
        <f t="shared" si="10"/>
        <v>0</v>
      </c>
      <c r="W75" s="195">
        <f t="shared" si="10"/>
        <v>947182</v>
      </c>
      <c r="X75" s="195">
        <f t="shared" si="10"/>
        <v>19380285</v>
      </c>
      <c r="Y75" s="195">
        <f t="shared" si="10"/>
        <v>12743547</v>
      </c>
      <c r="Z75" s="195">
        <f t="shared" si="10"/>
        <v>9928200</v>
      </c>
      <c r="AA75" s="195">
        <f t="shared" si="10"/>
        <v>933475</v>
      </c>
      <c r="AB75" s="195">
        <f t="shared" si="10"/>
        <v>4887184</v>
      </c>
      <c r="AC75" s="195">
        <f t="shared" si="10"/>
        <v>2608248</v>
      </c>
      <c r="AD75" s="195">
        <f t="shared" si="10"/>
        <v>0</v>
      </c>
      <c r="AE75" s="195">
        <f t="shared" si="10"/>
        <v>939415</v>
      </c>
      <c r="AF75" s="195">
        <f t="shared" si="10"/>
        <v>0</v>
      </c>
      <c r="AG75" s="195">
        <f t="shared" si="10"/>
        <v>11687420</v>
      </c>
      <c r="AH75" s="195">
        <f t="shared" si="10"/>
        <v>0</v>
      </c>
      <c r="AI75" s="195">
        <f t="shared" si="10"/>
        <v>2253203</v>
      </c>
      <c r="AJ75" s="195">
        <f t="shared" si="10"/>
        <v>0</v>
      </c>
      <c r="AK75" s="195">
        <f t="shared" si="10"/>
        <v>264513</v>
      </c>
      <c r="AL75" s="195">
        <f t="shared" si="10"/>
        <v>0</v>
      </c>
      <c r="AM75" s="195">
        <f t="shared" si="10"/>
        <v>0</v>
      </c>
      <c r="AN75" s="195">
        <f t="shared" si="10"/>
        <v>0</v>
      </c>
      <c r="AO75" s="195">
        <f t="shared" si="10"/>
        <v>0</v>
      </c>
      <c r="AP75" s="195">
        <f t="shared" si="10"/>
        <v>0</v>
      </c>
      <c r="AQ75" s="195">
        <f t="shared" si="10"/>
        <v>0</v>
      </c>
      <c r="AR75" s="195">
        <f t="shared" si="10"/>
        <v>0</v>
      </c>
      <c r="AS75" s="195">
        <f t="shared" si="10"/>
        <v>0</v>
      </c>
      <c r="AT75" s="195">
        <f t="shared" si="10"/>
        <v>0</v>
      </c>
      <c r="AU75" s="195">
        <f t="shared" si="10"/>
        <v>0</v>
      </c>
      <c r="AV75" s="195">
        <f t="shared" si="10"/>
        <v>17112784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195">
        <f t="shared" ref="CC75" si="11">SUM(CC73:CC74)</f>
        <v>0</v>
      </c>
      <c r="CD75" s="247" t="s">
        <v>221</v>
      </c>
      <c r="CE75" s="195">
        <f t="shared" si="9"/>
        <v>141231056</v>
      </c>
      <c r="CF75" s="250"/>
      <c r="CH75" s="180">
        <f>'data 1Q21'!CE75</f>
        <v>141279442</v>
      </c>
      <c r="CI75" s="180">
        <f t="shared" si="8"/>
        <v>48386</v>
      </c>
    </row>
    <row r="76" spans="1:87" ht="12.65" customHeight="1">
      <c r="A76" s="171" t="s">
        <v>248</v>
      </c>
      <c r="B76" s="175"/>
      <c r="C76" s="284">
        <v>8412</v>
      </c>
      <c r="D76" s="184"/>
      <c r="E76" s="185">
        <v>11950</v>
      </c>
      <c r="F76" s="185"/>
      <c r="G76" s="184"/>
      <c r="H76" s="184"/>
      <c r="I76" s="185"/>
      <c r="J76" s="185">
        <v>713</v>
      </c>
      <c r="K76" s="185"/>
      <c r="L76" s="185"/>
      <c r="M76" s="185"/>
      <c r="N76" s="185"/>
      <c r="O76" s="185">
        <v>22555</v>
      </c>
      <c r="P76" s="185">
        <v>2259</v>
      </c>
      <c r="Q76" s="185">
        <v>2872</v>
      </c>
      <c r="R76" s="185">
        <v>343</v>
      </c>
      <c r="S76" s="185">
        <v>2887</v>
      </c>
      <c r="T76" s="185"/>
      <c r="U76" s="185">
        <v>2744</v>
      </c>
      <c r="V76" s="185"/>
      <c r="W76" s="185">
        <v>882</v>
      </c>
      <c r="X76" s="185">
        <v>5984</v>
      </c>
      <c r="Y76" s="185">
        <v>14061</v>
      </c>
      <c r="Z76" s="185">
        <v>5034</v>
      </c>
      <c r="AA76" s="185">
        <v>364</v>
      </c>
      <c r="AB76" s="185">
        <v>1258</v>
      </c>
      <c r="AC76" s="185">
        <v>4235</v>
      </c>
      <c r="AD76" s="185"/>
      <c r="AE76" s="185">
        <v>4213</v>
      </c>
      <c r="AF76" s="185"/>
      <c r="AG76" s="185">
        <v>4248</v>
      </c>
      <c r="AH76" s="185"/>
      <c r="AI76" s="185">
        <v>4979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5479</v>
      </c>
      <c r="AZ76" s="185"/>
      <c r="BA76" s="185"/>
      <c r="BB76" s="185">
        <v>740</v>
      </c>
      <c r="BC76" s="185"/>
      <c r="BD76" s="185">
        <v>2565</v>
      </c>
      <c r="BE76" s="185">
        <v>27038</v>
      </c>
      <c r="BF76" s="185">
        <v>2289</v>
      </c>
      <c r="BG76" s="185">
        <v>337</v>
      </c>
      <c r="BH76" s="185">
        <v>752</v>
      </c>
      <c r="BI76" s="185"/>
      <c r="BJ76" s="185">
        <v>1635</v>
      </c>
      <c r="BK76" s="185"/>
      <c r="BL76" s="185">
        <v>1801</v>
      </c>
      <c r="BM76" s="185"/>
      <c r="BN76" s="185">
        <v>3875</v>
      </c>
      <c r="BO76" s="185"/>
      <c r="BP76" s="185">
        <v>729</v>
      </c>
      <c r="BQ76" s="185"/>
      <c r="BR76" s="185">
        <v>1013</v>
      </c>
      <c r="BS76" s="185">
        <v>286</v>
      </c>
      <c r="BT76" s="185"/>
      <c r="BU76" s="185">
        <v>3355</v>
      </c>
      <c r="BV76" s="185"/>
      <c r="BW76" s="185"/>
      <c r="BX76" s="185">
        <v>83</v>
      </c>
      <c r="BY76" s="185">
        <v>1165</v>
      </c>
      <c r="BZ76" s="185"/>
      <c r="CA76" s="185">
        <v>2239</v>
      </c>
      <c r="CB76" s="185"/>
      <c r="CC76" s="185"/>
      <c r="CD76" s="247" t="s">
        <v>221</v>
      </c>
      <c r="CE76" s="195">
        <f>SUM(C76:CD76)</f>
        <v>155374</v>
      </c>
      <c r="CF76" s="195">
        <f>BE59-CE76</f>
        <v>0</v>
      </c>
    </row>
    <row r="77" spans="1:87" ht="12.65" customHeight="1">
      <c r="A77" s="171" t="s">
        <v>249</v>
      </c>
      <c r="B77" s="175"/>
      <c r="C77" s="284">
        <v>920.34</v>
      </c>
      <c r="D77" s="184"/>
      <c r="E77" s="184">
        <v>3544.88</v>
      </c>
      <c r="F77" s="184"/>
      <c r="G77" s="184"/>
      <c r="H77" s="184"/>
      <c r="I77" s="184"/>
      <c r="J77" s="184">
        <v>688.66</v>
      </c>
      <c r="K77" s="184"/>
      <c r="L77" s="184"/>
      <c r="M77" s="184"/>
      <c r="N77" s="184"/>
      <c r="O77" s="184">
        <v>4116.12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9270</v>
      </c>
      <c r="CF77" s="195">
        <f>AY59-CE77</f>
        <v>0</v>
      </c>
    </row>
    <row r="78" spans="1:87" ht="12.65" customHeight="1">
      <c r="A78" s="171" t="s">
        <v>250</v>
      </c>
      <c r="B78" s="175"/>
      <c r="C78" s="284">
        <v>550</v>
      </c>
      <c r="D78" s="184"/>
      <c r="E78" s="184">
        <v>781</v>
      </c>
      <c r="F78" s="184"/>
      <c r="G78" s="184"/>
      <c r="H78" s="184"/>
      <c r="I78" s="184"/>
      <c r="J78" s="184">
        <v>47</v>
      </c>
      <c r="K78" s="184"/>
      <c r="L78" s="184"/>
      <c r="M78" s="184"/>
      <c r="N78" s="184"/>
      <c r="O78" s="184">
        <v>1474</v>
      </c>
      <c r="P78" s="184">
        <v>148</v>
      </c>
      <c r="Q78" s="184">
        <v>188</v>
      </c>
      <c r="R78" s="184">
        <v>22</v>
      </c>
      <c r="S78" s="184">
        <v>189</v>
      </c>
      <c r="T78" s="184"/>
      <c r="U78" s="184">
        <v>179</v>
      </c>
      <c r="V78" s="184"/>
      <c r="W78" s="184">
        <v>58</v>
      </c>
      <c r="X78" s="184">
        <v>391</v>
      </c>
      <c r="Y78" s="184">
        <v>919</v>
      </c>
      <c r="Z78" s="184">
        <v>329</v>
      </c>
      <c r="AA78" s="184">
        <v>24</v>
      </c>
      <c r="AB78" s="184">
        <v>82</v>
      </c>
      <c r="AC78" s="184">
        <v>277</v>
      </c>
      <c r="AD78" s="184"/>
      <c r="AE78" s="184">
        <v>275</v>
      </c>
      <c r="AF78" s="184"/>
      <c r="AG78" s="184">
        <v>278</v>
      </c>
      <c r="AH78" s="184"/>
      <c r="AI78" s="184">
        <v>325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2941</v>
      </c>
      <c r="AW78" s="184"/>
      <c r="AX78" s="247" t="s">
        <v>221</v>
      </c>
      <c r="AY78" s="247" t="s">
        <v>221</v>
      </c>
      <c r="AZ78" s="247" t="s">
        <v>221</v>
      </c>
      <c r="BA78" s="184"/>
      <c r="BB78" s="184">
        <v>48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49</v>
      </c>
      <c r="BI78" s="184"/>
      <c r="BJ78" s="247" t="s">
        <v>221</v>
      </c>
      <c r="BK78" s="184"/>
      <c r="BL78" s="184">
        <v>118</v>
      </c>
      <c r="BM78" s="184"/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>
        <v>19</v>
      </c>
      <c r="BT78" s="184"/>
      <c r="BU78" s="184"/>
      <c r="BV78" s="184">
        <v>219</v>
      </c>
      <c r="BW78" s="184"/>
      <c r="BX78" s="184">
        <v>5</v>
      </c>
      <c r="BY78" s="184">
        <v>76</v>
      </c>
      <c r="BZ78" s="184"/>
      <c r="CA78" s="184">
        <v>146</v>
      </c>
      <c r="CB78" s="184"/>
      <c r="CC78" s="247" t="s">
        <v>221</v>
      </c>
      <c r="CD78" s="247" t="s">
        <v>221</v>
      </c>
      <c r="CE78" s="195">
        <f t="shared" si="9"/>
        <v>10157</v>
      </c>
      <c r="CF78" s="195"/>
    </row>
    <row r="79" spans="1:87" ht="12.65" customHeight="1">
      <c r="A79" s="171" t="s">
        <v>251</v>
      </c>
      <c r="B79" s="175"/>
      <c r="C79" s="225">
        <v>17681</v>
      </c>
      <c r="D79" s="225"/>
      <c r="E79" s="184">
        <v>32648</v>
      </c>
      <c r="F79" s="184"/>
      <c r="G79" s="184"/>
      <c r="H79" s="184"/>
      <c r="I79" s="184"/>
      <c r="J79" s="184">
        <v>117</v>
      </c>
      <c r="K79" s="184"/>
      <c r="L79" s="184"/>
      <c r="M79" s="184"/>
      <c r="N79" s="184"/>
      <c r="O79" s="184">
        <v>14424</v>
      </c>
      <c r="P79" s="184">
        <v>20636</v>
      </c>
      <c r="Q79" s="184"/>
      <c r="R79" s="184"/>
      <c r="S79" s="184"/>
      <c r="T79" s="184"/>
      <c r="U79" s="180">
        <v>650</v>
      </c>
      <c r="V79" s="184"/>
      <c r="W79" s="184">
        <v>1064</v>
      </c>
      <c r="X79" s="184">
        <v>1599</v>
      </c>
      <c r="Y79" s="184">
        <v>9370</v>
      </c>
      <c r="Z79" s="184"/>
      <c r="AA79" s="184">
        <v>315</v>
      </c>
      <c r="AB79" s="184">
        <v>2886</v>
      </c>
      <c r="AC79" s="184">
        <v>646</v>
      </c>
      <c r="AD79" s="184"/>
      <c r="AE79" s="184">
        <v>1400</v>
      </c>
      <c r="AF79" s="184"/>
      <c r="AG79" s="184">
        <v>11848</v>
      </c>
      <c r="AH79" s="184"/>
      <c r="AI79" s="184">
        <v>8407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345</v>
      </c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 t="s">
        <v>221</v>
      </c>
      <c r="CD79" s="247" t="s">
        <v>221</v>
      </c>
      <c r="CE79" s="195">
        <f t="shared" si="9"/>
        <v>124036</v>
      </c>
      <c r="CF79" s="195">
        <f>BA59</f>
        <v>0</v>
      </c>
    </row>
    <row r="80" spans="1:87" ht="14">
      <c r="A80" s="171" t="s">
        <v>252</v>
      </c>
      <c r="B80" s="175"/>
      <c r="C80" s="187">
        <v>44.38</v>
      </c>
      <c r="D80" s="187"/>
      <c r="E80" s="187">
        <v>31.68</v>
      </c>
      <c r="F80" s="187"/>
      <c r="G80" s="187"/>
      <c r="H80" s="187"/>
      <c r="I80" s="187"/>
      <c r="J80" s="187">
        <v>0</v>
      </c>
      <c r="K80" s="187"/>
      <c r="L80" s="187"/>
      <c r="M80" s="187"/>
      <c r="N80" s="187"/>
      <c r="O80" s="187">
        <v>19.5</v>
      </c>
      <c r="P80" s="187">
        <v>11.66</v>
      </c>
      <c r="Q80" s="187">
        <v>5.38</v>
      </c>
      <c r="R80" s="187">
        <v>1.61</v>
      </c>
      <c r="S80" s="187">
        <v>7.88</v>
      </c>
      <c r="T80" s="187"/>
      <c r="U80" s="187">
        <v>16.97</v>
      </c>
      <c r="V80" s="187"/>
      <c r="W80" s="187">
        <v>1.17</v>
      </c>
      <c r="X80" s="187">
        <v>5.26</v>
      </c>
      <c r="Y80" s="187">
        <v>21.88</v>
      </c>
      <c r="Z80" s="187">
        <v>5.54</v>
      </c>
      <c r="AA80" s="187">
        <v>1.1299999999999999</v>
      </c>
      <c r="AB80" s="187">
        <v>10.87</v>
      </c>
      <c r="AC80" s="187">
        <v>10.07</v>
      </c>
      <c r="AD80" s="187"/>
      <c r="AE80" s="187">
        <v>6.88</v>
      </c>
      <c r="AF80" s="187"/>
      <c r="AG80" s="187">
        <v>16.079999999999998</v>
      </c>
      <c r="AH80" s="187"/>
      <c r="AI80" s="187">
        <v>16.579999999999998</v>
      </c>
      <c r="AJ80" s="187"/>
      <c r="AK80" s="187">
        <v>0.67</v>
      </c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131.51</v>
      </c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83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83" t="s">
        <v>221</v>
      </c>
      <c r="CD80" s="247" t="s">
        <v>221</v>
      </c>
      <c r="CE80" s="253">
        <f t="shared" si="9"/>
        <v>366.69999999999993</v>
      </c>
      <c r="CF80" s="253"/>
    </row>
    <row r="81" spans="1:5" ht="12.65" customHeight="1">
      <c r="A81" s="208" t="s">
        <v>253</v>
      </c>
      <c r="B81" s="208"/>
      <c r="C81" s="208"/>
      <c r="D81" s="208"/>
      <c r="E81" s="208"/>
    </row>
    <row r="82" spans="1:5" ht="12.65" customHeight="1">
      <c r="A82" s="171" t="s">
        <v>254</v>
      </c>
      <c r="B82" s="172"/>
      <c r="C82" s="279" t="s">
        <v>1267</v>
      </c>
      <c r="D82" s="254"/>
      <c r="E82" s="175"/>
    </row>
    <row r="83" spans="1:5" ht="12.65" customHeight="1">
      <c r="A83" s="173" t="s">
        <v>255</v>
      </c>
      <c r="B83" s="172" t="s">
        <v>256</v>
      </c>
      <c r="C83" s="331">
        <v>197</v>
      </c>
      <c r="D83" s="254"/>
      <c r="E83" s="175"/>
    </row>
    <row r="84" spans="1:5" ht="12.65" customHeight="1">
      <c r="A84" s="173" t="s">
        <v>257</v>
      </c>
      <c r="B84" s="172" t="s">
        <v>256</v>
      </c>
      <c r="C84" s="228" t="s">
        <v>1272</v>
      </c>
      <c r="D84" s="205"/>
      <c r="E84" s="204"/>
    </row>
    <row r="85" spans="1:5" ht="12.65" customHeight="1">
      <c r="A85" s="173" t="s">
        <v>1251</v>
      </c>
      <c r="B85" s="172"/>
      <c r="C85" s="268" t="s">
        <v>1273</v>
      </c>
      <c r="D85" s="205"/>
      <c r="E85" s="204"/>
    </row>
    <row r="86" spans="1:5" ht="12.65" customHeight="1">
      <c r="A86" s="173" t="s">
        <v>1252</v>
      </c>
      <c r="B86" s="172" t="s">
        <v>256</v>
      </c>
      <c r="C86" s="229"/>
      <c r="D86" s="205"/>
      <c r="E86" s="204"/>
    </row>
    <row r="87" spans="1:5" ht="12.65" customHeight="1">
      <c r="A87" s="173" t="s">
        <v>258</v>
      </c>
      <c r="B87" s="172" t="s">
        <v>256</v>
      </c>
      <c r="C87" s="228" t="s">
        <v>1274</v>
      </c>
      <c r="D87" s="205"/>
      <c r="E87" s="204"/>
    </row>
    <row r="88" spans="1:5" ht="12.65" customHeight="1">
      <c r="A88" s="173" t="s">
        <v>259</v>
      </c>
      <c r="B88" s="172" t="s">
        <v>256</v>
      </c>
      <c r="C88" s="228" t="s">
        <v>1275</v>
      </c>
      <c r="D88" s="205"/>
      <c r="E88" s="204"/>
    </row>
    <row r="89" spans="1:5" ht="12.65" customHeight="1">
      <c r="A89" s="173" t="s">
        <v>260</v>
      </c>
      <c r="B89" s="172" t="s">
        <v>256</v>
      </c>
      <c r="C89" s="228" t="s">
        <v>1280</v>
      </c>
      <c r="D89" s="205"/>
      <c r="E89" s="204"/>
    </row>
    <row r="90" spans="1:5" ht="12.65" customHeight="1">
      <c r="A90" s="173" t="s">
        <v>261</v>
      </c>
      <c r="B90" s="172" t="s">
        <v>256</v>
      </c>
      <c r="C90" s="228" t="s">
        <v>1276</v>
      </c>
      <c r="D90" s="205"/>
      <c r="E90" s="204"/>
    </row>
    <row r="91" spans="1:5" ht="12.65" customHeight="1">
      <c r="A91" s="173" t="s">
        <v>262</v>
      </c>
      <c r="B91" s="172" t="s">
        <v>256</v>
      </c>
      <c r="C91" s="228" t="s">
        <v>1277</v>
      </c>
      <c r="D91" s="205"/>
      <c r="E91" s="204"/>
    </row>
    <row r="92" spans="1:5" ht="12.65" customHeight="1">
      <c r="A92" s="173" t="s">
        <v>263</v>
      </c>
      <c r="B92" s="172" t="s">
        <v>256</v>
      </c>
      <c r="C92" s="333" t="s">
        <v>1281</v>
      </c>
      <c r="D92" s="254"/>
      <c r="E92" s="175"/>
    </row>
    <row r="93" spans="1:5" ht="12.65" customHeight="1">
      <c r="A93" s="173" t="s">
        <v>264</v>
      </c>
      <c r="B93" s="172" t="s">
        <v>256</v>
      </c>
      <c r="C93" s="334" t="s">
        <v>1279</v>
      </c>
      <c r="D93" s="254"/>
      <c r="E93" s="175"/>
    </row>
    <row r="94" spans="1:5" ht="12.65" customHeight="1">
      <c r="A94" s="173"/>
      <c r="B94" s="173"/>
      <c r="C94" s="191"/>
      <c r="D94" s="175"/>
      <c r="E94" s="175"/>
    </row>
    <row r="95" spans="1:5" ht="12.65" customHeight="1">
      <c r="A95" s="208" t="s">
        <v>265</v>
      </c>
      <c r="B95" s="208"/>
      <c r="C95" s="208"/>
      <c r="D95" s="208"/>
      <c r="E95" s="208"/>
    </row>
    <row r="96" spans="1:5" ht="12.65" customHeight="1">
      <c r="A96" s="255" t="s">
        <v>266</v>
      </c>
      <c r="B96" s="255"/>
      <c r="C96" s="255"/>
      <c r="D96" s="255"/>
      <c r="E96" s="255"/>
    </row>
    <row r="97" spans="1:5" ht="12.65" customHeight="1">
      <c r="A97" s="173" t="s">
        <v>267</v>
      </c>
      <c r="B97" s="172" t="s">
        <v>256</v>
      </c>
      <c r="C97" s="189"/>
      <c r="D97" s="175"/>
      <c r="E97" s="175"/>
    </row>
    <row r="98" spans="1:5" ht="12.65" customHeight="1">
      <c r="A98" s="173" t="s">
        <v>259</v>
      </c>
      <c r="B98" s="172" t="s">
        <v>256</v>
      </c>
      <c r="C98" s="189"/>
      <c r="D98" s="175"/>
      <c r="E98" s="175"/>
    </row>
    <row r="99" spans="1:5" ht="12.65" customHeight="1">
      <c r="A99" s="173" t="s">
        <v>268</v>
      </c>
      <c r="B99" s="172" t="s">
        <v>256</v>
      </c>
      <c r="C99" s="189"/>
      <c r="D99" s="175"/>
      <c r="E99" s="175"/>
    </row>
    <row r="100" spans="1:5" ht="12.65" customHeight="1">
      <c r="A100" s="255" t="s">
        <v>269</v>
      </c>
      <c r="B100" s="255"/>
      <c r="C100" s="255"/>
      <c r="D100" s="255"/>
      <c r="E100" s="255"/>
    </row>
    <row r="101" spans="1:5" ht="12.65" customHeight="1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>
      <c r="A103" s="255" t="s">
        <v>271</v>
      </c>
      <c r="B103" s="255"/>
      <c r="C103" s="255"/>
      <c r="D103" s="255"/>
      <c r="E103" s="255"/>
    </row>
    <row r="104" spans="1:5" ht="12.65" customHeight="1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377">
        <v>844</v>
      </c>
      <c r="D111" s="378">
        <v>2704</v>
      </c>
      <c r="E111" s="175"/>
    </row>
    <row r="112" spans="1:5" ht="12.65" customHeight="1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>
      <c r="A114" s="173" t="s">
        <v>281</v>
      </c>
      <c r="B114" s="172" t="s">
        <v>256</v>
      </c>
      <c r="C114" s="189">
        <v>150</v>
      </c>
      <c r="D114" s="174">
        <v>217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377">
        <v>10</v>
      </c>
      <c r="D116" s="175"/>
      <c r="E116" s="175"/>
    </row>
    <row r="117" spans="1:5" ht="12.65" customHeight="1">
      <c r="A117" s="173" t="s">
        <v>284</v>
      </c>
      <c r="B117" s="172" t="s">
        <v>256</v>
      </c>
      <c r="C117" s="377">
        <v>22</v>
      </c>
      <c r="D117" s="175"/>
      <c r="E117" s="175"/>
    </row>
    <row r="118" spans="1:5" ht="12.65" customHeight="1">
      <c r="A118" s="173" t="s">
        <v>1239</v>
      </c>
      <c r="B118" s="172" t="s">
        <v>256</v>
      </c>
      <c r="C118" s="377">
        <v>41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377">
        <v>0</v>
      </c>
      <c r="D119" s="175"/>
      <c r="E119" s="175"/>
    </row>
    <row r="120" spans="1:5" ht="12.65" customHeight="1">
      <c r="A120" s="173" t="s">
        <v>286</v>
      </c>
      <c r="B120" s="172" t="s">
        <v>256</v>
      </c>
      <c r="C120" s="377">
        <v>15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377">
        <v>0</v>
      </c>
      <c r="D121" s="175"/>
      <c r="E121" s="175"/>
    </row>
    <row r="122" spans="1:5" ht="12.65" customHeight="1">
      <c r="A122" s="173" t="s">
        <v>97</v>
      </c>
      <c r="B122" s="172" t="s">
        <v>256</v>
      </c>
      <c r="C122" s="377">
        <v>0</v>
      </c>
      <c r="D122" s="175"/>
      <c r="E122" s="175"/>
    </row>
    <row r="123" spans="1:5" ht="12.65" customHeight="1">
      <c r="A123" s="173" t="s">
        <v>288</v>
      </c>
      <c r="B123" s="172" t="s">
        <v>256</v>
      </c>
      <c r="C123" s="377">
        <v>0</v>
      </c>
      <c r="D123" s="175"/>
      <c r="E123" s="175"/>
    </row>
    <row r="124" spans="1:5" ht="12.65" customHeight="1">
      <c r="A124" s="173" t="s">
        <v>289</v>
      </c>
      <c r="B124" s="172"/>
      <c r="C124" s="377">
        <v>0</v>
      </c>
      <c r="D124" s="175"/>
      <c r="E124" s="175"/>
    </row>
    <row r="125" spans="1:5" ht="12.65" customHeight="1">
      <c r="A125" s="173" t="s">
        <v>280</v>
      </c>
      <c r="B125" s="172" t="s">
        <v>256</v>
      </c>
      <c r="C125" s="377">
        <v>0</v>
      </c>
      <c r="D125" s="175"/>
      <c r="E125" s="175"/>
    </row>
    <row r="126" spans="1:5" ht="12.65" customHeight="1">
      <c r="A126" s="173" t="s">
        <v>290</v>
      </c>
      <c r="B126" s="172" t="s">
        <v>256</v>
      </c>
      <c r="C126" s="377">
        <v>0</v>
      </c>
      <c r="D126" s="175"/>
      <c r="E126" s="175"/>
    </row>
    <row r="127" spans="1:5" ht="12.65" customHeight="1">
      <c r="A127" s="173" t="s">
        <v>291</v>
      </c>
      <c r="B127" s="175"/>
      <c r="C127" s="191"/>
      <c r="D127" s="175"/>
      <c r="E127" s="175">
        <f>SUM(C116:C126)</f>
        <v>88</v>
      </c>
    </row>
    <row r="128" spans="1:5" ht="12.65" customHeight="1">
      <c r="A128" s="173" t="s">
        <v>292</v>
      </c>
      <c r="B128" s="172" t="s">
        <v>256</v>
      </c>
      <c r="C128" s="377">
        <v>107</v>
      </c>
      <c r="D128" s="175"/>
      <c r="E128" s="175"/>
    </row>
    <row r="129" spans="1:7" ht="12.65" customHeight="1">
      <c r="A129" s="173" t="s">
        <v>293</v>
      </c>
      <c r="B129" s="172" t="s">
        <v>256</v>
      </c>
      <c r="C129" s="377">
        <v>7</v>
      </c>
      <c r="D129" s="175"/>
      <c r="E129" s="175"/>
    </row>
    <row r="130" spans="1:7" ht="12.65" customHeight="1">
      <c r="A130" s="173"/>
      <c r="B130" s="175"/>
      <c r="C130" s="191"/>
      <c r="D130" s="175"/>
      <c r="E130" s="175"/>
    </row>
    <row r="131" spans="1:7" ht="12.65" customHeight="1">
      <c r="A131" s="173" t="s">
        <v>294</v>
      </c>
      <c r="B131" s="172" t="s">
        <v>256</v>
      </c>
      <c r="C131" s="377">
        <v>0</v>
      </c>
      <c r="D131" s="175"/>
      <c r="E131" s="175"/>
    </row>
    <row r="132" spans="1:7" ht="12.65" customHeight="1">
      <c r="A132" s="173"/>
      <c r="B132" s="173"/>
      <c r="C132" s="191"/>
      <c r="D132" s="175"/>
      <c r="E132" s="175"/>
    </row>
    <row r="133" spans="1:7" ht="12.65" customHeight="1">
      <c r="A133" s="173"/>
      <c r="B133" s="173"/>
      <c r="C133" s="191"/>
      <c r="D133" s="175"/>
      <c r="E133" s="175"/>
    </row>
    <row r="134" spans="1:7" ht="12.65" customHeight="1">
      <c r="A134" s="173"/>
      <c r="B134" s="173"/>
      <c r="C134" s="191"/>
      <c r="D134" s="175"/>
      <c r="E134" s="175"/>
    </row>
    <row r="135" spans="1:7" ht="18" customHeight="1">
      <c r="A135" s="173"/>
      <c r="B135" s="173"/>
      <c r="C135" s="191"/>
      <c r="D135" s="175"/>
      <c r="E135" s="175"/>
    </row>
    <row r="136" spans="1:7" ht="12.65" customHeight="1">
      <c r="A136" s="208" t="s">
        <v>1240</v>
      </c>
      <c r="B136" s="207"/>
      <c r="C136" s="207"/>
      <c r="D136" s="207"/>
      <c r="E136" s="207"/>
    </row>
    <row r="137" spans="1:7" ht="12.65" customHeight="1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>
      <c r="A138" s="173" t="s">
        <v>277</v>
      </c>
      <c r="B138" s="378">
        <f>'data 1Q21'!B138</f>
        <v>266</v>
      </c>
      <c r="C138" s="378">
        <f>'data 1Q21'!C138</f>
        <v>28</v>
      </c>
      <c r="D138" s="378">
        <f>'data 1Q21'!D138</f>
        <v>550</v>
      </c>
      <c r="E138" s="175">
        <f>SUM(B138:D138)</f>
        <v>844</v>
      </c>
    </row>
    <row r="139" spans="1:7" ht="12.65" customHeight="1">
      <c r="A139" s="173" t="s">
        <v>215</v>
      </c>
      <c r="B139" s="378">
        <f>'data 1Q21'!B139</f>
        <v>1046</v>
      </c>
      <c r="C139" s="378">
        <f>'data 1Q21'!C139</f>
        <v>66</v>
      </c>
      <c r="D139" s="378">
        <f>'data 1Q21'!D139</f>
        <v>1592</v>
      </c>
      <c r="E139" s="175">
        <f>SUM(B139:D139)</f>
        <v>2704</v>
      </c>
    </row>
    <row r="140" spans="1:7" ht="12.65" customHeight="1">
      <c r="A140" s="173" t="s">
        <v>298</v>
      </c>
      <c r="B140" s="378">
        <f>'data 1Q21'!B140</f>
        <v>4990</v>
      </c>
      <c r="C140" s="378">
        <f>'data 1Q21'!C140</f>
        <v>208</v>
      </c>
      <c r="D140" s="378">
        <f>'data 1Q21'!D140</f>
        <v>10749</v>
      </c>
      <c r="E140" s="175">
        <f>SUM(B140:D140)</f>
        <v>15947</v>
      </c>
      <c r="F140" s="384" t="s">
        <v>1292</v>
      </c>
      <c r="G140" s="384" t="s">
        <v>1291</v>
      </c>
    </row>
    <row r="141" spans="1:7" ht="12.65" customHeight="1">
      <c r="A141" s="173" t="s">
        <v>245</v>
      </c>
      <c r="B141" s="378">
        <f>'data 1Q21'!B141</f>
        <v>20935567</v>
      </c>
      <c r="C141" s="378">
        <f>'data 1Q21'!C141</f>
        <v>1181141</v>
      </c>
      <c r="D141" s="378">
        <f>'data 1Q21'!D141</f>
        <v>31765231</v>
      </c>
      <c r="E141" s="175">
        <f>SUM(B141:D141)</f>
        <v>53881939</v>
      </c>
      <c r="F141" s="385">
        <f>C359-E141</f>
        <v>0</v>
      </c>
      <c r="G141" s="386">
        <f>CE73-E141</f>
        <v>0</v>
      </c>
    </row>
    <row r="142" spans="1:7" ht="12.65" customHeight="1">
      <c r="A142" s="173" t="s">
        <v>246</v>
      </c>
      <c r="B142" s="378">
        <f>'data 1Q21'!B142</f>
        <v>26305831</v>
      </c>
      <c r="C142" s="378">
        <f>'data 1Q21'!C142</f>
        <v>1480523</v>
      </c>
      <c r="D142" s="378">
        <f>'data 1Q21'!D142</f>
        <v>59562763</v>
      </c>
      <c r="E142" s="175">
        <f>SUM(B142:D142)</f>
        <v>87349117</v>
      </c>
      <c r="F142" s="385">
        <f>C360-E142</f>
        <v>0</v>
      </c>
      <c r="G142" s="386">
        <f>CE74-E142</f>
        <v>0</v>
      </c>
    </row>
    <row r="143" spans="1:7" ht="12.65" customHeight="1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>
      <c r="A155" s="177"/>
      <c r="B155" s="177"/>
      <c r="C155" s="193"/>
      <c r="D155" s="178"/>
      <c r="E155" s="175"/>
    </row>
    <row r="156" spans="1:5" ht="12.65" customHeight="1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>
      <c r="A157" s="177" t="s">
        <v>304</v>
      </c>
      <c r="B157" s="174"/>
      <c r="C157" s="174"/>
      <c r="D157" s="175"/>
      <c r="E157" s="175"/>
    </row>
    <row r="158" spans="1:5" ht="12.65" customHeight="1">
      <c r="A158" s="177"/>
      <c r="B158" s="178"/>
      <c r="C158" s="193"/>
      <c r="D158" s="175"/>
      <c r="E158" s="175"/>
    </row>
    <row r="159" spans="1:5" ht="12.65" customHeight="1">
      <c r="A159" s="177"/>
      <c r="B159" s="177"/>
      <c r="C159" s="193"/>
      <c r="D159" s="178"/>
      <c r="E159" s="175"/>
    </row>
    <row r="160" spans="1:5" ht="12.65" customHeight="1">
      <c r="A160" s="177"/>
      <c r="B160" s="177"/>
      <c r="C160" s="193"/>
      <c r="D160" s="178"/>
      <c r="E160" s="175"/>
    </row>
    <row r="161" spans="1:5" ht="12.65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5" customHeight="1">
      <c r="A163" s="207" t="s">
        <v>305</v>
      </c>
      <c r="B163" s="208"/>
      <c r="C163" s="208"/>
      <c r="D163" s="208"/>
      <c r="E163" s="208"/>
    </row>
    <row r="164" spans="1:5" ht="11.5" customHeight="1">
      <c r="A164" s="255" t="s">
        <v>306</v>
      </c>
      <c r="B164" s="255"/>
      <c r="C164" s="255"/>
      <c r="D164" s="255"/>
      <c r="E164" s="255"/>
    </row>
    <row r="165" spans="1:5" ht="11.5" customHeight="1">
      <c r="A165" s="173" t="s">
        <v>307</v>
      </c>
      <c r="B165" s="172" t="s">
        <v>256</v>
      </c>
      <c r="C165" s="189">
        <v>695345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9">
        <v>138664</v>
      </c>
      <c r="D166" s="175"/>
      <c r="E166" s="175"/>
    </row>
    <row r="167" spans="1:5" ht="11.5" customHeight="1">
      <c r="A167" s="177" t="s">
        <v>309</v>
      </c>
      <c r="B167" s="172" t="s">
        <v>256</v>
      </c>
      <c r="C167" s="189">
        <v>135943</v>
      </c>
      <c r="D167" s="175"/>
      <c r="E167" s="175"/>
    </row>
    <row r="168" spans="1:5" ht="11.5" customHeight="1">
      <c r="A168" s="173" t="s">
        <v>310</v>
      </c>
      <c r="B168" s="172" t="s">
        <v>256</v>
      </c>
      <c r="C168" s="189">
        <v>767246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9">
        <v>14031</v>
      </c>
      <c r="D169" s="175"/>
      <c r="E169" s="175"/>
    </row>
    <row r="170" spans="1:5" ht="11.5" customHeight="1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5" customHeight="1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9">
        <v>94668</v>
      </c>
      <c r="D172" s="175"/>
      <c r="E172" s="175"/>
    </row>
    <row r="173" spans="1:5" ht="11.5" customHeight="1">
      <c r="A173" s="173" t="s">
        <v>203</v>
      </c>
      <c r="B173" s="175"/>
      <c r="C173" s="191"/>
      <c r="D173" s="175">
        <f>SUM(C165:C172)</f>
        <v>1845897</v>
      </c>
      <c r="E173" s="175"/>
    </row>
    <row r="174" spans="1:5" ht="11.5" customHeight="1">
      <c r="A174" s="255" t="s">
        <v>314</v>
      </c>
      <c r="B174" s="255"/>
      <c r="C174" s="255"/>
      <c r="D174" s="255"/>
      <c r="E174" s="255"/>
    </row>
    <row r="175" spans="1:5" ht="11.5" customHeight="1">
      <c r="A175" s="173" t="s">
        <v>315</v>
      </c>
      <c r="B175" s="172" t="s">
        <v>256</v>
      </c>
      <c r="C175" s="189">
        <v>174674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9">
        <v>446769</v>
      </c>
      <c r="D176" s="175"/>
      <c r="E176" s="175"/>
    </row>
    <row r="177" spans="1:5" ht="11.5" customHeight="1">
      <c r="A177" s="173" t="s">
        <v>203</v>
      </c>
      <c r="B177" s="175"/>
      <c r="C177" s="191"/>
      <c r="D177" s="175">
        <f>SUM(C175:C176)</f>
        <v>621443</v>
      </c>
      <c r="E177" s="175"/>
    </row>
    <row r="178" spans="1:5" ht="11.5" customHeight="1">
      <c r="A178" s="255" t="s">
        <v>317</v>
      </c>
      <c r="B178" s="255"/>
      <c r="C178" s="255"/>
      <c r="D178" s="255"/>
      <c r="E178" s="255"/>
    </row>
    <row r="179" spans="1:5" ht="11.5" customHeight="1">
      <c r="A179" s="173" t="s">
        <v>318</v>
      </c>
      <c r="B179" s="172" t="s">
        <v>256</v>
      </c>
      <c r="C179" s="189">
        <v>86601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9">
        <v>25330</v>
      </c>
      <c r="D180" s="175"/>
      <c r="E180" s="175"/>
    </row>
    <row r="181" spans="1:5" ht="11.5" customHeight="1">
      <c r="A181" s="173" t="s">
        <v>203</v>
      </c>
      <c r="B181" s="175"/>
      <c r="C181" s="191"/>
      <c r="D181" s="175">
        <f>SUM(C179:C180)</f>
        <v>111931</v>
      </c>
      <c r="E181" s="175"/>
    </row>
    <row r="182" spans="1:5" ht="11.5" customHeight="1">
      <c r="A182" s="255" t="s">
        <v>320</v>
      </c>
      <c r="B182" s="255"/>
      <c r="C182" s="255"/>
      <c r="D182" s="255"/>
      <c r="E182" s="255"/>
    </row>
    <row r="183" spans="1:5" ht="11.5" customHeight="1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9">
        <v>185820.6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9">
        <v>976371.27</v>
      </c>
      <c r="D185" s="175"/>
      <c r="E185" s="175"/>
    </row>
    <row r="186" spans="1:5" ht="11.5" customHeight="1">
      <c r="A186" s="173" t="s">
        <v>203</v>
      </c>
      <c r="B186" s="175"/>
      <c r="C186" s="191"/>
      <c r="D186" s="175">
        <f>SUM(C183:C185)</f>
        <v>1162191.8700000001</v>
      </c>
      <c r="E186" s="175"/>
    </row>
    <row r="187" spans="1:5" ht="11.5" customHeight="1">
      <c r="A187" s="255" t="s">
        <v>323</v>
      </c>
      <c r="B187" s="255"/>
      <c r="C187" s="255"/>
      <c r="D187" s="255"/>
      <c r="E187" s="255"/>
    </row>
    <row r="188" spans="1:5" ht="11.5" customHeight="1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>
      <c r="A189" s="173" t="s">
        <v>325</v>
      </c>
      <c r="B189" s="172" t="s">
        <v>256</v>
      </c>
      <c r="C189" s="189">
        <v>2513722</v>
      </c>
      <c r="D189" s="175"/>
      <c r="E189" s="175"/>
    </row>
    <row r="190" spans="1:5" ht="11.5" customHeight="1">
      <c r="A190" s="173" t="s">
        <v>203</v>
      </c>
      <c r="B190" s="175"/>
      <c r="C190" s="191"/>
      <c r="D190" s="175">
        <f>SUM(C188:C189)</f>
        <v>2513722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5" customHeight="1">
      <c r="A192" s="208" t="s">
        <v>326</v>
      </c>
      <c r="B192" s="208"/>
      <c r="C192" s="208"/>
      <c r="D192" s="208"/>
      <c r="E192" s="208"/>
    </row>
    <row r="193" spans="1:8" ht="12.65" customHeight="1">
      <c r="A193" s="207" t="s">
        <v>327</v>
      </c>
      <c r="B193" s="208"/>
      <c r="C193" s="208"/>
      <c r="D193" s="208"/>
      <c r="E193" s="208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3160000</v>
      </c>
      <c r="C195" s="189">
        <v>0</v>
      </c>
      <c r="D195" s="174">
        <v>0</v>
      </c>
      <c r="E195" s="175">
        <f t="shared" ref="E195:E203" si="12">SUM(B195:C195)-D195</f>
        <v>3160000</v>
      </c>
    </row>
    <row r="196" spans="1:8" ht="12.65" customHeight="1">
      <c r="A196" s="173" t="s">
        <v>333</v>
      </c>
      <c r="B196" s="174">
        <v>710000</v>
      </c>
      <c r="C196" s="189">
        <v>0</v>
      </c>
      <c r="D196" s="174">
        <v>0</v>
      </c>
      <c r="E196" s="175">
        <f t="shared" si="12"/>
        <v>710000</v>
      </c>
    </row>
    <row r="197" spans="1:8" ht="12.65" customHeight="1">
      <c r="A197" s="173" t="s">
        <v>334</v>
      </c>
      <c r="B197" s="174">
        <v>38437221</v>
      </c>
      <c r="C197" s="189">
        <v>0</v>
      </c>
      <c r="D197" s="174">
        <v>0</v>
      </c>
      <c r="E197" s="175">
        <f t="shared" si="12"/>
        <v>38437221</v>
      </c>
    </row>
    <row r="198" spans="1:8" ht="12.65" customHeight="1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>
      <c r="A199" s="173" t="s">
        <v>336</v>
      </c>
      <c r="B199" s="174">
        <v>21305025</v>
      </c>
      <c r="C199" s="189">
        <v>12313</v>
      </c>
      <c r="D199" s="174">
        <v>0</v>
      </c>
      <c r="E199" s="175">
        <f t="shared" si="12"/>
        <v>21317338</v>
      </c>
    </row>
    <row r="200" spans="1:8" ht="12.65" customHeight="1">
      <c r="A200" s="173" t="s">
        <v>337</v>
      </c>
      <c r="B200" s="174">
        <v>14487532</v>
      </c>
      <c r="C200" s="189">
        <v>207443</v>
      </c>
      <c r="D200" s="174">
        <v>0</v>
      </c>
      <c r="E200" s="175">
        <f t="shared" si="12"/>
        <v>14694975</v>
      </c>
    </row>
    <row r="201" spans="1:8" ht="12.65" customHeight="1">
      <c r="A201" s="173" t="s">
        <v>338</v>
      </c>
      <c r="B201" s="174">
        <v>7733715</v>
      </c>
      <c r="C201" s="189">
        <v>514471</v>
      </c>
      <c r="D201" s="174">
        <v>0</v>
      </c>
      <c r="E201" s="175">
        <f t="shared" si="12"/>
        <v>8248186</v>
      </c>
    </row>
    <row r="202" spans="1:8" ht="12.65" customHeight="1">
      <c r="A202" s="173" t="s">
        <v>339</v>
      </c>
      <c r="B202" s="174">
        <v>4521546</v>
      </c>
      <c r="C202" s="189">
        <v>0</v>
      </c>
      <c r="D202" s="174">
        <v>0</v>
      </c>
      <c r="E202" s="175">
        <f t="shared" si="12"/>
        <v>4521546</v>
      </c>
    </row>
    <row r="203" spans="1:8" ht="12.65" customHeight="1">
      <c r="A203" s="173" t="s">
        <v>340</v>
      </c>
      <c r="B203" s="174">
        <v>491978</v>
      </c>
      <c r="C203" s="189">
        <v>490344</v>
      </c>
      <c r="D203" s="174">
        <v>0</v>
      </c>
      <c r="E203" s="175">
        <f t="shared" si="12"/>
        <v>982322</v>
      </c>
    </row>
    <row r="204" spans="1:8" ht="12.65" customHeight="1">
      <c r="A204" s="173" t="s">
        <v>203</v>
      </c>
      <c r="B204" s="175">
        <f>SUM(B195:B203)</f>
        <v>90847017</v>
      </c>
      <c r="C204" s="191">
        <f>SUM(C195:C203)</f>
        <v>1224571</v>
      </c>
      <c r="D204" s="175">
        <f>SUM(D195:D203)</f>
        <v>0</v>
      </c>
      <c r="E204" s="175">
        <f>SUM(E195:E203)</f>
        <v>92071588</v>
      </c>
    </row>
    <row r="205" spans="1:8" ht="12.65" customHeight="1">
      <c r="A205" s="173"/>
      <c r="B205" s="173"/>
      <c r="C205" s="191"/>
      <c r="D205" s="175"/>
      <c r="E205" s="175"/>
      <c r="G205" s="180" t="s">
        <v>1265</v>
      </c>
    </row>
    <row r="206" spans="1:8" ht="12.65" customHeight="1">
      <c r="A206" s="207" t="s">
        <v>341</v>
      </c>
      <c r="B206" s="207"/>
      <c r="C206" s="207"/>
      <c r="D206" s="207"/>
      <c r="E206" s="207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5" customHeight="1">
      <c r="A208" s="173" t="s">
        <v>332</v>
      </c>
      <c r="B208" s="178"/>
      <c r="C208" s="193"/>
      <c r="D208" s="178"/>
      <c r="E208" s="175"/>
      <c r="H208" s="257"/>
    </row>
    <row r="209" spans="1:8" ht="12.65" customHeight="1">
      <c r="A209" s="173" t="s">
        <v>333</v>
      </c>
      <c r="B209" s="174">
        <v>414166</v>
      </c>
      <c r="C209" s="189">
        <v>0</v>
      </c>
      <c r="D209" s="174">
        <v>0</v>
      </c>
      <c r="E209" s="175">
        <f t="shared" ref="E209:E216" si="13">SUM(B209:C209)-D209</f>
        <v>414166</v>
      </c>
      <c r="H209" s="257"/>
    </row>
    <row r="210" spans="1:8" ht="12.65" customHeight="1">
      <c r="A210" s="173" t="s">
        <v>334</v>
      </c>
      <c r="B210" s="174">
        <v>7719190</v>
      </c>
      <c r="C210" s="189">
        <v>0</v>
      </c>
      <c r="D210" s="174">
        <v>0</v>
      </c>
      <c r="E210" s="175">
        <f t="shared" si="13"/>
        <v>7719190</v>
      </c>
      <c r="H210" s="257"/>
    </row>
    <row r="211" spans="1:8" ht="12.65" customHeight="1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7"/>
    </row>
    <row r="212" spans="1:8" ht="12.65" customHeight="1">
      <c r="A212" s="173" t="s">
        <v>336</v>
      </c>
      <c r="B212" s="174">
        <v>3539791</v>
      </c>
      <c r="C212" s="189">
        <v>0</v>
      </c>
      <c r="D212" s="174">
        <v>0</v>
      </c>
      <c r="E212" s="175">
        <f t="shared" si="13"/>
        <v>3539791</v>
      </c>
      <c r="H212" s="257"/>
    </row>
    <row r="213" spans="1:8" ht="12.65" customHeight="1">
      <c r="A213" s="173" t="s">
        <v>337</v>
      </c>
      <c r="B213" s="174">
        <v>7763942</v>
      </c>
      <c r="C213" s="189">
        <v>0</v>
      </c>
      <c r="D213" s="174">
        <v>0</v>
      </c>
      <c r="E213" s="175">
        <f t="shared" si="13"/>
        <v>7763942</v>
      </c>
      <c r="H213" s="257"/>
    </row>
    <row r="214" spans="1:8" ht="12.65" customHeight="1">
      <c r="A214" s="173" t="s">
        <v>338</v>
      </c>
      <c r="B214" s="174">
        <v>3130334</v>
      </c>
      <c r="C214" s="189">
        <v>0</v>
      </c>
      <c r="D214" s="174">
        <v>0</v>
      </c>
      <c r="E214" s="175">
        <f t="shared" si="13"/>
        <v>3130334</v>
      </c>
      <c r="H214" s="257"/>
    </row>
    <row r="215" spans="1:8" ht="12.65" customHeight="1">
      <c r="A215" s="173" t="s">
        <v>339</v>
      </c>
      <c r="B215" s="174">
        <v>1553082</v>
      </c>
      <c r="C215" s="189">
        <v>0</v>
      </c>
      <c r="D215" s="174">
        <v>0</v>
      </c>
      <c r="E215" s="175">
        <f t="shared" si="13"/>
        <v>1553082</v>
      </c>
      <c r="H215" s="257"/>
    </row>
    <row r="216" spans="1:8" ht="12.65" customHeight="1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7"/>
    </row>
    <row r="217" spans="1:8" ht="12.65" customHeight="1">
      <c r="A217" s="173" t="s">
        <v>203</v>
      </c>
      <c r="B217" s="175">
        <f>SUM(B208:B216)</f>
        <v>24120505</v>
      </c>
      <c r="C217" s="191">
        <f>SUM(C208:C216)</f>
        <v>0</v>
      </c>
      <c r="D217" s="175">
        <f>SUM(D208:D216)</f>
        <v>0</v>
      </c>
      <c r="E217" s="175">
        <f>SUM(E208:E216)</f>
        <v>24120505</v>
      </c>
    </row>
    <row r="218" spans="1:8" ht="21.75" customHeight="1">
      <c r="A218" s="173"/>
      <c r="B218" s="175"/>
      <c r="C218" s="191"/>
      <c r="D218" s="175"/>
      <c r="E218" s="175"/>
    </row>
    <row r="219" spans="1:8" ht="12.65" customHeight="1">
      <c r="A219" s="208" t="s">
        <v>342</v>
      </c>
      <c r="B219" s="208"/>
      <c r="C219" s="208"/>
      <c r="D219" s="208"/>
      <c r="E219" s="208"/>
    </row>
    <row r="220" spans="1:8" ht="12.65" customHeight="1">
      <c r="A220" s="208"/>
      <c r="B220" s="389" t="s">
        <v>1255</v>
      </c>
      <c r="C220" s="389"/>
      <c r="D220" s="208"/>
      <c r="E220" s="208"/>
    </row>
    <row r="221" spans="1:8" ht="12.65" customHeight="1">
      <c r="A221" s="269" t="s">
        <v>1255</v>
      </c>
      <c r="B221" s="208"/>
      <c r="C221" s="189">
        <v>887218</v>
      </c>
      <c r="D221" s="172">
        <f>C221</f>
        <v>887218</v>
      </c>
      <c r="E221" s="208"/>
    </row>
    <row r="222" spans="1:8" ht="12.65" customHeight="1">
      <c r="A222" s="255" t="s">
        <v>343</v>
      </c>
      <c r="B222" s="255"/>
      <c r="C222" s="255"/>
      <c r="D222" s="255"/>
      <c r="E222" s="255"/>
    </row>
    <row r="223" spans="1:8" ht="12.65" customHeight="1">
      <c r="A223" s="173" t="s">
        <v>344</v>
      </c>
      <c r="B223" s="172" t="s">
        <v>256</v>
      </c>
      <c r="C223" s="189">
        <v>40935943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9">
        <v>1664479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9">
        <v>1230332.49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9">
        <v>3838852.55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>
      <c r="A228" s="173" t="s">
        <v>349</v>
      </c>
      <c r="B228" s="172" t="s">
        <v>256</v>
      </c>
      <c r="C228" s="189">
        <v>70420745.299999997</v>
      </c>
      <c r="D228" s="175"/>
      <c r="E228" s="175"/>
    </row>
    <row r="229" spans="1:5" ht="12.65" customHeight="1">
      <c r="A229" s="173" t="s">
        <v>350</v>
      </c>
      <c r="B229" s="175"/>
      <c r="C229" s="191"/>
      <c r="D229" s="175">
        <f>SUM(C223:C228)</f>
        <v>118090352.34</v>
      </c>
      <c r="E229" s="175"/>
    </row>
    <row r="230" spans="1:5" ht="12.65" customHeight="1">
      <c r="A230" s="255" t="s">
        <v>351</v>
      </c>
      <c r="B230" s="255"/>
      <c r="C230" s="255"/>
      <c r="D230" s="255"/>
      <c r="E230" s="255"/>
    </row>
    <row r="231" spans="1:5" ht="12.65" customHeight="1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5" customHeight="1">
      <c r="A232" s="171"/>
      <c r="B232" s="172"/>
      <c r="C232" s="191"/>
      <c r="D232" s="175"/>
      <c r="E232" s="175"/>
    </row>
    <row r="233" spans="1:5" ht="12.65" customHeight="1">
      <c r="A233" s="171" t="s">
        <v>353</v>
      </c>
      <c r="B233" s="172" t="s">
        <v>256</v>
      </c>
      <c r="C233" s="189">
        <v>70926.06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9">
        <v>263674.14</v>
      </c>
      <c r="D234" s="175"/>
      <c r="E234" s="175"/>
    </row>
    <row r="235" spans="1:5" ht="12.65" customHeight="1">
      <c r="A235" s="173"/>
      <c r="B235" s="175"/>
      <c r="C235" s="191"/>
      <c r="D235" s="175"/>
      <c r="E235" s="175"/>
    </row>
    <row r="236" spans="1:5" ht="12.65" customHeight="1">
      <c r="A236" s="171" t="s">
        <v>355</v>
      </c>
      <c r="B236" s="175"/>
      <c r="C236" s="191"/>
      <c r="D236" s="175">
        <f>SUM(C233:C235)</f>
        <v>334600.2</v>
      </c>
      <c r="E236" s="175"/>
    </row>
    <row r="237" spans="1:5" ht="12.65" customHeight="1">
      <c r="A237" s="255" t="s">
        <v>356</v>
      </c>
      <c r="B237" s="255"/>
      <c r="C237" s="255"/>
      <c r="D237" s="255"/>
      <c r="E237" s="255"/>
    </row>
    <row r="238" spans="1:5" ht="12.65" customHeight="1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>
      <c r="A241" s="173"/>
      <c r="B241" s="175"/>
      <c r="C241" s="191"/>
      <c r="D241" s="175"/>
      <c r="E241" s="175"/>
    </row>
    <row r="242" spans="1:5" ht="12.65" customHeight="1">
      <c r="A242" s="173" t="s">
        <v>359</v>
      </c>
      <c r="B242" s="175"/>
      <c r="C242" s="191"/>
      <c r="D242" s="175">
        <f>D221+D229+D236+D240</f>
        <v>119312170.54000001</v>
      </c>
      <c r="E242" s="175"/>
    </row>
    <row r="243" spans="1:5" ht="12.65" customHeight="1">
      <c r="A243" s="173"/>
      <c r="B243" s="173"/>
      <c r="C243" s="191"/>
      <c r="D243" s="175"/>
      <c r="E243" s="175"/>
    </row>
    <row r="244" spans="1:5" ht="12.65" customHeight="1">
      <c r="A244" s="173"/>
      <c r="B244" s="173"/>
      <c r="C244" s="191"/>
      <c r="D244" s="175"/>
      <c r="E244" s="175"/>
    </row>
    <row r="245" spans="1:5" ht="12.65" customHeight="1">
      <c r="A245" s="173"/>
      <c r="B245" s="173"/>
      <c r="C245" s="191"/>
      <c r="D245" s="175"/>
      <c r="E245" s="175"/>
    </row>
    <row r="246" spans="1:5" ht="12.65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5" t="s">
        <v>361</v>
      </c>
      <c r="B249" s="255"/>
      <c r="C249" s="255"/>
      <c r="D249" s="255"/>
      <c r="E249" s="255"/>
    </row>
    <row r="250" spans="1:5" ht="12.4" customHeight="1">
      <c r="A250" s="173" t="s">
        <v>362</v>
      </c>
      <c r="B250" s="172" t="s">
        <v>256</v>
      </c>
      <c r="C250" s="189">
        <v>-1802271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>
      <c r="A252" s="173" t="s">
        <v>364</v>
      </c>
      <c r="B252" s="172" t="s">
        <v>256</v>
      </c>
      <c r="C252" s="189">
        <v>18451614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189">
        <v>6956002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>
      <c r="A255" s="173" t="s">
        <v>366</v>
      </c>
      <c r="B255" s="172" t="s">
        <v>256</v>
      </c>
      <c r="C255" s="189">
        <v>1989218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189">
        <v>39449</v>
      </c>
      <c r="D256" s="175"/>
      <c r="E256" s="175"/>
    </row>
    <row r="257" spans="1:5" ht="12.4" customHeight="1">
      <c r="A257" s="173" t="s">
        <v>368</v>
      </c>
      <c r="B257" s="172" t="s">
        <v>256</v>
      </c>
      <c r="C257" s="189">
        <v>3563517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189">
        <v>976209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>
      <c r="A260" s="173" t="s">
        <v>371</v>
      </c>
      <c r="B260" s="175"/>
      <c r="C260" s="191"/>
      <c r="D260" s="175">
        <f>SUM(C250:C252)-C253+SUM(C254:C259)</f>
        <v>16261734</v>
      </c>
      <c r="E260" s="175"/>
    </row>
    <row r="261" spans="1:5" ht="11.25" customHeight="1">
      <c r="A261" s="255" t="s">
        <v>372</v>
      </c>
      <c r="B261" s="255"/>
      <c r="C261" s="176"/>
      <c r="D261" s="255"/>
      <c r="E261" s="255"/>
    </row>
    <row r="262" spans="1:5" ht="12.4" customHeight="1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" customHeight="1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" customHeight="1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5" t="s">
        <v>375</v>
      </c>
      <c r="B266" s="255"/>
      <c r="C266" s="176"/>
      <c r="D266" s="255"/>
      <c r="E266" s="255"/>
    </row>
    <row r="267" spans="1:5" ht="12.4" customHeight="1">
      <c r="A267" s="173" t="s">
        <v>332</v>
      </c>
      <c r="B267" s="172" t="s">
        <v>256</v>
      </c>
      <c r="C267" s="189">
        <v>3160000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189">
        <v>710000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189">
        <v>44944891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189">
        <v>21305026</v>
      </c>
      <c r="D270" s="175"/>
      <c r="E270" s="175"/>
    </row>
    <row r="271" spans="1:5" ht="12.4" customHeight="1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189">
        <v>18964693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189">
        <v>2004656</v>
      </c>
      <c r="D273" s="175"/>
      <c r="E273" s="175"/>
    </row>
    <row r="274" spans="1:5" ht="12.4" customHeight="1">
      <c r="A274" s="173" t="s">
        <v>340</v>
      </c>
      <c r="B274" s="172" t="s">
        <v>256</v>
      </c>
      <c r="C274" s="189">
        <v>982323</v>
      </c>
      <c r="D274" s="175"/>
      <c r="E274" s="175"/>
    </row>
    <row r="275" spans="1:5" ht="12.4" customHeight="1">
      <c r="A275" s="173" t="s">
        <v>379</v>
      </c>
      <c r="B275" s="175"/>
      <c r="C275" s="191"/>
      <c r="D275" s="175">
        <f>SUM(C267:C274)</f>
        <v>92071589</v>
      </c>
      <c r="E275" s="175"/>
    </row>
    <row r="276" spans="1:5" ht="12.65" customHeight="1">
      <c r="A276" s="173" t="s">
        <v>380</v>
      </c>
      <c r="B276" s="172" t="s">
        <v>256</v>
      </c>
      <c r="C276" s="189">
        <v>24120505</v>
      </c>
      <c r="D276" s="175"/>
      <c r="E276" s="175"/>
    </row>
    <row r="277" spans="1:5" ht="12.65" customHeight="1">
      <c r="A277" s="173" t="s">
        <v>381</v>
      </c>
      <c r="B277" s="175"/>
      <c r="C277" s="191"/>
      <c r="D277" s="175">
        <f>D275-C276</f>
        <v>67951084</v>
      </c>
      <c r="E277" s="175"/>
    </row>
    <row r="278" spans="1:5" ht="12.65" customHeight="1">
      <c r="A278" s="255" t="s">
        <v>382</v>
      </c>
      <c r="B278" s="255"/>
      <c r="C278" s="176"/>
      <c r="D278" s="255"/>
      <c r="E278" s="255"/>
    </row>
    <row r="279" spans="1:5" ht="12.65" customHeight="1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>
      <c r="A281" s="173" t="s">
        <v>385</v>
      </c>
      <c r="B281" s="172" t="s">
        <v>256</v>
      </c>
      <c r="C281" s="189">
        <v>448809</v>
      </c>
      <c r="D281" s="175"/>
      <c r="E281" s="175"/>
    </row>
    <row r="282" spans="1:5" ht="12.65" customHeight="1">
      <c r="A282" s="173" t="s">
        <v>373</v>
      </c>
      <c r="B282" s="172" t="s">
        <v>256</v>
      </c>
      <c r="C282" s="189">
        <v>1799432</v>
      </c>
      <c r="D282" s="175"/>
      <c r="E282" s="175"/>
    </row>
    <row r="283" spans="1:5" ht="12.65" customHeight="1">
      <c r="A283" s="173" t="s">
        <v>386</v>
      </c>
      <c r="B283" s="175"/>
      <c r="C283" s="191"/>
      <c r="D283" s="175">
        <f>C279-C280+C281+C282</f>
        <v>2248241</v>
      </c>
      <c r="E283" s="175"/>
    </row>
    <row r="284" spans="1:5" ht="12.65" customHeight="1">
      <c r="A284" s="173"/>
      <c r="B284" s="175"/>
      <c r="C284" s="191"/>
      <c r="D284" s="175"/>
      <c r="E284" s="175"/>
    </row>
    <row r="285" spans="1:5" ht="12.65" customHeight="1">
      <c r="A285" s="255" t="s">
        <v>387</v>
      </c>
      <c r="B285" s="255"/>
      <c r="C285" s="176"/>
      <c r="D285" s="255"/>
      <c r="E285" s="255"/>
    </row>
    <row r="286" spans="1:5" ht="12.65" customHeight="1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>
      <c r="A291" s="173"/>
      <c r="B291" s="175"/>
      <c r="C291" s="191"/>
      <c r="D291" s="175"/>
      <c r="E291" s="175"/>
    </row>
    <row r="292" spans="1:5" ht="12.65" customHeight="1">
      <c r="A292" s="173" t="s">
        <v>393</v>
      </c>
      <c r="B292" s="175"/>
      <c r="C292" s="191"/>
      <c r="D292" s="175">
        <f>D260+D265+D277+D283+D290</f>
        <v>86461059</v>
      </c>
      <c r="E292" s="175"/>
    </row>
    <row r="293" spans="1:5" ht="12.65" customHeight="1">
      <c r="A293" s="173"/>
      <c r="B293" s="173"/>
      <c r="C293" s="191"/>
      <c r="D293" s="175"/>
      <c r="E293" s="175"/>
    </row>
    <row r="294" spans="1:5" ht="12.65" customHeight="1">
      <c r="A294" s="173"/>
      <c r="B294" s="173"/>
      <c r="C294" s="191"/>
      <c r="D294" s="175"/>
      <c r="E294" s="175"/>
    </row>
    <row r="295" spans="1:5" ht="12.65" customHeight="1">
      <c r="A295" s="173"/>
      <c r="B295" s="173"/>
      <c r="C295" s="191"/>
      <c r="D295" s="175"/>
      <c r="E295" s="175"/>
    </row>
    <row r="296" spans="1:5" ht="12.65" customHeight="1">
      <c r="A296" s="173"/>
      <c r="B296" s="173"/>
      <c r="C296" s="191"/>
      <c r="D296" s="175"/>
      <c r="E296" s="175"/>
    </row>
    <row r="297" spans="1:5" ht="12.65" customHeight="1">
      <c r="A297" s="173"/>
      <c r="B297" s="173"/>
      <c r="C297" s="191"/>
      <c r="D297" s="175"/>
      <c r="E297" s="175"/>
    </row>
    <row r="298" spans="1:5" ht="12.65" customHeight="1">
      <c r="A298" s="173"/>
      <c r="B298" s="173"/>
      <c r="C298" s="191"/>
      <c r="D298" s="175"/>
      <c r="E298" s="175"/>
    </row>
    <row r="299" spans="1:5" ht="12.65" customHeight="1">
      <c r="A299" s="173"/>
      <c r="B299" s="173"/>
      <c r="C299" s="191"/>
      <c r="D299" s="175"/>
      <c r="E299" s="175"/>
    </row>
    <row r="300" spans="1:5" ht="12.65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5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5" t="s">
        <v>395</v>
      </c>
      <c r="B303" s="255"/>
      <c r="C303" s="255"/>
      <c r="D303" s="255"/>
      <c r="E303" s="255"/>
    </row>
    <row r="304" spans="1:5" ht="12.65" customHeight="1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>
      <c r="A305" s="173" t="s">
        <v>397</v>
      </c>
      <c r="B305" s="172" t="s">
        <v>256</v>
      </c>
      <c r="C305" s="189">
        <v>4493423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9">
        <v>3528620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9">
        <v>347596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>
      <c r="A312" s="173" t="s">
        <v>403</v>
      </c>
      <c r="B312" s="172" t="s">
        <v>256</v>
      </c>
      <c r="C312" s="189">
        <v>19876907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>
      <c r="A314" s="173" t="s">
        <v>405</v>
      </c>
      <c r="B314" s="175"/>
      <c r="C314" s="191"/>
      <c r="D314" s="175">
        <f>SUM(C304:C313)</f>
        <v>28246546</v>
      </c>
      <c r="E314" s="175"/>
    </row>
    <row r="315" spans="1:5" ht="12.65" customHeight="1">
      <c r="A315" s="255" t="s">
        <v>406</v>
      </c>
      <c r="B315" s="255"/>
      <c r="C315" s="255"/>
      <c r="D315" s="255"/>
      <c r="E315" s="255"/>
    </row>
    <row r="316" spans="1:5" ht="12.65" customHeight="1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9">
        <v>1540456</v>
      </c>
      <c r="D318" s="175"/>
      <c r="E318" s="175"/>
    </row>
    <row r="319" spans="1:5" ht="12.65" customHeight="1">
      <c r="A319" s="173" t="s">
        <v>410</v>
      </c>
      <c r="B319" s="175"/>
      <c r="C319" s="191"/>
      <c r="D319" s="175">
        <f>SUM(C316:C318)</f>
        <v>1540456</v>
      </c>
      <c r="E319" s="175"/>
    </row>
    <row r="320" spans="1:5" ht="12.65" customHeight="1">
      <c r="A320" s="255" t="s">
        <v>411</v>
      </c>
      <c r="B320" s="255"/>
      <c r="C320" s="255"/>
      <c r="D320" s="255"/>
      <c r="E320" s="255"/>
    </row>
    <row r="321" spans="1:5" ht="12.65" customHeight="1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>
      <c r="A324" s="171" t="s">
        <v>415</v>
      </c>
      <c r="B324" s="172" t="s">
        <v>256</v>
      </c>
      <c r="C324" s="189">
        <v>113282771</v>
      </c>
      <c r="D324" s="175"/>
      <c r="E324" s="175"/>
    </row>
    <row r="325" spans="1:5" ht="12.65" customHeight="1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>
      <c r="A326" s="171" t="s">
        <v>417</v>
      </c>
      <c r="B326" s="172" t="s">
        <v>256</v>
      </c>
      <c r="C326" s="189">
        <v>-31028499</v>
      </c>
      <c r="D326" s="175"/>
      <c r="E326" s="175"/>
    </row>
    <row r="327" spans="1:5" ht="12.65" customHeight="1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82254272</v>
      </c>
      <c r="E328" s="175"/>
    </row>
    <row r="329" spans="1:5" ht="12.65" customHeight="1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91"/>
      <c r="D330" s="175">
        <f>D328-D329</f>
        <v>82254272</v>
      </c>
      <c r="E330" s="175"/>
    </row>
    <row r="331" spans="1:5" ht="12.65" customHeight="1">
      <c r="A331" s="173"/>
      <c r="B331" s="175"/>
      <c r="C331" s="191"/>
      <c r="D331" s="175"/>
      <c r="E331" s="175"/>
    </row>
    <row r="332" spans="1:5" ht="12.65" customHeight="1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5" customHeight="1">
      <c r="A333" s="173"/>
      <c r="B333" s="172"/>
      <c r="C333" s="230"/>
      <c r="D333" s="175"/>
      <c r="E333" s="175"/>
    </row>
    <row r="334" spans="1:5" ht="12.65" customHeight="1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>
      <c r="A337" s="173" t="s">
        <v>422</v>
      </c>
      <c r="B337" s="172" t="s">
        <v>256</v>
      </c>
      <c r="C337" s="189">
        <v>-8128883</v>
      </c>
      <c r="D337" s="175"/>
      <c r="E337" s="175"/>
    </row>
    <row r="338" spans="1:5" ht="12.65" customHeight="1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>
      <c r="A339" s="173" t="s">
        <v>424</v>
      </c>
      <c r="B339" s="175"/>
      <c r="C339" s="191"/>
      <c r="D339" s="175">
        <f>D314+D319+D330+C332+C336+C337</f>
        <v>103912391</v>
      </c>
      <c r="E339" s="175"/>
    </row>
    <row r="340" spans="1:5" ht="12.65" customHeight="1">
      <c r="A340" s="173"/>
      <c r="B340" s="175"/>
      <c r="C340" s="191"/>
      <c r="D340" s="175"/>
      <c r="E340" s="175"/>
    </row>
    <row r="341" spans="1:5" ht="12.65" customHeight="1">
      <c r="A341" s="173" t="s">
        <v>425</v>
      </c>
      <c r="B341" s="175"/>
      <c r="C341" s="191"/>
      <c r="D341" s="175">
        <f>D292</f>
        <v>86461059</v>
      </c>
      <c r="E341" s="175"/>
    </row>
    <row r="342" spans="1:5" ht="12.65" customHeight="1">
      <c r="A342" s="173"/>
      <c r="B342" s="173"/>
      <c r="C342" s="191"/>
      <c r="D342" s="175"/>
      <c r="E342" s="175"/>
    </row>
    <row r="343" spans="1:5" ht="12.65" customHeight="1">
      <c r="A343" s="173"/>
      <c r="B343" s="173"/>
      <c r="C343" s="191"/>
      <c r="D343" s="175"/>
      <c r="E343" s="175"/>
    </row>
    <row r="344" spans="1:5" ht="12.65" customHeight="1">
      <c r="A344" s="173"/>
      <c r="B344" s="173"/>
      <c r="C344" s="191"/>
      <c r="D344" s="175"/>
      <c r="E344" s="175"/>
    </row>
    <row r="345" spans="1:5" ht="12.65" customHeight="1">
      <c r="A345" s="173"/>
      <c r="B345" s="173"/>
      <c r="C345" s="191"/>
      <c r="D345" s="175"/>
      <c r="E345" s="175"/>
    </row>
    <row r="346" spans="1:5" ht="12.65" customHeight="1">
      <c r="A346" s="173"/>
      <c r="B346" s="173"/>
      <c r="C346" s="191"/>
      <c r="D346" s="175"/>
      <c r="E346" s="175"/>
    </row>
    <row r="347" spans="1:5" ht="12.65" customHeight="1">
      <c r="A347" s="173"/>
      <c r="B347" s="173"/>
      <c r="C347" s="191"/>
      <c r="D347" s="175"/>
      <c r="E347" s="175"/>
    </row>
    <row r="348" spans="1:5" ht="12.65" customHeight="1">
      <c r="A348" s="173"/>
      <c r="B348" s="173"/>
      <c r="C348" s="191"/>
      <c r="D348" s="175"/>
      <c r="E348" s="175"/>
    </row>
    <row r="349" spans="1:5" ht="12.65" customHeight="1">
      <c r="A349" s="173"/>
      <c r="B349" s="173"/>
      <c r="C349" s="191"/>
      <c r="D349" s="175"/>
      <c r="E349" s="175"/>
    </row>
    <row r="350" spans="1:5" ht="12.65" customHeight="1">
      <c r="A350" s="173"/>
      <c r="B350" s="173"/>
      <c r="C350" s="191"/>
      <c r="D350" s="175"/>
      <c r="E350" s="175"/>
    </row>
    <row r="351" spans="1:5" ht="12.65" customHeight="1">
      <c r="A351" s="173"/>
      <c r="B351" s="173"/>
      <c r="C351" s="191"/>
      <c r="D351" s="175"/>
      <c r="E351" s="175"/>
    </row>
    <row r="352" spans="1:5" ht="12.65" customHeight="1">
      <c r="A352" s="173"/>
      <c r="B352" s="173"/>
      <c r="C352" s="191"/>
      <c r="D352" s="175"/>
      <c r="E352" s="175"/>
    </row>
    <row r="353" spans="1:8" ht="12.65" customHeight="1">
      <c r="A353" s="173"/>
      <c r="B353" s="173"/>
      <c r="C353" s="191"/>
      <c r="D353" s="175"/>
      <c r="E353" s="175"/>
    </row>
    <row r="354" spans="1:8" ht="12.65" customHeight="1">
      <c r="A354" s="173"/>
      <c r="B354" s="173"/>
      <c r="C354" s="191"/>
      <c r="D354" s="175"/>
      <c r="E354" s="175"/>
    </row>
    <row r="355" spans="1:8" ht="12.65" customHeight="1">
      <c r="A355" s="173"/>
      <c r="B355" s="173"/>
      <c r="C355" s="191"/>
      <c r="D355" s="175"/>
      <c r="E355" s="175"/>
    </row>
    <row r="356" spans="1:8" ht="20.25" customHeight="1">
      <c r="A356" s="173"/>
      <c r="B356" s="173"/>
      <c r="C356" s="191"/>
      <c r="D356" s="175"/>
      <c r="E356" s="175"/>
    </row>
    <row r="357" spans="1:8" ht="12.65" customHeight="1">
      <c r="A357" s="208" t="s">
        <v>426</v>
      </c>
      <c r="B357" s="208"/>
      <c r="C357" s="208"/>
      <c r="D357" s="208"/>
      <c r="E357" s="208"/>
    </row>
    <row r="358" spans="1:8" ht="12.65" customHeight="1">
      <c r="A358" s="255" t="s">
        <v>427</v>
      </c>
      <c r="B358" s="255"/>
      <c r="C358" s="255"/>
      <c r="D358" s="255"/>
      <c r="E358" s="255"/>
      <c r="G358" s="180" t="s">
        <v>1293</v>
      </c>
      <c r="H358" s="180" t="s">
        <v>1296</v>
      </c>
    </row>
    <row r="359" spans="1:8" ht="12.65" customHeight="1">
      <c r="A359" s="173" t="s">
        <v>428</v>
      </c>
      <c r="B359" s="172" t="s">
        <v>256</v>
      </c>
      <c r="C359" s="189">
        <v>53881939</v>
      </c>
      <c r="D359" s="175"/>
      <c r="E359" s="175"/>
      <c r="G359" s="180">
        <f>'data 1Q21'!C359</f>
        <v>53881939</v>
      </c>
      <c r="H359" s="180">
        <f>G359-C359</f>
        <v>0</v>
      </c>
    </row>
    <row r="360" spans="1:8" ht="12.65" customHeight="1">
      <c r="A360" s="173" t="s">
        <v>429</v>
      </c>
      <c r="B360" s="172" t="s">
        <v>256</v>
      </c>
      <c r="C360" s="189">
        <v>87349117</v>
      </c>
      <c r="D360" s="175"/>
      <c r="E360" s="175"/>
      <c r="G360" s="180">
        <f>'data 1Q21'!C360</f>
        <v>87349117</v>
      </c>
      <c r="H360" s="180">
        <f>G360-C360</f>
        <v>0</v>
      </c>
    </row>
    <row r="361" spans="1:8" ht="12.65" customHeight="1">
      <c r="A361" s="173" t="s">
        <v>430</v>
      </c>
      <c r="B361" s="175"/>
      <c r="C361" s="191"/>
      <c r="D361" s="175">
        <f>SUM(C359:C360)</f>
        <v>141231056</v>
      </c>
      <c r="E361" s="175"/>
    </row>
    <row r="362" spans="1:8" ht="12.65" customHeight="1">
      <c r="A362" s="255" t="s">
        <v>431</v>
      </c>
      <c r="B362" s="255"/>
      <c r="C362" s="255"/>
      <c r="D362" s="255"/>
      <c r="E362" s="255"/>
    </row>
    <row r="363" spans="1:8" ht="12.65" customHeight="1">
      <c r="A363" s="173" t="s">
        <v>1255</v>
      </c>
      <c r="B363" s="255"/>
      <c r="C363" s="189">
        <v>887218</v>
      </c>
      <c r="D363" s="175"/>
      <c r="E363" s="255"/>
    </row>
    <row r="364" spans="1:8" ht="12.65" customHeight="1">
      <c r="A364" s="173" t="s">
        <v>432</v>
      </c>
      <c r="B364" s="172" t="s">
        <v>256</v>
      </c>
      <c r="C364" s="189">
        <v>117631014.69</v>
      </c>
      <c r="D364" s="175"/>
      <c r="E364" s="175"/>
    </row>
    <row r="365" spans="1:8" ht="12.65" customHeight="1">
      <c r="A365" s="173" t="s">
        <v>433</v>
      </c>
      <c r="B365" s="172" t="s">
        <v>256</v>
      </c>
      <c r="C365" s="189">
        <v>788583.22</v>
      </c>
      <c r="D365" s="175"/>
      <c r="E365" s="175"/>
    </row>
    <row r="366" spans="1:8" ht="12.65" customHeight="1">
      <c r="A366" s="173" t="s">
        <v>434</v>
      </c>
      <c r="B366" s="172" t="s">
        <v>256</v>
      </c>
      <c r="C366" s="189">
        <v>5356.33</v>
      </c>
      <c r="D366" s="175"/>
      <c r="E366" s="175"/>
    </row>
    <row r="367" spans="1:8" ht="12.65" customHeight="1">
      <c r="A367" s="173" t="s">
        <v>359</v>
      </c>
      <c r="B367" s="175"/>
      <c r="C367" s="191"/>
      <c r="D367" s="175">
        <f>SUM(C363:C366)</f>
        <v>119312172.23999999</v>
      </c>
      <c r="E367" s="175"/>
    </row>
    <row r="368" spans="1:8" ht="12.65" customHeight="1">
      <c r="A368" s="173" t="s">
        <v>435</v>
      </c>
      <c r="B368" s="175"/>
      <c r="C368" s="191"/>
      <c r="D368" s="175">
        <f>D361-D367</f>
        <v>21918883.760000005</v>
      </c>
      <c r="E368" s="175"/>
    </row>
    <row r="369" spans="1:6" ht="12.65" customHeight="1">
      <c r="A369" s="255" t="s">
        <v>436</v>
      </c>
      <c r="B369" s="255"/>
      <c r="C369" s="255"/>
      <c r="D369" s="255"/>
      <c r="E369" s="255"/>
    </row>
    <row r="370" spans="1:6" ht="12.65" customHeight="1">
      <c r="A370" s="173" t="s">
        <v>437</v>
      </c>
      <c r="B370" s="172" t="s">
        <v>256</v>
      </c>
      <c r="C370" s="189">
        <v>48385</v>
      </c>
      <c r="D370" s="175"/>
      <c r="E370" s="175"/>
    </row>
    <row r="371" spans="1:6" ht="12.65" customHeight="1">
      <c r="A371" s="173" t="s">
        <v>438</v>
      </c>
      <c r="B371" s="172" t="s">
        <v>256</v>
      </c>
      <c r="C371" s="189">
        <v>0</v>
      </c>
      <c r="D371" s="175"/>
      <c r="E371" s="175"/>
    </row>
    <row r="372" spans="1:6" ht="12.65" customHeight="1">
      <c r="A372" s="173" t="s">
        <v>439</v>
      </c>
      <c r="B372" s="175"/>
      <c r="C372" s="191"/>
      <c r="D372" s="175">
        <f>SUM(C370:C371)</f>
        <v>48385</v>
      </c>
      <c r="E372" s="175"/>
    </row>
    <row r="373" spans="1:6" ht="12.65" customHeight="1">
      <c r="A373" s="173" t="s">
        <v>440</v>
      </c>
      <c r="B373" s="175"/>
      <c r="C373" s="191"/>
      <c r="D373" s="175">
        <f>D368+D372</f>
        <v>21967268.760000005</v>
      </c>
      <c r="E373" s="175"/>
    </row>
    <row r="374" spans="1:6" ht="12.65" customHeight="1">
      <c r="A374" s="173"/>
      <c r="B374" s="175"/>
      <c r="C374" s="191"/>
      <c r="D374" s="175"/>
      <c r="E374" s="175"/>
    </row>
    <row r="375" spans="1:6" ht="12.65" customHeight="1">
      <c r="A375" s="173"/>
      <c r="B375" s="175"/>
      <c r="C375" s="191"/>
      <c r="D375" s="175"/>
      <c r="E375" s="175"/>
    </row>
    <row r="376" spans="1:6" ht="12.65" customHeight="1">
      <c r="A376" s="173"/>
      <c r="B376" s="175"/>
      <c r="C376" s="191"/>
      <c r="D376" s="175"/>
      <c r="E376" s="175"/>
    </row>
    <row r="377" spans="1:6" ht="12.65" customHeight="1">
      <c r="A377" s="255" t="s">
        <v>441</v>
      </c>
      <c r="B377" s="255"/>
      <c r="C377" s="255"/>
      <c r="D377" s="255"/>
      <c r="E377" s="255"/>
      <c r="F377" s="2" t="s">
        <v>1266</v>
      </c>
    </row>
    <row r="378" spans="1:6" ht="12.65" customHeight="1">
      <c r="A378" s="173" t="s">
        <v>442</v>
      </c>
      <c r="B378" s="172" t="s">
        <v>256</v>
      </c>
      <c r="C378" s="189">
        <v>9508095</v>
      </c>
      <c r="D378" s="175"/>
      <c r="E378" s="175"/>
      <c r="F378" s="286">
        <f t="shared" ref="F378:F385" si="14">ROUNDDOWN(C378-CE61,0)</f>
        <v>-11</v>
      </c>
    </row>
    <row r="379" spans="1:6" ht="12.65" customHeight="1">
      <c r="A379" s="173" t="s">
        <v>3</v>
      </c>
      <c r="B379" s="172" t="s">
        <v>256</v>
      </c>
      <c r="C379" s="189">
        <f>CE62</f>
        <v>1845896</v>
      </c>
      <c r="D379" s="175"/>
      <c r="E379" s="175"/>
      <c r="F379" s="286">
        <f t="shared" si="14"/>
        <v>0</v>
      </c>
    </row>
    <row r="380" spans="1:6" ht="12.65" customHeight="1">
      <c r="A380" s="173" t="s">
        <v>236</v>
      </c>
      <c r="B380" s="172" t="s">
        <v>256</v>
      </c>
      <c r="C380" s="189">
        <v>1339041</v>
      </c>
      <c r="D380" s="175"/>
      <c r="E380" s="175"/>
      <c r="F380" s="286">
        <f t="shared" si="14"/>
        <v>0</v>
      </c>
    </row>
    <row r="381" spans="1:6" ht="12.65" customHeight="1">
      <c r="A381" s="173" t="s">
        <v>443</v>
      </c>
      <c r="B381" s="172" t="s">
        <v>256</v>
      </c>
      <c r="C381" s="189">
        <v>4057074</v>
      </c>
      <c r="D381" s="175"/>
      <c r="E381" s="175"/>
      <c r="F381" s="286">
        <f t="shared" si="14"/>
        <v>-6</v>
      </c>
    </row>
    <row r="382" spans="1:6" ht="12.65" customHeight="1">
      <c r="A382" s="173" t="s">
        <v>444</v>
      </c>
      <c r="B382" s="172" t="s">
        <v>256</v>
      </c>
      <c r="C382" s="189">
        <v>248783</v>
      </c>
      <c r="D382" s="175"/>
      <c r="E382" s="175"/>
      <c r="F382" s="286">
        <f t="shared" si="14"/>
        <v>1</v>
      </c>
    </row>
    <row r="383" spans="1:6" ht="12.65" customHeight="1">
      <c r="A383" s="173" t="s">
        <v>445</v>
      </c>
      <c r="B383" s="172" t="s">
        <v>256</v>
      </c>
      <c r="C383" s="189">
        <v>2758397</v>
      </c>
      <c r="D383" s="175"/>
      <c r="E383" s="175"/>
      <c r="F383" s="286">
        <f t="shared" si="14"/>
        <v>-2</v>
      </c>
    </row>
    <row r="384" spans="1:6" ht="12.65" customHeight="1">
      <c r="A384" s="173" t="s">
        <v>6</v>
      </c>
      <c r="B384" s="172" t="s">
        <v>256</v>
      </c>
      <c r="C384" s="189">
        <f>CE67</f>
        <v>0</v>
      </c>
      <c r="D384" s="175"/>
      <c r="E384" s="175"/>
      <c r="F384" s="286">
        <f t="shared" si="14"/>
        <v>0</v>
      </c>
    </row>
    <row r="385" spans="1:6" ht="12.65" customHeight="1">
      <c r="A385" s="173" t="s">
        <v>446</v>
      </c>
      <c r="B385" s="172" t="s">
        <v>256</v>
      </c>
      <c r="C385" s="189">
        <v>621444</v>
      </c>
      <c r="D385" s="175"/>
      <c r="E385" s="175"/>
      <c r="F385" s="286">
        <f t="shared" si="14"/>
        <v>-2</v>
      </c>
    </row>
    <row r="386" spans="1:6" ht="12.65" customHeight="1">
      <c r="A386" s="173" t="s">
        <v>447</v>
      </c>
      <c r="B386" s="172" t="s">
        <v>256</v>
      </c>
      <c r="C386" s="189">
        <v>111932</v>
      </c>
      <c r="D386" s="175"/>
      <c r="E386" s="175"/>
      <c r="F386" s="286">
        <f>ROUNDDOWN(SUM(C386:C389)-CE69,0)</f>
        <v>0</v>
      </c>
    </row>
    <row r="387" spans="1:6" ht="12.65" customHeight="1">
      <c r="A387" s="173" t="s">
        <v>448</v>
      </c>
      <c r="B387" s="172" t="s">
        <v>256</v>
      </c>
      <c r="C387" s="189">
        <v>1162192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9">
        <v>2513722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9">
        <v>-691514</v>
      </c>
      <c r="D389" s="175"/>
      <c r="E389" s="175"/>
    </row>
    <row r="390" spans="1:6" ht="12.65" customHeight="1">
      <c r="A390" s="173" t="s">
        <v>452</v>
      </c>
      <c r="B390" s="175"/>
      <c r="C390" s="191"/>
      <c r="D390" s="175">
        <f>SUM(C378:C389)</f>
        <v>23475062</v>
      </c>
      <c r="E390" s="175"/>
    </row>
    <row r="391" spans="1:6" ht="12.65" customHeight="1">
      <c r="A391" s="173" t="s">
        <v>453</v>
      </c>
      <c r="B391" s="175"/>
      <c r="C391" s="191"/>
      <c r="D391" s="175">
        <f>D373-D390</f>
        <v>-1507793.2399999946</v>
      </c>
      <c r="E391" s="175"/>
    </row>
    <row r="392" spans="1:6" ht="12.65" customHeight="1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5" customHeight="1">
      <c r="A393" s="173" t="s">
        <v>455</v>
      </c>
      <c r="B393" s="175"/>
      <c r="C393" s="191"/>
      <c r="D393" s="195">
        <f>D391+C392</f>
        <v>-1507793.2399999946</v>
      </c>
      <c r="E393" s="175"/>
      <c r="F393" s="197"/>
    </row>
    <row r="394" spans="1:6" ht="12.65" customHeight="1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>
      <c r="A396" s="173" t="s">
        <v>458</v>
      </c>
      <c r="B396" s="175"/>
      <c r="C396" s="191"/>
      <c r="D396" s="175">
        <f>D393+C394-C395</f>
        <v>-1507793.2399999946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  <c r="C400" s="287"/>
    </row>
    <row r="401" spans="1:5" ht="12" customHeight="1">
      <c r="A401" s="179"/>
      <c r="B401" s="179"/>
      <c r="C401" s="287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58"/>
    </row>
    <row r="412" spans="1:5" ht="12.65" customHeight="1">
      <c r="A412" s="179" t="str">
        <f>C84&amp;"   "&amp;"H-"&amp;FIXED(C83,0,TRUE)&amp;"     FYE "&amp;C82</f>
        <v>Capital Medical Center   H-197     FYE 12/31/21</v>
      </c>
      <c r="B412" s="179"/>
      <c r="C412" s="179"/>
      <c r="D412" s="179"/>
      <c r="E412" s="258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844</v>
      </c>
      <c r="C414" s="194">
        <f>E138</f>
        <v>844</v>
      </c>
      <c r="D414" s="179"/>
    </row>
    <row r="415" spans="1:5" ht="12.65" customHeight="1">
      <c r="A415" s="179" t="s">
        <v>464</v>
      </c>
      <c r="B415" s="179">
        <f>D111</f>
        <v>2704</v>
      </c>
      <c r="C415" s="179">
        <f>E139</f>
        <v>2704</v>
      </c>
      <c r="D415" s="194">
        <f>SUM(C59:H59)+N59</f>
        <v>2576</v>
      </c>
    </row>
    <row r="416" spans="1:5" ht="12.65" customHeight="1">
      <c r="A416" s="179"/>
      <c r="B416" s="179"/>
      <c r="C416" s="194"/>
      <c r="D416" s="179"/>
    </row>
    <row r="417" spans="1:7" ht="12.65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4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6"/>
      <c r="B422" s="206"/>
      <c r="C422" s="181"/>
      <c r="D422" s="179"/>
    </row>
    <row r="423" spans="1:7" ht="12.65" customHeight="1">
      <c r="A423" s="180" t="s">
        <v>469</v>
      </c>
      <c r="B423" s="180">
        <f>C114</f>
        <v>150</v>
      </c>
    </row>
    <row r="424" spans="1:7" ht="12.65" customHeight="1">
      <c r="A424" s="179" t="s">
        <v>1244</v>
      </c>
      <c r="B424" s="179">
        <f>D114</f>
        <v>217</v>
      </c>
      <c r="D424" s="179">
        <f>J59</f>
        <v>233</v>
      </c>
    </row>
    <row r="425" spans="1:7" ht="12.65" customHeight="1">
      <c r="A425" s="206"/>
      <c r="B425" s="206"/>
      <c r="C425" s="206"/>
      <c r="D425" s="206"/>
      <c r="F425" s="206"/>
      <c r="G425" s="206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5">C378</f>
        <v>9508095</v>
      </c>
      <c r="C427" s="179">
        <f t="shared" ref="C427:C434" si="16">CE61</f>
        <v>9508106</v>
      </c>
      <c r="D427" s="179"/>
    </row>
    <row r="428" spans="1:7" ht="12.65" customHeight="1">
      <c r="A428" s="179" t="s">
        <v>3</v>
      </c>
      <c r="B428" s="179">
        <f t="shared" si="15"/>
        <v>1845896</v>
      </c>
      <c r="C428" s="179">
        <f t="shared" si="16"/>
        <v>1845896</v>
      </c>
      <c r="D428" s="179">
        <f>D173</f>
        <v>1845897</v>
      </c>
    </row>
    <row r="429" spans="1:7" ht="12.65" customHeight="1">
      <c r="A429" s="179" t="s">
        <v>236</v>
      </c>
      <c r="B429" s="179">
        <f t="shared" si="15"/>
        <v>1339041</v>
      </c>
      <c r="C429" s="179">
        <f t="shared" si="16"/>
        <v>1339041</v>
      </c>
      <c r="D429" s="179"/>
    </row>
    <row r="430" spans="1:7" ht="12.65" customHeight="1">
      <c r="A430" s="179" t="s">
        <v>237</v>
      </c>
      <c r="B430" s="179">
        <f t="shared" si="15"/>
        <v>4057074</v>
      </c>
      <c r="C430" s="179">
        <f t="shared" si="16"/>
        <v>4057080</v>
      </c>
      <c r="D430" s="179"/>
    </row>
    <row r="431" spans="1:7" ht="12.65" customHeight="1">
      <c r="A431" s="179" t="s">
        <v>444</v>
      </c>
      <c r="B431" s="179">
        <f t="shared" si="15"/>
        <v>248783</v>
      </c>
      <c r="C431" s="179">
        <f t="shared" si="16"/>
        <v>248782</v>
      </c>
      <c r="D431" s="179"/>
    </row>
    <row r="432" spans="1:7" ht="12.65" customHeight="1">
      <c r="A432" s="179" t="s">
        <v>445</v>
      </c>
      <c r="B432" s="179">
        <f t="shared" si="15"/>
        <v>2758397</v>
      </c>
      <c r="C432" s="179">
        <f t="shared" si="16"/>
        <v>2758399</v>
      </c>
      <c r="D432" s="179"/>
    </row>
    <row r="433" spans="1:7" ht="12.65" customHeight="1">
      <c r="A433" s="179" t="s">
        <v>6</v>
      </c>
      <c r="B433" s="179">
        <f t="shared" si="15"/>
        <v>0</v>
      </c>
      <c r="C433" s="179">
        <f t="shared" si="16"/>
        <v>0</v>
      </c>
      <c r="D433" s="179">
        <f>C217</f>
        <v>0</v>
      </c>
    </row>
    <row r="434" spans="1:7" ht="12.65" customHeight="1">
      <c r="A434" s="179" t="s">
        <v>474</v>
      </c>
      <c r="B434" s="179">
        <f t="shared" si="15"/>
        <v>621444</v>
      </c>
      <c r="C434" s="179">
        <f t="shared" si="16"/>
        <v>621446</v>
      </c>
      <c r="D434" s="179">
        <f>D177</f>
        <v>621443</v>
      </c>
    </row>
    <row r="435" spans="1:7" ht="12.65" customHeight="1">
      <c r="A435" s="179" t="s">
        <v>447</v>
      </c>
      <c r="B435" s="179">
        <f t="shared" si="15"/>
        <v>111932</v>
      </c>
      <c r="C435" s="179"/>
      <c r="D435" s="179">
        <f>D181</f>
        <v>111931</v>
      </c>
    </row>
    <row r="436" spans="1:7" ht="12.65" customHeight="1">
      <c r="A436" s="179" t="s">
        <v>475</v>
      </c>
      <c r="B436" s="179">
        <f t="shared" si="15"/>
        <v>1162192</v>
      </c>
      <c r="C436" s="179"/>
      <c r="D436" s="179">
        <f>D186</f>
        <v>1162191.8700000001</v>
      </c>
    </row>
    <row r="437" spans="1:7" ht="12.65" customHeight="1">
      <c r="A437" s="194" t="s">
        <v>449</v>
      </c>
      <c r="B437" s="194">
        <f t="shared" si="15"/>
        <v>2513722</v>
      </c>
      <c r="C437" s="194"/>
      <c r="D437" s="194">
        <f>D190</f>
        <v>2513722</v>
      </c>
    </row>
    <row r="438" spans="1:7" ht="12.65" customHeight="1">
      <c r="A438" s="194" t="s">
        <v>476</v>
      </c>
      <c r="B438" s="194">
        <f>C386+C387+C388</f>
        <v>3787846</v>
      </c>
      <c r="C438" s="194">
        <f>CD69</f>
        <v>-72174</v>
      </c>
      <c r="D438" s="194">
        <f>D181+D186+D190</f>
        <v>3787844.87</v>
      </c>
    </row>
    <row r="439" spans="1:7" ht="12.65" customHeight="1">
      <c r="A439" s="179" t="s">
        <v>451</v>
      </c>
      <c r="B439" s="194">
        <f>C389</f>
        <v>-691514</v>
      </c>
      <c r="C439" s="194">
        <f>SUM(C69:CC69)</f>
        <v>3168506</v>
      </c>
      <c r="D439" s="179"/>
    </row>
    <row r="440" spans="1:7" ht="12.65" customHeight="1">
      <c r="A440" s="179" t="s">
        <v>477</v>
      </c>
      <c r="B440" s="194">
        <f>B438+B439</f>
        <v>3096332</v>
      </c>
      <c r="C440" s="194">
        <f>CE69</f>
        <v>3096332</v>
      </c>
      <c r="D440" s="179"/>
    </row>
    <row r="441" spans="1:7" ht="12.65" customHeight="1">
      <c r="A441" s="179" t="s">
        <v>478</v>
      </c>
      <c r="B441" s="179">
        <f>D390</f>
        <v>23475062</v>
      </c>
      <c r="C441" s="179">
        <f>SUM(C427:C437)+C440</f>
        <v>23475082</v>
      </c>
      <c r="D441" s="179"/>
    </row>
    <row r="442" spans="1:7" ht="12.65" customHeight="1">
      <c r="A442" s="206"/>
      <c r="B442" s="206"/>
      <c r="C442" s="206"/>
      <c r="D442" s="206"/>
      <c r="F442" s="206"/>
      <c r="G442" s="206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887218</v>
      </c>
      <c r="C444" s="179">
        <f>C363</f>
        <v>887218</v>
      </c>
      <c r="D444" s="179"/>
    </row>
    <row r="445" spans="1:7" ht="12.65" customHeight="1">
      <c r="A445" s="179" t="s">
        <v>343</v>
      </c>
      <c r="B445" s="179">
        <f>D229</f>
        <v>118090352.34</v>
      </c>
      <c r="C445" s="179">
        <f>C364</f>
        <v>117631014.69</v>
      </c>
      <c r="D445" s="179"/>
    </row>
    <row r="446" spans="1:7" ht="12.65" customHeight="1">
      <c r="A446" s="179" t="s">
        <v>351</v>
      </c>
      <c r="B446" s="179">
        <f>D236</f>
        <v>334600.2</v>
      </c>
      <c r="C446" s="179">
        <f>C365</f>
        <v>788583.22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5356.33</v>
      </c>
      <c r="D447" s="179"/>
    </row>
    <row r="448" spans="1:7" ht="12.65" customHeight="1">
      <c r="A448" s="179" t="s">
        <v>358</v>
      </c>
      <c r="B448" s="179">
        <f>D242</f>
        <v>119312170.54000001</v>
      </c>
      <c r="C448" s="179">
        <f>D367</f>
        <v>119312172.23999999</v>
      </c>
      <c r="D448" s="179"/>
    </row>
    <row r="449" spans="1:7" ht="12.65" customHeight="1">
      <c r="A449" s="206"/>
      <c r="B449" s="206"/>
      <c r="C449" s="206"/>
      <c r="D449" s="206"/>
      <c r="F449" s="206"/>
      <c r="G449" s="206"/>
    </row>
    <row r="450" spans="1:7" ht="12.65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9" t="s">
        <v>484</v>
      </c>
      <c r="B453" s="180">
        <f>C231</f>
        <v>0</v>
      </c>
    </row>
    <row r="454" spans="1:7" ht="12.65" customHeight="1">
      <c r="A454" s="179" t="s">
        <v>168</v>
      </c>
      <c r="B454" s="179">
        <f>C233</f>
        <v>70926.06</v>
      </c>
      <c r="C454" s="179"/>
      <c r="D454" s="179"/>
    </row>
    <row r="455" spans="1:7" ht="12.65" customHeight="1">
      <c r="A455" s="179" t="s">
        <v>131</v>
      </c>
      <c r="B455" s="179">
        <f>C234</f>
        <v>263674.14</v>
      </c>
      <c r="C455" s="179"/>
      <c r="D455" s="179"/>
    </row>
    <row r="456" spans="1:7" ht="12.65" customHeight="1">
      <c r="A456" s="206"/>
      <c r="B456" s="206"/>
      <c r="C456" s="206"/>
      <c r="D456" s="206"/>
      <c r="F456" s="206"/>
      <c r="G456" s="206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4">
        <f>C370</f>
        <v>48385</v>
      </c>
      <c r="C458" s="194">
        <f>CE70</f>
        <v>0</v>
      </c>
      <c r="D458" s="194"/>
    </row>
    <row r="459" spans="1:7" ht="12.65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>
      <c r="A460" s="206"/>
      <c r="B460" s="206"/>
      <c r="C460" s="206"/>
      <c r="D460" s="206"/>
      <c r="F460" s="206"/>
      <c r="G460" s="206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4">
        <f>C359</f>
        <v>53881939</v>
      </c>
      <c r="C463" s="194">
        <f>CE73</f>
        <v>53881939</v>
      </c>
      <c r="D463" s="194">
        <f>E141+E147+E153</f>
        <v>53881939</v>
      </c>
    </row>
    <row r="464" spans="1:7" ht="12.65" customHeight="1">
      <c r="A464" s="179" t="s">
        <v>246</v>
      </c>
      <c r="B464" s="194">
        <f>C360</f>
        <v>87349117</v>
      </c>
      <c r="C464" s="194">
        <f>CE74</f>
        <v>87349117</v>
      </c>
      <c r="D464" s="194">
        <f>E142+E148+E154</f>
        <v>87349117</v>
      </c>
    </row>
    <row r="465" spans="1:7" ht="12.65" customHeight="1">
      <c r="A465" s="179" t="s">
        <v>247</v>
      </c>
      <c r="B465" s="194">
        <f>D361</f>
        <v>141231056</v>
      </c>
      <c r="C465" s="194">
        <f>CE75</f>
        <v>141231056</v>
      </c>
      <c r="D465" s="194">
        <f>D463+D464</f>
        <v>141231056</v>
      </c>
    </row>
    <row r="466" spans="1:7" ht="12.65" customHeight="1">
      <c r="A466" s="206"/>
      <c r="B466" s="206"/>
      <c r="C466" s="206"/>
      <c r="D466" s="206"/>
      <c r="F466" s="206"/>
      <c r="G466" s="206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7">C267</f>
        <v>3160000</v>
      </c>
      <c r="C468" s="179">
        <f>E195</f>
        <v>3160000</v>
      </c>
      <c r="D468" s="179"/>
    </row>
    <row r="469" spans="1:7" ht="12.65" customHeight="1">
      <c r="A469" s="179" t="s">
        <v>333</v>
      </c>
      <c r="B469" s="179">
        <f t="shared" si="17"/>
        <v>710000</v>
      </c>
      <c r="C469" s="179">
        <f>E196</f>
        <v>710000</v>
      </c>
      <c r="D469" s="179"/>
    </row>
    <row r="470" spans="1:7" ht="12.65" customHeight="1">
      <c r="A470" s="179" t="s">
        <v>334</v>
      </c>
      <c r="B470" s="179">
        <f t="shared" si="17"/>
        <v>44944891</v>
      </c>
      <c r="C470" s="179">
        <f>E197</f>
        <v>38437221</v>
      </c>
      <c r="D470" s="179"/>
    </row>
    <row r="471" spans="1:7" ht="12.65" customHeight="1">
      <c r="A471" s="179" t="s">
        <v>494</v>
      </c>
      <c r="B471" s="179">
        <f t="shared" si="17"/>
        <v>21305026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7"/>
        <v>0</v>
      </c>
      <c r="C472" s="179">
        <f>E199</f>
        <v>21317338</v>
      </c>
      <c r="D472" s="179"/>
    </row>
    <row r="473" spans="1:7" ht="12.65" customHeight="1">
      <c r="A473" s="179" t="s">
        <v>495</v>
      </c>
      <c r="B473" s="179">
        <f t="shared" si="17"/>
        <v>18964693</v>
      </c>
      <c r="C473" s="179">
        <f>SUM(E200:E201)</f>
        <v>22943161</v>
      </c>
      <c r="D473" s="179"/>
    </row>
    <row r="474" spans="1:7" ht="12.65" customHeight="1">
      <c r="A474" s="179" t="s">
        <v>339</v>
      </c>
      <c r="B474" s="179">
        <f t="shared" si="17"/>
        <v>2004656</v>
      </c>
      <c r="C474" s="179">
        <f>E202</f>
        <v>4521546</v>
      </c>
      <c r="D474" s="179"/>
    </row>
    <row r="475" spans="1:7" ht="12.65" customHeight="1">
      <c r="A475" s="179" t="s">
        <v>340</v>
      </c>
      <c r="B475" s="179">
        <f t="shared" si="17"/>
        <v>982323</v>
      </c>
      <c r="C475" s="179">
        <f>E203</f>
        <v>982322</v>
      </c>
      <c r="D475" s="179"/>
    </row>
    <row r="476" spans="1:7" ht="12.65" customHeight="1">
      <c r="A476" s="179" t="s">
        <v>203</v>
      </c>
      <c r="B476" s="179">
        <f>D275</f>
        <v>92071589</v>
      </c>
      <c r="C476" s="179">
        <f>E204</f>
        <v>92071588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24120505</v>
      </c>
      <c r="C478" s="179">
        <f>E217</f>
        <v>24120505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86461059</v>
      </c>
    </row>
    <row r="482" spans="1:12" ht="12.65" customHeight="1">
      <c r="A482" s="180" t="s">
        <v>499</v>
      </c>
      <c r="C482" s="180">
        <f>D339</f>
        <v>103912391</v>
      </c>
    </row>
    <row r="485" spans="1:12" ht="12.65" customHeight="1">
      <c r="A485" s="199" t="s">
        <v>500</v>
      </c>
    </row>
    <row r="486" spans="1:12" ht="12.65" customHeight="1">
      <c r="A486" s="199" t="s">
        <v>501</v>
      </c>
    </row>
    <row r="487" spans="1:12" ht="12.65" customHeight="1">
      <c r="A487" s="199" t="s">
        <v>502</v>
      </c>
    </row>
    <row r="488" spans="1:12" ht="12.65" customHeight="1">
      <c r="A488" s="199"/>
    </row>
    <row r="489" spans="1:12" ht="12.65" customHeight="1">
      <c r="A489" s="198" t="s">
        <v>503</v>
      </c>
    </row>
    <row r="490" spans="1:12" ht="12.65" customHeight="1">
      <c r="A490" s="199" t="s">
        <v>504</v>
      </c>
    </row>
    <row r="491" spans="1:12" ht="12.65" customHeight="1">
      <c r="A491" s="199"/>
    </row>
    <row r="493" spans="1:12" ht="12.65" customHeight="1">
      <c r="A493" s="180">
        <f>C83</f>
        <v>197</v>
      </c>
      <c r="B493" s="259" t="e">
        <f>RIGHT(#REF!,4)</f>
        <v>#REF!</v>
      </c>
      <c r="C493" s="259" t="str">
        <f>RIGHT(C82,4)</f>
        <v>1/21</v>
      </c>
      <c r="D493" s="259" t="e">
        <f>RIGHT(#REF!,4)</f>
        <v>#REF!</v>
      </c>
      <c r="E493" s="259" t="str">
        <f>RIGHT(C82,4)</f>
        <v>1/21</v>
      </c>
      <c r="F493" s="259" t="e">
        <f>RIGHT(#REF!,4)</f>
        <v>#REF!</v>
      </c>
      <c r="G493" s="259" t="str">
        <f>RIGHT(C82,4)</f>
        <v>1/21</v>
      </c>
      <c r="H493" s="259"/>
      <c r="K493" s="259"/>
      <c r="L493" s="259"/>
    </row>
    <row r="494" spans="1:12" ht="12.65" customHeight="1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5" customHeight="1">
      <c r="A496" s="180" t="s">
        <v>512</v>
      </c>
      <c r="B496" s="238" t="e">
        <f>#REF!</f>
        <v>#REF!</v>
      </c>
      <c r="C496" s="238">
        <f>C71</f>
        <v>1671226</v>
      </c>
      <c r="D496" s="238" t="e">
        <f>#REF!</f>
        <v>#REF!</v>
      </c>
      <c r="E496" s="180">
        <f>C59</f>
        <v>1382</v>
      </c>
      <c r="F496" s="261" t="e">
        <f t="shared" ref="F496:G511" si="18">IF(B496=0,"",IF(D496=0,"",B496/D496))</f>
        <v>#REF!</v>
      </c>
      <c r="G496" s="262">
        <f t="shared" si="18"/>
        <v>1209.2807525325616</v>
      </c>
      <c r="H496" s="263" t="e">
        <f>IF(B496=0,"",IF(C496=0,"",IF(D496=0,"",IF(E496=0,"",IF(G496/F496-1&lt;-0.25,G496/F496-1,IF(G496/F496-1&gt;0.25,G496/F496-1,""))))))</f>
        <v>#REF!</v>
      </c>
      <c r="I496" s="265"/>
      <c r="K496" s="259"/>
      <c r="L496" s="259"/>
    </row>
    <row r="497" spans="1:12" ht="12.65" customHeight="1">
      <c r="A497" s="180" t="s">
        <v>513</v>
      </c>
      <c r="B497" s="238" t="e">
        <f>#REF!</f>
        <v>#REF!</v>
      </c>
      <c r="C497" s="238">
        <f>D71</f>
        <v>0</v>
      </c>
      <c r="D497" s="238" t="e">
        <f>#REF!</f>
        <v>#REF!</v>
      </c>
      <c r="E497" s="180">
        <f>D59</f>
        <v>0</v>
      </c>
      <c r="F497" s="261" t="e">
        <f t="shared" si="18"/>
        <v>#REF!</v>
      </c>
      <c r="G497" s="261" t="str">
        <f t="shared" si="18"/>
        <v/>
      </c>
      <c r="H497" s="263" t="e">
        <f t="shared" ref="H497:H550" si="19">IF(B497=0,"",IF(C497=0,"",IF(D497=0,"",IF(E497=0,"",IF(G497/F497-1&lt;-0.25,G497/F497-1,IF(G497/F497-1&gt;0.25,G497/F497-1,""))))))</f>
        <v>#REF!</v>
      </c>
      <c r="I497" s="265"/>
      <c r="K497" s="259"/>
      <c r="L497" s="259"/>
    </row>
    <row r="498" spans="1:12" ht="12.65" customHeight="1">
      <c r="A498" s="180" t="s">
        <v>514</v>
      </c>
      <c r="B498" s="238" t="e">
        <f>#REF!</f>
        <v>#REF!</v>
      </c>
      <c r="C498" s="238">
        <f>E71</f>
        <v>958297</v>
      </c>
      <c r="D498" s="238" t="e">
        <f>#REF!</f>
        <v>#REF!</v>
      </c>
      <c r="E498" s="180">
        <f>E59</f>
        <v>1194</v>
      </c>
      <c r="F498" s="261" t="e">
        <f t="shared" si="18"/>
        <v>#REF!</v>
      </c>
      <c r="G498" s="261">
        <f t="shared" si="18"/>
        <v>802.59380234505863</v>
      </c>
      <c r="H498" s="263" t="e">
        <f t="shared" si="19"/>
        <v>#REF!</v>
      </c>
      <c r="I498" s="265"/>
      <c r="K498" s="259"/>
      <c r="L498" s="259"/>
    </row>
    <row r="499" spans="1:12" ht="12.65" customHeight="1">
      <c r="A499" s="180" t="s">
        <v>515</v>
      </c>
      <c r="B499" s="238" t="e">
        <f>#REF!</f>
        <v>#REF!</v>
      </c>
      <c r="C499" s="238">
        <f>F71</f>
        <v>0</v>
      </c>
      <c r="D499" s="238" t="e">
        <f>#REF!</f>
        <v>#REF!</v>
      </c>
      <c r="E499" s="180">
        <f>F59</f>
        <v>0</v>
      </c>
      <c r="F499" s="261" t="e">
        <f t="shared" si="18"/>
        <v>#REF!</v>
      </c>
      <c r="G499" s="261" t="str">
        <f t="shared" si="18"/>
        <v/>
      </c>
      <c r="H499" s="263" t="e">
        <f t="shared" si="19"/>
        <v>#REF!</v>
      </c>
      <c r="I499" s="265"/>
      <c r="K499" s="259"/>
      <c r="L499" s="259"/>
    </row>
    <row r="500" spans="1:12" ht="12.65" customHeight="1">
      <c r="A500" s="180" t="s">
        <v>516</v>
      </c>
      <c r="B500" s="238" t="e">
        <f>#REF!</f>
        <v>#REF!</v>
      </c>
      <c r="C500" s="238">
        <f>G71</f>
        <v>0</v>
      </c>
      <c r="D500" s="238" t="e">
        <f>#REF!</f>
        <v>#REF!</v>
      </c>
      <c r="E500" s="180">
        <f>G59</f>
        <v>0</v>
      </c>
      <c r="F500" s="261" t="e">
        <f t="shared" si="18"/>
        <v>#REF!</v>
      </c>
      <c r="G500" s="261" t="str">
        <f t="shared" si="18"/>
        <v/>
      </c>
      <c r="H500" s="263" t="e">
        <f t="shared" si="19"/>
        <v>#REF!</v>
      </c>
      <c r="I500" s="265"/>
      <c r="K500" s="259"/>
      <c r="L500" s="259"/>
    </row>
    <row r="501" spans="1:12" ht="12.65" customHeight="1">
      <c r="A501" s="180" t="s">
        <v>517</v>
      </c>
      <c r="B501" s="238" t="e">
        <f>#REF!</f>
        <v>#REF!</v>
      </c>
      <c r="C501" s="238">
        <f>H71</f>
        <v>0</v>
      </c>
      <c r="D501" s="238" t="e">
        <f>#REF!</f>
        <v>#REF!</v>
      </c>
      <c r="E501" s="180">
        <f>H59</f>
        <v>0</v>
      </c>
      <c r="F501" s="261" t="e">
        <f t="shared" si="18"/>
        <v>#REF!</v>
      </c>
      <c r="G501" s="261" t="str">
        <f t="shared" si="18"/>
        <v/>
      </c>
      <c r="H501" s="263" t="e">
        <f t="shared" si="19"/>
        <v>#REF!</v>
      </c>
      <c r="I501" s="265"/>
      <c r="K501" s="259"/>
      <c r="L501" s="259"/>
    </row>
    <row r="502" spans="1:12" ht="12.65" customHeight="1">
      <c r="A502" s="180" t="s">
        <v>518</v>
      </c>
      <c r="B502" s="238" t="e">
        <f>#REF!</f>
        <v>#REF!</v>
      </c>
      <c r="C502" s="238">
        <f>I71</f>
        <v>0</v>
      </c>
      <c r="D502" s="238" t="e">
        <f>#REF!</f>
        <v>#REF!</v>
      </c>
      <c r="E502" s="180">
        <f>I59</f>
        <v>0</v>
      </c>
      <c r="F502" s="261" t="e">
        <f t="shared" si="18"/>
        <v>#REF!</v>
      </c>
      <c r="G502" s="261" t="str">
        <f t="shared" si="18"/>
        <v/>
      </c>
      <c r="H502" s="263" t="e">
        <f t="shared" si="19"/>
        <v>#REF!</v>
      </c>
      <c r="I502" s="265"/>
      <c r="K502" s="259"/>
      <c r="L502" s="259"/>
    </row>
    <row r="503" spans="1:12" ht="12.65" customHeight="1">
      <c r="A503" s="180" t="s">
        <v>519</v>
      </c>
      <c r="B503" s="238" t="e">
        <f>#REF!</f>
        <v>#REF!</v>
      </c>
      <c r="C503" s="238">
        <f>J71</f>
        <v>188559</v>
      </c>
      <c r="D503" s="238" t="e">
        <f>#REF!</f>
        <v>#REF!</v>
      </c>
      <c r="E503" s="180">
        <f>J59</f>
        <v>233</v>
      </c>
      <c r="F503" s="261" t="e">
        <f t="shared" si="18"/>
        <v>#REF!</v>
      </c>
      <c r="G503" s="261">
        <f t="shared" si="18"/>
        <v>809.26609442060089</v>
      </c>
      <c r="H503" s="263" t="e">
        <f t="shared" si="19"/>
        <v>#REF!</v>
      </c>
      <c r="I503" s="265"/>
      <c r="K503" s="259"/>
      <c r="L503" s="259"/>
    </row>
    <row r="504" spans="1:12" ht="12.65" customHeight="1">
      <c r="A504" s="180" t="s">
        <v>520</v>
      </c>
      <c r="B504" s="238" t="e">
        <f>#REF!</f>
        <v>#REF!</v>
      </c>
      <c r="C504" s="238">
        <f>K71</f>
        <v>0</v>
      </c>
      <c r="D504" s="238" t="e">
        <f>#REF!</f>
        <v>#REF!</v>
      </c>
      <c r="E504" s="180">
        <f>K59</f>
        <v>0</v>
      </c>
      <c r="F504" s="261" t="e">
        <f t="shared" si="18"/>
        <v>#REF!</v>
      </c>
      <c r="G504" s="261" t="str">
        <f t="shared" si="18"/>
        <v/>
      </c>
      <c r="H504" s="263" t="e">
        <f t="shared" si="19"/>
        <v>#REF!</v>
      </c>
      <c r="I504" s="265"/>
      <c r="K504" s="259"/>
      <c r="L504" s="259"/>
    </row>
    <row r="505" spans="1:12" ht="12.65" customHeight="1">
      <c r="A505" s="180" t="s">
        <v>521</v>
      </c>
      <c r="B505" s="238" t="e">
        <f>#REF!</f>
        <v>#REF!</v>
      </c>
      <c r="C505" s="238">
        <f>L71</f>
        <v>0</v>
      </c>
      <c r="D505" s="238" t="e">
        <f>#REF!</f>
        <v>#REF!</v>
      </c>
      <c r="E505" s="180">
        <f>L59</f>
        <v>0</v>
      </c>
      <c r="F505" s="261" t="e">
        <f t="shared" si="18"/>
        <v>#REF!</v>
      </c>
      <c r="G505" s="261" t="str">
        <f t="shared" si="18"/>
        <v/>
      </c>
      <c r="H505" s="263" t="e">
        <f t="shared" si="19"/>
        <v>#REF!</v>
      </c>
      <c r="I505" s="265"/>
      <c r="K505" s="259"/>
      <c r="L505" s="259"/>
    </row>
    <row r="506" spans="1:12" ht="12.65" customHeight="1">
      <c r="A506" s="180" t="s">
        <v>522</v>
      </c>
      <c r="B506" s="238" t="e">
        <f>#REF!</f>
        <v>#REF!</v>
      </c>
      <c r="C506" s="238">
        <f>M71</f>
        <v>0</v>
      </c>
      <c r="D506" s="238" t="e">
        <f>#REF!</f>
        <v>#REF!</v>
      </c>
      <c r="E506" s="180">
        <f>M59</f>
        <v>0</v>
      </c>
      <c r="F506" s="261" t="e">
        <f t="shared" si="18"/>
        <v>#REF!</v>
      </c>
      <c r="G506" s="261" t="str">
        <f t="shared" si="18"/>
        <v/>
      </c>
      <c r="H506" s="263" t="e">
        <f t="shared" si="19"/>
        <v>#REF!</v>
      </c>
      <c r="I506" s="265"/>
      <c r="K506" s="259"/>
      <c r="L506" s="259"/>
    </row>
    <row r="507" spans="1:12" ht="12.65" customHeight="1">
      <c r="A507" s="180" t="s">
        <v>523</v>
      </c>
      <c r="B507" s="238" t="e">
        <f>#REF!</f>
        <v>#REF!</v>
      </c>
      <c r="C507" s="238">
        <f>N71</f>
        <v>0</v>
      </c>
      <c r="D507" s="238" t="e">
        <f>#REF!</f>
        <v>#REF!</v>
      </c>
      <c r="E507" s="180">
        <f>N59</f>
        <v>0</v>
      </c>
      <c r="F507" s="261" t="e">
        <f t="shared" si="18"/>
        <v>#REF!</v>
      </c>
      <c r="G507" s="261" t="str">
        <f t="shared" si="18"/>
        <v/>
      </c>
      <c r="H507" s="263" t="e">
        <f t="shared" si="19"/>
        <v>#REF!</v>
      </c>
      <c r="I507" s="265"/>
      <c r="K507" s="259"/>
      <c r="L507" s="259"/>
    </row>
    <row r="508" spans="1:12" ht="12.65" customHeight="1">
      <c r="A508" s="180" t="s">
        <v>524</v>
      </c>
      <c r="B508" s="238" t="e">
        <f>#REF!</f>
        <v>#REF!</v>
      </c>
      <c r="C508" s="238">
        <f>O71</f>
        <v>909968</v>
      </c>
      <c r="D508" s="238" t="e">
        <f>#REF!</f>
        <v>#REF!</v>
      </c>
      <c r="E508" s="180">
        <f>O59</f>
        <v>7707</v>
      </c>
      <c r="F508" s="261" t="e">
        <f t="shared" si="18"/>
        <v>#REF!</v>
      </c>
      <c r="G508" s="261">
        <f t="shared" si="18"/>
        <v>118.07032567795511</v>
      </c>
      <c r="H508" s="263" t="e">
        <f t="shared" si="19"/>
        <v>#REF!</v>
      </c>
      <c r="I508" s="265"/>
      <c r="K508" s="259"/>
      <c r="L508" s="259"/>
    </row>
    <row r="509" spans="1:12" ht="12.65" customHeight="1">
      <c r="A509" s="180" t="s">
        <v>525</v>
      </c>
      <c r="B509" s="238" t="e">
        <f>#REF!</f>
        <v>#REF!</v>
      </c>
      <c r="C509" s="238">
        <f>P71</f>
        <v>1501830</v>
      </c>
      <c r="D509" s="238" t="e">
        <f>#REF!</f>
        <v>#REF!</v>
      </c>
      <c r="E509" s="180">
        <f>P59</f>
        <v>80002</v>
      </c>
      <c r="F509" s="261" t="e">
        <f t="shared" si="18"/>
        <v>#REF!</v>
      </c>
      <c r="G509" s="261">
        <f t="shared" si="18"/>
        <v>18.772405689857752</v>
      </c>
      <c r="H509" s="263" t="e">
        <f t="shared" si="19"/>
        <v>#REF!</v>
      </c>
      <c r="I509" s="265"/>
      <c r="K509" s="259"/>
      <c r="L509" s="259"/>
    </row>
    <row r="510" spans="1:12" ht="12.65" customHeight="1">
      <c r="A510" s="180" t="s">
        <v>526</v>
      </c>
      <c r="B510" s="238" t="e">
        <f>#REF!</f>
        <v>#REF!</v>
      </c>
      <c r="C510" s="238">
        <f>Q71</f>
        <v>265791</v>
      </c>
      <c r="D510" s="238" t="e">
        <f>#REF!</f>
        <v>#REF!</v>
      </c>
      <c r="E510" s="180">
        <f>Q59</f>
        <v>70645</v>
      </c>
      <c r="F510" s="261" t="e">
        <f t="shared" si="18"/>
        <v>#REF!</v>
      </c>
      <c r="G510" s="261">
        <f t="shared" si="18"/>
        <v>3.7623469459975936</v>
      </c>
      <c r="H510" s="263" t="e">
        <f t="shared" si="19"/>
        <v>#REF!</v>
      </c>
      <c r="I510" s="265"/>
      <c r="K510" s="259"/>
      <c r="L510" s="259"/>
    </row>
    <row r="511" spans="1:12" ht="12.65" customHeight="1">
      <c r="A511" s="180" t="s">
        <v>527</v>
      </c>
      <c r="B511" s="238" t="e">
        <f>#REF!</f>
        <v>#REF!</v>
      </c>
      <c r="C511" s="238">
        <f>R71</f>
        <v>424852</v>
      </c>
      <c r="D511" s="238" t="e">
        <f>#REF!</f>
        <v>#REF!</v>
      </c>
      <c r="E511" s="180">
        <f>R59</f>
        <v>94279</v>
      </c>
      <c r="F511" s="261" t="e">
        <f t="shared" si="18"/>
        <v>#REF!</v>
      </c>
      <c r="G511" s="261">
        <f t="shared" si="18"/>
        <v>4.5063269657081637</v>
      </c>
      <c r="H511" s="263" t="e">
        <f t="shared" si="19"/>
        <v>#REF!</v>
      </c>
      <c r="I511" s="265"/>
      <c r="K511" s="259"/>
      <c r="L511" s="259"/>
    </row>
    <row r="512" spans="1:12" ht="12.65" customHeight="1">
      <c r="A512" s="180" t="s">
        <v>528</v>
      </c>
      <c r="B512" s="238" t="e">
        <f>#REF!</f>
        <v>#REF!</v>
      </c>
      <c r="C512" s="238">
        <f>S71</f>
        <v>775649</v>
      </c>
      <c r="D512" s="181" t="s">
        <v>529</v>
      </c>
      <c r="E512" s="181" t="s">
        <v>529</v>
      </c>
      <c r="F512" s="261" t="e">
        <f t="shared" ref="F512:G527" si="20">IF(B512=0,"",IF(D512=0,"",B512/D512))</f>
        <v>#REF!</v>
      </c>
      <c r="G512" s="261" t="str">
        <f t="shared" si="20"/>
        <v/>
      </c>
      <c r="H512" s="263" t="e">
        <f t="shared" si="19"/>
        <v>#REF!</v>
      </c>
      <c r="I512" s="265"/>
      <c r="K512" s="259"/>
      <c r="L512" s="259"/>
    </row>
    <row r="513" spans="1:12" ht="12.65" customHeight="1">
      <c r="A513" s="180" t="s">
        <v>1246</v>
      </c>
      <c r="B513" s="238" t="e">
        <f>#REF!</f>
        <v>#REF!</v>
      </c>
      <c r="C513" s="238">
        <f>T71</f>
        <v>0</v>
      </c>
      <c r="D513" s="181" t="s">
        <v>529</v>
      </c>
      <c r="E513" s="181" t="s">
        <v>529</v>
      </c>
      <c r="F513" s="261" t="e">
        <f t="shared" si="20"/>
        <v>#REF!</v>
      </c>
      <c r="G513" s="261" t="str">
        <f t="shared" si="20"/>
        <v/>
      </c>
      <c r="H513" s="263" t="e">
        <f t="shared" si="19"/>
        <v>#REF!</v>
      </c>
      <c r="I513" s="265"/>
      <c r="K513" s="259"/>
      <c r="L513" s="259"/>
    </row>
    <row r="514" spans="1:12" ht="12.65" customHeight="1">
      <c r="A514" s="180" t="s">
        <v>530</v>
      </c>
      <c r="B514" s="238" t="e">
        <f>#REF!</f>
        <v>#REF!</v>
      </c>
      <c r="C514" s="238">
        <f>U71</f>
        <v>799847</v>
      </c>
      <c r="D514" s="238" t="e">
        <f>#REF!</f>
        <v>#REF!</v>
      </c>
      <c r="E514" s="180">
        <f>U59</f>
        <v>54906</v>
      </c>
      <c r="F514" s="261" t="e">
        <f t="shared" si="20"/>
        <v>#REF!</v>
      </c>
      <c r="G514" s="261">
        <f t="shared" si="20"/>
        <v>14.567570028776455</v>
      </c>
      <c r="H514" s="263" t="e">
        <f t="shared" si="19"/>
        <v>#REF!</v>
      </c>
      <c r="I514" s="265"/>
      <c r="K514" s="259"/>
      <c r="L514" s="259"/>
    </row>
    <row r="515" spans="1:12" ht="12.65" customHeight="1">
      <c r="A515" s="180" t="s">
        <v>531</v>
      </c>
      <c r="B515" s="238" t="e">
        <f>#REF!</f>
        <v>#REF!</v>
      </c>
      <c r="C515" s="238">
        <f>V71</f>
        <v>0</v>
      </c>
      <c r="D515" s="238" t="e">
        <f>#REF!</f>
        <v>#REF!</v>
      </c>
      <c r="E515" s="180">
        <f>V59</f>
        <v>0</v>
      </c>
      <c r="F515" s="261" t="e">
        <f t="shared" si="20"/>
        <v>#REF!</v>
      </c>
      <c r="G515" s="261" t="str">
        <f t="shared" si="20"/>
        <v/>
      </c>
      <c r="H515" s="263" t="e">
        <f t="shared" si="19"/>
        <v>#REF!</v>
      </c>
      <c r="I515" s="265"/>
      <c r="K515" s="259"/>
      <c r="L515" s="259"/>
    </row>
    <row r="516" spans="1:12" ht="12.65" customHeight="1">
      <c r="A516" s="180" t="s">
        <v>532</v>
      </c>
      <c r="B516" s="238" t="e">
        <f>#REF!</f>
        <v>#REF!</v>
      </c>
      <c r="C516" s="238">
        <f>W71</f>
        <v>64960</v>
      </c>
      <c r="D516" s="238" t="e">
        <f>#REF!</f>
        <v>#REF!</v>
      </c>
      <c r="E516" s="180">
        <f>W59</f>
        <v>133</v>
      </c>
      <c r="F516" s="261" t="e">
        <f t="shared" si="20"/>
        <v>#REF!</v>
      </c>
      <c r="G516" s="261">
        <f t="shared" si="20"/>
        <v>488.42105263157896</v>
      </c>
      <c r="H516" s="263" t="e">
        <f t="shared" si="19"/>
        <v>#REF!</v>
      </c>
      <c r="I516" s="265"/>
      <c r="K516" s="259"/>
      <c r="L516" s="259"/>
    </row>
    <row r="517" spans="1:12" ht="12.65" customHeight="1">
      <c r="A517" s="180" t="s">
        <v>533</v>
      </c>
      <c r="B517" s="238" t="e">
        <f>#REF!</f>
        <v>#REF!</v>
      </c>
      <c r="C517" s="238">
        <f>X71</f>
        <v>489179</v>
      </c>
      <c r="D517" s="238" t="e">
        <f>#REF!</f>
        <v>#REF!</v>
      </c>
      <c r="E517" s="180">
        <f>X59</f>
        <v>4138</v>
      </c>
      <c r="F517" s="261" t="e">
        <f t="shared" si="20"/>
        <v>#REF!</v>
      </c>
      <c r="G517" s="261">
        <f t="shared" si="20"/>
        <v>118.21628806186564</v>
      </c>
      <c r="H517" s="263" t="e">
        <f t="shared" si="19"/>
        <v>#REF!</v>
      </c>
      <c r="I517" s="265"/>
      <c r="K517" s="259"/>
      <c r="L517" s="259"/>
    </row>
    <row r="518" spans="1:12" ht="12.65" customHeight="1">
      <c r="A518" s="180" t="s">
        <v>534</v>
      </c>
      <c r="B518" s="238" t="e">
        <f>#REF!</f>
        <v>#REF!</v>
      </c>
      <c r="C518" s="238">
        <f>Y71</f>
        <v>1475813</v>
      </c>
      <c r="D518" s="238" t="e">
        <f>#REF!</f>
        <v>#REF!</v>
      </c>
      <c r="E518" s="180">
        <f>Y59</f>
        <v>6391</v>
      </c>
      <c r="F518" s="261" t="e">
        <f t="shared" si="20"/>
        <v>#REF!</v>
      </c>
      <c r="G518" s="261">
        <f t="shared" si="20"/>
        <v>230.92051322171804</v>
      </c>
      <c r="H518" s="263" t="e">
        <f t="shared" si="19"/>
        <v>#REF!</v>
      </c>
      <c r="I518" s="265"/>
      <c r="K518" s="259"/>
      <c r="L518" s="259"/>
    </row>
    <row r="519" spans="1:12" ht="12.65" customHeight="1">
      <c r="A519" s="180" t="s">
        <v>535</v>
      </c>
      <c r="B519" s="238" t="e">
        <f>#REF!</f>
        <v>#REF!</v>
      </c>
      <c r="C519" s="238">
        <f>Z71</f>
        <v>351942</v>
      </c>
      <c r="D519" s="238" t="e">
        <f>#REF!</f>
        <v>#REF!</v>
      </c>
      <c r="E519" s="180">
        <f>Z59</f>
        <v>3703</v>
      </c>
      <c r="F519" s="261" t="e">
        <f t="shared" si="20"/>
        <v>#REF!</v>
      </c>
      <c r="G519" s="261">
        <f t="shared" si="20"/>
        <v>95.042398055630571</v>
      </c>
      <c r="H519" s="263" t="e">
        <f t="shared" si="19"/>
        <v>#REF!</v>
      </c>
      <c r="I519" s="265"/>
      <c r="K519" s="259"/>
      <c r="L519" s="259"/>
    </row>
    <row r="520" spans="1:12" ht="12.65" customHeight="1">
      <c r="A520" s="180" t="s">
        <v>536</v>
      </c>
      <c r="B520" s="238" t="e">
        <f>#REF!</f>
        <v>#REF!</v>
      </c>
      <c r="C520" s="238">
        <f>AA71</f>
        <v>95398</v>
      </c>
      <c r="D520" s="238" t="e">
        <f>#REF!</f>
        <v>#REF!</v>
      </c>
      <c r="E520" s="180">
        <f>AA59</f>
        <v>312</v>
      </c>
      <c r="F520" s="261" t="e">
        <f t="shared" si="20"/>
        <v>#REF!</v>
      </c>
      <c r="G520" s="261">
        <f t="shared" si="20"/>
        <v>305.7628205128205</v>
      </c>
      <c r="H520" s="263" t="e">
        <f t="shared" si="19"/>
        <v>#REF!</v>
      </c>
      <c r="I520" s="265"/>
      <c r="K520" s="259"/>
      <c r="L520" s="259"/>
    </row>
    <row r="521" spans="1:12" ht="12.65" customHeight="1">
      <c r="A521" s="180" t="s">
        <v>537</v>
      </c>
      <c r="B521" s="238" t="e">
        <f>#REF!</f>
        <v>#REF!</v>
      </c>
      <c r="C521" s="238">
        <f>AB71</f>
        <v>1142130</v>
      </c>
      <c r="D521" s="181" t="s">
        <v>529</v>
      </c>
      <c r="E521" s="181" t="s">
        <v>529</v>
      </c>
      <c r="F521" s="261" t="e">
        <f t="shared" si="20"/>
        <v>#REF!</v>
      </c>
      <c r="G521" s="261" t="str">
        <f t="shared" si="20"/>
        <v/>
      </c>
      <c r="H521" s="263" t="e">
        <f t="shared" si="19"/>
        <v>#REF!</v>
      </c>
      <c r="I521" s="265"/>
      <c r="K521" s="259"/>
      <c r="L521" s="259"/>
    </row>
    <row r="522" spans="1:12" ht="12.65" customHeight="1">
      <c r="A522" s="180" t="s">
        <v>538</v>
      </c>
      <c r="B522" s="238" t="e">
        <f>#REF!</f>
        <v>#REF!</v>
      </c>
      <c r="C522" s="238">
        <f>AC71</f>
        <v>403003</v>
      </c>
      <c r="D522" s="238" t="e">
        <f>#REF!</f>
        <v>#REF!</v>
      </c>
      <c r="E522" s="180">
        <f>AC59</f>
        <v>345</v>
      </c>
      <c r="F522" s="261" t="e">
        <f t="shared" si="20"/>
        <v>#REF!</v>
      </c>
      <c r="G522" s="261">
        <f t="shared" si="20"/>
        <v>1168.1246376811594</v>
      </c>
      <c r="H522" s="263" t="e">
        <f t="shared" si="19"/>
        <v>#REF!</v>
      </c>
      <c r="I522" s="265"/>
      <c r="K522" s="259"/>
      <c r="L522" s="259"/>
    </row>
    <row r="523" spans="1:12" ht="12.65" customHeight="1">
      <c r="A523" s="180" t="s">
        <v>539</v>
      </c>
      <c r="B523" s="238" t="e">
        <f>#REF!</f>
        <v>#REF!</v>
      </c>
      <c r="C523" s="238">
        <f>AD71</f>
        <v>0</v>
      </c>
      <c r="D523" s="238" t="e">
        <f>#REF!</f>
        <v>#REF!</v>
      </c>
      <c r="E523" s="180">
        <f>AD59</f>
        <v>0</v>
      </c>
      <c r="F523" s="261" t="e">
        <f t="shared" si="20"/>
        <v>#REF!</v>
      </c>
      <c r="G523" s="261" t="str">
        <f t="shared" si="20"/>
        <v/>
      </c>
      <c r="H523" s="263" t="e">
        <f t="shared" si="19"/>
        <v>#REF!</v>
      </c>
      <c r="I523" s="265"/>
      <c r="K523" s="259"/>
      <c r="L523" s="259"/>
    </row>
    <row r="524" spans="1:12" ht="12.65" customHeight="1">
      <c r="A524" s="180" t="s">
        <v>540</v>
      </c>
      <c r="B524" s="238" t="e">
        <f>#REF!</f>
        <v>#REF!</v>
      </c>
      <c r="C524" s="238">
        <f>AE71</f>
        <v>206240</v>
      </c>
      <c r="D524" s="238" t="e">
        <f>#REF!</f>
        <v>#REF!</v>
      </c>
      <c r="E524" s="180">
        <f>AE59</f>
        <v>4743</v>
      </c>
      <c r="F524" s="261" t="e">
        <f t="shared" si="20"/>
        <v>#REF!</v>
      </c>
      <c r="G524" s="261">
        <f t="shared" si="20"/>
        <v>43.483027619650009</v>
      </c>
      <c r="H524" s="263" t="e">
        <f t="shared" si="19"/>
        <v>#REF!</v>
      </c>
      <c r="I524" s="265"/>
      <c r="K524" s="259"/>
      <c r="L524" s="259"/>
    </row>
    <row r="525" spans="1:12" ht="12.65" customHeight="1">
      <c r="A525" s="180" t="s">
        <v>541</v>
      </c>
      <c r="B525" s="238" t="e">
        <f>#REF!</f>
        <v>#REF!</v>
      </c>
      <c r="C525" s="238">
        <f>AF71</f>
        <v>0</v>
      </c>
      <c r="D525" s="238" t="e">
        <f>#REF!</f>
        <v>#REF!</v>
      </c>
      <c r="E525" s="180">
        <f>AF59</f>
        <v>0</v>
      </c>
      <c r="F525" s="261" t="e">
        <f t="shared" si="20"/>
        <v>#REF!</v>
      </c>
      <c r="G525" s="261" t="str">
        <f t="shared" si="20"/>
        <v/>
      </c>
      <c r="H525" s="263" t="e">
        <f t="shared" si="19"/>
        <v>#REF!</v>
      </c>
      <c r="I525" s="265"/>
      <c r="K525" s="259"/>
      <c r="L525" s="259"/>
    </row>
    <row r="526" spans="1:12" ht="12.65" customHeight="1">
      <c r="A526" s="180" t="s">
        <v>542</v>
      </c>
      <c r="B526" s="238" t="e">
        <f>#REF!</f>
        <v>#REF!</v>
      </c>
      <c r="C526" s="238">
        <f>AG71</f>
        <v>934579</v>
      </c>
      <c r="D526" s="238" t="e">
        <f>#REF!</f>
        <v>#REF!</v>
      </c>
      <c r="E526" s="180">
        <f>AG59</f>
        <v>3556</v>
      </c>
      <c r="F526" s="261" t="e">
        <f t="shared" si="20"/>
        <v>#REF!</v>
      </c>
      <c r="G526" s="261">
        <f t="shared" si="20"/>
        <v>262.81749156355454</v>
      </c>
      <c r="H526" s="263" t="e">
        <f t="shared" si="19"/>
        <v>#REF!</v>
      </c>
      <c r="I526" s="265"/>
      <c r="K526" s="259"/>
      <c r="L526" s="259"/>
    </row>
    <row r="527" spans="1:12" ht="12.65" customHeight="1">
      <c r="A527" s="180" t="s">
        <v>543</v>
      </c>
      <c r="B527" s="238" t="e">
        <f>#REF!</f>
        <v>#REF!</v>
      </c>
      <c r="C527" s="238">
        <f>AH71</f>
        <v>0</v>
      </c>
      <c r="D527" s="238" t="e">
        <f>#REF!</f>
        <v>#REF!</v>
      </c>
      <c r="E527" s="180">
        <f>AH59</f>
        <v>0</v>
      </c>
      <c r="F527" s="261" t="e">
        <f t="shared" si="20"/>
        <v>#REF!</v>
      </c>
      <c r="G527" s="261" t="str">
        <f t="shared" si="20"/>
        <v/>
      </c>
      <c r="H527" s="263" t="e">
        <f t="shared" si="19"/>
        <v>#REF!</v>
      </c>
      <c r="I527" s="265"/>
      <c r="K527" s="259"/>
      <c r="L527" s="259"/>
    </row>
    <row r="528" spans="1:12" ht="12.65" customHeight="1">
      <c r="A528" s="180" t="s">
        <v>544</v>
      </c>
      <c r="B528" s="238" t="e">
        <f>#REF!</f>
        <v>#REF!</v>
      </c>
      <c r="C528" s="238">
        <f>AI71</f>
        <v>627137</v>
      </c>
      <c r="D528" s="238" t="e">
        <f>#REF!</f>
        <v>#REF!</v>
      </c>
      <c r="E528" s="180">
        <f>AI59</f>
        <v>1967</v>
      </c>
      <c r="F528" s="261" t="e">
        <f t="shared" ref="F528:G540" si="21">IF(B528=0,"",IF(D528=0,"",B528/D528))</f>
        <v>#REF!</v>
      </c>
      <c r="G528" s="261">
        <f t="shared" si="21"/>
        <v>318.8291814946619</v>
      </c>
      <c r="H528" s="263" t="e">
        <f t="shared" si="19"/>
        <v>#REF!</v>
      </c>
      <c r="I528" s="265"/>
      <c r="K528" s="259"/>
      <c r="L528" s="259"/>
    </row>
    <row r="529" spans="1:12" ht="12.65" customHeight="1">
      <c r="A529" s="180" t="s">
        <v>545</v>
      </c>
      <c r="B529" s="238" t="e">
        <f>#REF!</f>
        <v>#REF!</v>
      </c>
      <c r="C529" s="238">
        <f>AJ71</f>
        <v>0</v>
      </c>
      <c r="D529" s="238" t="e">
        <f>#REF!</f>
        <v>#REF!</v>
      </c>
      <c r="E529" s="180">
        <f>AJ59</f>
        <v>0</v>
      </c>
      <c r="F529" s="261" t="e">
        <f t="shared" si="21"/>
        <v>#REF!</v>
      </c>
      <c r="G529" s="261" t="str">
        <f t="shared" si="21"/>
        <v/>
      </c>
      <c r="H529" s="263" t="e">
        <f t="shared" si="19"/>
        <v>#REF!</v>
      </c>
      <c r="I529" s="265"/>
      <c r="K529" s="259"/>
      <c r="L529" s="259"/>
    </row>
    <row r="530" spans="1:12" ht="12.65" customHeight="1">
      <c r="A530" s="180" t="s">
        <v>546</v>
      </c>
      <c r="B530" s="238" t="e">
        <f>#REF!</f>
        <v>#REF!</v>
      </c>
      <c r="C530" s="238">
        <f>AK71</f>
        <v>34218</v>
      </c>
      <c r="D530" s="238" t="e">
        <f>#REF!</f>
        <v>#REF!</v>
      </c>
      <c r="E530" s="180">
        <f>AK59</f>
        <v>957</v>
      </c>
      <c r="F530" s="261" t="e">
        <f t="shared" si="21"/>
        <v>#REF!</v>
      </c>
      <c r="G530" s="261">
        <f t="shared" si="21"/>
        <v>35.755485893416925</v>
      </c>
      <c r="H530" s="263" t="e">
        <f t="shared" si="19"/>
        <v>#REF!</v>
      </c>
      <c r="I530" s="265"/>
      <c r="K530" s="259"/>
      <c r="L530" s="259"/>
    </row>
    <row r="531" spans="1:12" ht="12.65" customHeight="1">
      <c r="A531" s="180" t="s">
        <v>547</v>
      </c>
      <c r="B531" s="238" t="e">
        <f>#REF!</f>
        <v>#REF!</v>
      </c>
      <c r="C531" s="238">
        <f>AL71</f>
        <v>0</v>
      </c>
      <c r="D531" s="238" t="e">
        <f>#REF!</f>
        <v>#REF!</v>
      </c>
      <c r="E531" s="180">
        <f>AL59</f>
        <v>0</v>
      </c>
      <c r="F531" s="261" t="e">
        <f t="shared" si="21"/>
        <v>#REF!</v>
      </c>
      <c r="G531" s="261" t="str">
        <f t="shared" si="21"/>
        <v/>
      </c>
      <c r="H531" s="263" t="e">
        <f t="shared" si="19"/>
        <v>#REF!</v>
      </c>
      <c r="I531" s="265"/>
      <c r="K531" s="259"/>
      <c r="L531" s="259"/>
    </row>
    <row r="532" spans="1:12" ht="12.65" customHeight="1">
      <c r="A532" s="180" t="s">
        <v>548</v>
      </c>
      <c r="B532" s="238" t="e">
        <f>#REF!</f>
        <v>#REF!</v>
      </c>
      <c r="C532" s="238">
        <f>AM71</f>
        <v>0</v>
      </c>
      <c r="D532" s="238" t="e">
        <f>#REF!</f>
        <v>#REF!</v>
      </c>
      <c r="E532" s="180">
        <f>AM59</f>
        <v>0</v>
      </c>
      <c r="F532" s="261" t="e">
        <f t="shared" si="21"/>
        <v>#REF!</v>
      </c>
      <c r="G532" s="261" t="str">
        <f t="shared" si="21"/>
        <v/>
      </c>
      <c r="H532" s="263" t="e">
        <f t="shared" si="19"/>
        <v>#REF!</v>
      </c>
      <c r="I532" s="265"/>
      <c r="K532" s="259"/>
      <c r="L532" s="259"/>
    </row>
    <row r="533" spans="1:12" ht="12.65" customHeight="1">
      <c r="A533" s="180" t="s">
        <v>1247</v>
      </c>
      <c r="B533" s="238" t="e">
        <f>#REF!</f>
        <v>#REF!</v>
      </c>
      <c r="C533" s="238">
        <f>AN71</f>
        <v>0</v>
      </c>
      <c r="D533" s="238" t="e">
        <f>#REF!</f>
        <v>#REF!</v>
      </c>
      <c r="E533" s="180">
        <f>AN59</f>
        <v>0</v>
      </c>
      <c r="F533" s="261" t="e">
        <f t="shared" si="21"/>
        <v>#REF!</v>
      </c>
      <c r="G533" s="261" t="str">
        <f t="shared" si="21"/>
        <v/>
      </c>
      <c r="H533" s="263" t="e">
        <f t="shared" si="19"/>
        <v>#REF!</v>
      </c>
      <c r="I533" s="265"/>
      <c r="K533" s="259"/>
      <c r="L533" s="259"/>
    </row>
    <row r="534" spans="1:12" ht="12.65" customHeight="1">
      <c r="A534" s="180" t="s">
        <v>549</v>
      </c>
      <c r="B534" s="238" t="e">
        <f>#REF!</f>
        <v>#REF!</v>
      </c>
      <c r="C534" s="238">
        <f>AO71</f>
        <v>0</v>
      </c>
      <c r="D534" s="238" t="e">
        <f>#REF!</f>
        <v>#REF!</v>
      </c>
      <c r="E534" s="180">
        <f>AO59</f>
        <v>0</v>
      </c>
      <c r="F534" s="261" t="e">
        <f t="shared" si="21"/>
        <v>#REF!</v>
      </c>
      <c r="G534" s="261" t="str">
        <f t="shared" si="21"/>
        <v/>
      </c>
      <c r="H534" s="263" t="e">
        <f t="shared" si="19"/>
        <v>#REF!</v>
      </c>
      <c r="I534" s="265"/>
      <c r="K534" s="259"/>
      <c r="L534" s="259"/>
    </row>
    <row r="535" spans="1:12" ht="12.65" customHeight="1">
      <c r="A535" s="180" t="s">
        <v>550</v>
      </c>
      <c r="B535" s="238" t="e">
        <f>#REF!</f>
        <v>#REF!</v>
      </c>
      <c r="C535" s="238">
        <f>AP71</f>
        <v>0</v>
      </c>
      <c r="D535" s="238" t="e">
        <f>#REF!</f>
        <v>#REF!</v>
      </c>
      <c r="E535" s="180">
        <f>AP59</f>
        <v>0</v>
      </c>
      <c r="F535" s="261" t="e">
        <f t="shared" si="21"/>
        <v>#REF!</v>
      </c>
      <c r="G535" s="261" t="str">
        <f t="shared" si="21"/>
        <v/>
      </c>
      <c r="H535" s="263" t="e">
        <f t="shared" si="19"/>
        <v>#REF!</v>
      </c>
      <c r="I535" s="265"/>
      <c r="K535" s="259"/>
      <c r="L535" s="259"/>
    </row>
    <row r="536" spans="1:12" ht="12.65" customHeight="1">
      <c r="A536" s="180" t="s">
        <v>551</v>
      </c>
      <c r="B536" s="238" t="e">
        <f>#REF!</f>
        <v>#REF!</v>
      </c>
      <c r="C536" s="238">
        <f>AQ71</f>
        <v>0</v>
      </c>
      <c r="D536" s="238" t="e">
        <f>#REF!</f>
        <v>#REF!</v>
      </c>
      <c r="E536" s="180">
        <f>AQ59</f>
        <v>0</v>
      </c>
      <c r="F536" s="261" t="e">
        <f t="shared" si="21"/>
        <v>#REF!</v>
      </c>
      <c r="G536" s="261" t="str">
        <f t="shared" si="21"/>
        <v/>
      </c>
      <c r="H536" s="263" t="e">
        <f t="shared" si="19"/>
        <v>#REF!</v>
      </c>
      <c r="I536" s="265"/>
      <c r="K536" s="259"/>
      <c r="L536" s="259"/>
    </row>
    <row r="537" spans="1:12" ht="12.65" customHeight="1">
      <c r="A537" s="180" t="s">
        <v>552</v>
      </c>
      <c r="B537" s="238" t="e">
        <f>#REF!</f>
        <v>#REF!</v>
      </c>
      <c r="C537" s="238">
        <f>AR71</f>
        <v>0</v>
      </c>
      <c r="D537" s="238" t="e">
        <f>#REF!</f>
        <v>#REF!</v>
      </c>
      <c r="E537" s="180">
        <f>AR59</f>
        <v>0</v>
      </c>
      <c r="F537" s="261" t="e">
        <f t="shared" si="21"/>
        <v>#REF!</v>
      </c>
      <c r="G537" s="261" t="str">
        <f t="shared" si="21"/>
        <v/>
      </c>
      <c r="H537" s="263" t="e">
        <f t="shared" si="19"/>
        <v>#REF!</v>
      </c>
      <c r="I537" s="265"/>
      <c r="K537" s="259"/>
      <c r="L537" s="259"/>
    </row>
    <row r="538" spans="1:12" ht="12.65" customHeight="1">
      <c r="A538" s="180" t="s">
        <v>553</v>
      </c>
      <c r="B538" s="238" t="e">
        <f>#REF!</f>
        <v>#REF!</v>
      </c>
      <c r="C538" s="238">
        <f>AS71</f>
        <v>0</v>
      </c>
      <c r="D538" s="238" t="e">
        <f>#REF!</f>
        <v>#REF!</v>
      </c>
      <c r="E538" s="180">
        <f>AS59</f>
        <v>0</v>
      </c>
      <c r="F538" s="261" t="e">
        <f t="shared" si="21"/>
        <v>#REF!</v>
      </c>
      <c r="G538" s="261" t="str">
        <f t="shared" si="21"/>
        <v/>
      </c>
      <c r="H538" s="263" t="e">
        <f t="shared" si="19"/>
        <v>#REF!</v>
      </c>
      <c r="I538" s="265"/>
      <c r="K538" s="259"/>
      <c r="L538" s="259"/>
    </row>
    <row r="539" spans="1:12" ht="12.65" customHeight="1">
      <c r="A539" s="180" t="s">
        <v>554</v>
      </c>
      <c r="B539" s="238" t="e">
        <f>#REF!</f>
        <v>#REF!</v>
      </c>
      <c r="C539" s="238">
        <f>AT71</f>
        <v>0</v>
      </c>
      <c r="D539" s="238" t="e">
        <f>#REF!</f>
        <v>#REF!</v>
      </c>
      <c r="E539" s="180">
        <f>AT59</f>
        <v>0</v>
      </c>
      <c r="F539" s="261" t="e">
        <f t="shared" si="21"/>
        <v>#REF!</v>
      </c>
      <c r="G539" s="261" t="str">
        <f t="shared" si="21"/>
        <v/>
      </c>
      <c r="H539" s="263" t="e">
        <f t="shared" si="19"/>
        <v>#REF!</v>
      </c>
      <c r="I539" s="265"/>
      <c r="K539" s="259"/>
      <c r="L539" s="259"/>
    </row>
    <row r="540" spans="1:12" ht="12.65" customHeight="1">
      <c r="A540" s="180" t="s">
        <v>555</v>
      </c>
      <c r="B540" s="238" t="e">
        <f>#REF!</f>
        <v>#REF!</v>
      </c>
      <c r="C540" s="238">
        <f>AU71</f>
        <v>0</v>
      </c>
      <c r="D540" s="238" t="e">
        <f>#REF!</f>
        <v>#REF!</v>
      </c>
      <c r="E540" s="180">
        <f>AU59</f>
        <v>0</v>
      </c>
      <c r="F540" s="261" t="e">
        <f t="shared" si="21"/>
        <v>#REF!</v>
      </c>
      <c r="G540" s="261" t="str">
        <f t="shared" si="21"/>
        <v/>
      </c>
      <c r="H540" s="263" t="e">
        <f t="shared" si="19"/>
        <v>#REF!</v>
      </c>
      <c r="I540" s="265"/>
      <c r="K540" s="259"/>
      <c r="L540" s="259"/>
    </row>
    <row r="541" spans="1:12" ht="12.65" customHeight="1">
      <c r="A541" s="180" t="s">
        <v>556</v>
      </c>
      <c r="B541" s="238" t="e">
        <f>#REF!</f>
        <v>#REF!</v>
      </c>
      <c r="C541" s="238">
        <f>AV71</f>
        <v>915563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5" customHeight="1">
      <c r="A542" s="180" t="s">
        <v>1248</v>
      </c>
      <c r="B542" s="238" t="e">
        <f>#REF!</f>
        <v>#REF!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5" customHeight="1">
      <c r="A543" s="180" t="s">
        <v>557</v>
      </c>
      <c r="B543" s="238" t="e">
        <f>#REF!</f>
        <v>#REF!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5" customHeight="1">
      <c r="A544" s="180" t="s">
        <v>558</v>
      </c>
      <c r="B544" s="238" t="e">
        <f>#REF!</f>
        <v>#REF!</v>
      </c>
      <c r="C544" s="238">
        <f>AY71</f>
        <v>421468</v>
      </c>
      <c r="D544" s="238" t="e">
        <f>#REF!</f>
        <v>#REF!</v>
      </c>
      <c r="E544" s="180">
        <f>AY59</f>
        <v>9270</v>
      </c>
      <c r="F544" s="261" t="e">
        <f t="shared" ref="F544:G550" si="22">IF(B544=0,"",IF(D544=0,"",B544/D544))</f>
        <v>#REF!</v>
      </c>
      <c r="G544" s="261">
        <f t="shared" si="22"/>
        <v>45.465803667745412</v>
      </c>
      <c r="H544" s="263" t="e">
        <f t="shared" si="19"/>
        <v>#REF!</v>
      </c>
      <c r="I544" s="265"/>
      <c r="K544" s="259"/>
      <c r="L544" s="259"/>
    </row>
    <row r="545" spans="1:13" ht="12.65" customHeight="1">
      <c r="A545" s="180" t="s">
        <v>559</v>
      </c>
      <c r="B545" s="238" t="e">
        <f>#REF!</f>
        <v>#REF!</v>
      </c>
      <c r="C545" s="238">
        <f>AZ71</f>
        <v>0</v>
      </c>
      <c r="D545" s="238" t="e">
        <f>#REF!</f>
        <v>#REF!</v>
      </c>
      <c r="E545" s="180">
        <f>AZ59</f>
        <v>0</v>
      </c>
      <c r="F545" s="261" t="e">
        <f t="shared" si="22"/>
        <v>#REF!</v>
      </c>
      <c r="G545" s="261" t="str">
        <f t="shared" si="22"/>
        <v/>
      </c>
      <c r="H545" s="263" t="e">
        <f t="shared" si="19"/>
        <v>#REF!</v>
      </c>
      <c r="I545" s="265"/>
      <c r="K545" s="259"/>
      <c r="L545" s="259"/>
    </row>
    <row r="546" spans="1:13" ht="12.65" customHeight="1">
      <c r="A546" s="180" t="s">
        <v>560</v>
      </c>
      <c r="B546" s="238" t="e">
        <f>#REF!</f>
        <v>#REF!</v>
      </c>
      <c r="C546" s="238">
        <f>BA71</f>
        <v>0</v>
      </c>
      <c r="D546" s="238" t="e">
        <f>#REF!</f>
        <v>#REF!</v>
      </c>
      <c r="E546" s="180">
        <f>BA59</f>
        <v>0</v>
      </c>
      <c r="F546" s="261" t="e">
        <f t="shared" si="22"/>
        <v>#REF!</v>
      </c>
      <c r="G546" s="261" t="str">
        <f t="shared" si="22"/>
        <v/>
      </c>
      <c r="H546" s="263" t="e">
        <f t="shared" si="19"/>
        <v>#REF!</v>
      </c>
      <c r="I546" s="265"/>
      <c r="K546" s="259"/>
      <c r="L546" s="259"/>
    </row>
    <row r="547" spans="1:13" ht="12.65" customHeight="1">
      <c r="A547" s="180" t="s">
        <v>561</v>
      </c>
      <c r="B547" s="238" t="e">
        <f>#REF!</f>
        <v>#REF!</v>
      </c>
      <c r="C547" s="238">
        <f>BB71</f>
        <v>276112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5" customHeight="1">
      <c r="A548" s="180" t="s">
        <v>562</v>
      </c>
      <c r="B548" s="238" t="e">
        <f>#REF!</f>
        <v>#REF!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5" customHeight="1">
      <c r="A549" s="180" t="s">
        <v>563</v>
      </c>
      <c r="B549" s="238" t="e">
        <f>#REF!</f>
        <v>#REF!</v>
      </c>
      <c r="C549" s="238">
        <f>BD71</f>
        <v>2090939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5" customHeight="1">
      <c r="A550" s="180" t="s">
        <v>564</v>
      </c>
      <c r="B550" s="238" t="e">
        <f>#REF!</f>
        <v>#REF!</v>
      </c>
      <c r="C550" s="238">
        <f>BE71</f>
        <v>732197</v>
      </c>
      <c r="D550" s="238" t="e">
        <f>#REF!</f>
        <v>#REF!</v>
      </c>
      <c r="E550" s="180">
        <f>BE59</f>
        <v>155374</v>
      </c>
      <c r="F550" s="261" t="e">
        <f t="shared" si="22"/>
        <v>#REF!</v>
      </c>
      <c r="G550" s="261">
        <f t="shared" si="22"/>
        <v>4.7124808526523099</v>
      </c>
      <c r="H550" s="263" t="e">
        <f t="shared" si="19"/>
        <v>#REF!</v>
      </c>
      <c r="I550" s="265"/>
      <c r="K550" s="259"/>
      <c r="L550" s="259"/>
    </row>
    <row r="551" spans="1:13" ht="12.65" customHeight="1">
      <c r="A551" s="180" t="s">
        <v>565</v>
      </c>
      <c r="B551" s="238" t="e">
        <f>#REF!</f>
        <v>#REF!</v>
      </c>
      <c r="C551" s="238">
        <f>BF71</f>
        <v>391445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5" customHeight="1">
      <c r="A552" s="180" t="s">
        <v>566</v>
      </c>
      <c r="B552" s="238" t="e">
        <f>#REF!</f>
        <v>#REF!</v>
      </c>
      <c r="C552" s="238">
        <f>BG71</f>
        <v>74011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5" customHeight="1">
      <c r="A553" s="180" t="s">
        <v>567</v>
      </c>
      <c r="B553" s="238" t="e">
        <f>#REF!</f>
        <v>#REF!</v>
      </c>
      <c r="C553" s="238">
        <f>BH71</f>
        <v>677948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5" customHeight="1">
      <c r="A554" s="180" t="s">
        <v>568</v>
      </c>
      <c r="B554" s="238" t="e">
        <f>#REF!</f>
        <v>#REF!</v>
      </c>
      <c r="C554" s="238">
        <f>BI71</f>
        <v>0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5" customHeight="1">
      <c r="A555" s="180" t="s">
        <v>569</v>
      </c>
      <c r="B555" s="238" t="e">
        <f>#REF!</f>
        <v>#REF!</v>
      </c>
      <c r="C555" s="238">
        <f>BJ71</f>
        <v>97296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5" customHeight="1">
      <c r="A556" s="180" t="s">
        <v>570</v>
      </c>
      <c r="B556" s="238" t="e">
        <f>#REF!</f>
        <v>#REF!</v>
      </c>
      <c r="C556" s="238">
        <f>BK71</f>
        <v>419129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5" customHeight="1">
      <c r="A557" s="180" t="s">
        <v>571</v>
      </c>
      <c r="B557" s="238" t="e">
        <f>#REF!</f>
        <v>#REF!</v>
      </c>
      <c r="C557" s="238">
        <f>BL71</f>
        <v>40954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5" customHeight="1">
      <c r="A558" s="180" t="s">
        <v>572</v>
      </c>
      <c r="B558" s="238" t="e">
        <f>#REF!</f>
        <v>#REF!</v>
      </c>
      <c r="C558" s="238">
        <f>BM71</f>
        <v>274160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5" customHeight="1">
      <c r="A559" s="180" t="s">
        <v>573</v>
      </c>
      <c r="B559" s="238" t="e">
        <f>#REF!</f>
        <v>#REF!</v>
      </c>
      <c r="C559" s="238">
        <f>BN71</f>
        <v>1537171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5" customHeight="1">
      <c r="A560" s="180" t="s">
        <v>574</v>
      </c>
      <c r="B560" s="238" t="e">
        <f>#REF!</f>
        <v>#REF!</v>
      </c>
      <c r="C560" s="238">
        <f>BO71</f>
        <v>0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5" customHeight="1">
      <c r="A561" s="180" t="s">
        <v>575</v>
      </c>
      <c r="B561" s="238" t="e">
        <f>#REF!</f>
        <v>#REF!</v>
      </c>
      <c r="C561" s="238">
        <f>BP71</f>
        <v>67462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5" customHeight="1">
      <c r="A562" s="180" t="s">
        <v>576</v>
      </c>
      <c r="B562" s="238" t="e">
        <f>#REF!</f>
        <v>#REF!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5" customHeight="1">
      <c r="A563" s="180" t="s">
        <v>577</v>
      </c>
      <c r="B563" s="238" t="e">
        <f>#REF!</f>
        <v>#REF!</v>
      </c>
      <c r="C563" s="238">
        <f>BR71</f>
        <v>1327395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5" customHeight="1">
      <c r="A564" s="180" t="s">
        <v>1249</v>
      </c>
      <c r="B564" s="238" t="e">
        <f>#REF!</f>
        <v>#REF!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5" customHeight="1">
      <c r="A565" s="180" t="s">
        <v>578</v>
      </c>
      <c r="B565" s="238" t="e">
        <f>#REF!</f>
        <v>#REF!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5" customHeight="1">
      <c r="A566" s="180" t="s">
        <v>579</v>
      </c>
      <c r="B566" s="238" t="e">
        <f>#REF!</f>
        <v>#REF!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5" customHeight="1">
      <c r="A567" s="180" t="s">
        <v>580</v>
      </c>
      <c r="B567" s="238" t="e">
        <f>#REF!</f>
        <v>#REF!</v>
      </c>
      <c r="C567" s="238">
        <f>BV71</f>
        <v>257103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5" customHeight="1">
      <c r="A568" s="180" t="s">
        <v>581</v>
      </c>
      <c r="B568" s="238" t="e">
        <f>#REF!</f>
        <v>#REF!</v>
      </c>
      <c r="C568" s="238">
        <f>BW71</f>
        <v>53572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5" customHeight="1">
      <c r="A569" s="180" t="s">
        <v>582</v>
      </c>
      <c r="B569" s="238" t="e">
        <f>#REF!</f>
        <v>#REF!</v>
      </c>
      <c r="C569" s="238">
        <f>BX71</f>
        <v>207182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5" customHeight="1">
      <c r="A570" s="180" t="s">
        <v>583</v>
      </c>
      <c r="B570" s="238" t="e">
        <f>#REF!</f>
        <v>#REF!</v>
      </c>
      <c r="C570" s="238">
        <f>BY71</f>
        <v>274216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5" customHeight="1">
      <c r="A571" s="180" t="s">
        <v>584</v>
      </c>
      <c r="B571" s="238" t="e">
        <f>#REF!</f>
        <v>#REF!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5" customHeight="1">
      <c r="A572" s="180" t="s">
        <v>585</v>
      </c>
      <c r="B572" s="238" t="e">
        <f>#REF!</f>
        <v>#REF!</v>
      </c>
      <c r="C572" s="238">
        <f>CA71</f>
        <v>91315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5" customHeight="1">
      <c r="A573" s="180" t="s">
        <v>586</v>
      </c>
      <c r="B573" s="238" t="e">
        <f>#REF!</f>
        <v>#REF!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5" customHeight="1">
      <c r="A574" s="180" t="s">
        <v>587</v>
      </c>
      <c r="B574" s="238" t="e">
        <f>#REF!</f>
        <v>#REF!</v>
      </c>
      <c r="C574" s="238">
        <f>CC71</f>
        <v>0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5" customHeight="1">
      <c r="A575" s="180" t="s">
        <v>588</v>
      </c>
      <c r="B575" s="238" t="e">
        <f>#REF!</f>
        <v>#REF!</v>
      </c>
      <c r="C575" s="238">
        <f>CD71</f>
        <v>-72174</v>
      </c>
      <c r="D575" s="181" t="s">
        <v>529</v>
      </c>
      <c r="E575" s="181" t="s">
        <v>529</v>
      </c>
      <c r="F575" s="261"/>
      <c r="G575" s="261"/>
      <c r="H575" s="263"/>
    </row>
    <row r="576" spans="1:13" ht="12.65" customHeight="1">
      <c r="M576" s="263"/>
    </row>
    <row r="577" spans="13:13" ht="12.65" customHeight="1">
      <c r="M577" s="263"/>
    </row>
    <row r="578" spans="13:13" ht="12.65" customHeight="1">
      <c r="M578" s="263"/>
    </row>
    <row r="612" spans="1:14" ht="12.65" customHeight="1">
      <c r="A612" s="196"/>
      <c r="C612" s="181" t="s">
        <v>589</v>
      </c>
      <c r="D612" s="180">
        <f>CE76-(BE76+CD76)</f>
        <v>128336</v>
      </c>
      <c r="E612" s="180">
        <f>SUM(C624:D647)+SUM(C668:D713)</f>
        <v>21665322.095623985</v>
      </c>
      <c r="F612" s="180">
        <f>CE64-(AX64+BD64+BE64+BG64+BJ64+BN64+BP64+BQ64+CB64+CC64+CD64)</f>
        <v>2077995</v>
      </c>
      <c r="G612" s="180">
        <f>CE77-(AX77+AY77+BD77+BE77+BG77+BJ77+BN77+BP77+BQ77+CB77+CC77+CD77)</f>
        <v>9270</v>
      </c>
      <c r="H612" s="197">
        <f>CE60-(AX60+AY60+AZ60+BD60+BE60+BG60+BJ60+BN60+BO60+BP60+BQ60+BR60+CB60+CC60+CD60)</f>
        <v>381.35000000000008</v>
      </c>
      <c r="I612" s="180">
        <f>CE78-(AX78+AY78+AZ78+BD78+BE78+BF78+BG78+BJ78+BN78+BO78+BP78+BQ78+BR78+CB78+CC78+CD78)</f>
        <v>10157</v>
      </c>
      <c r="J612" s="180">
        <f>CE79-(AX79+AY79+AZ79+BA79+BD79+BE79+BF79+BG79+BJ79+BN79+BO79+BP79+BQ79+BR79+CB79+CC79+CD79)</f>
        <v>124036</v>
      </c>
      <c r="K612" s="180">
        <f>CE75-(AW75+AX75+AY75+AZ75+BA75+BB75+BC75+BD75+BE75+BF75+BG75+BH75+BI75+BJ75+BK75+BL75+BM75+BN75+BO75+BP75+BQ75+BR75+BS75+BT75+BU75+BV75+BW75+BX75+CB75+CC75+CD75)</f>
        <v>141231056</v>
      </c>
      <c r="L612" s="197">
        <f>CE80-(AW80+AX80+AY80+AZ80+BA80+BB80+BC80+BD80+BE80+BF80+BG80+BH80+BI80+BJ80+BK80+BL80+BM80+BN80+BO80+BP80+BQ80+BR80+BS80+BT80+BU80+BV80+BW80+BX80+BY80+BZ80+CA80+CB80+CC80+CD80)</f>
        <v>366.69999999999993</v>
      </c>
    </row>
    <row r="613" spans="1:14" ht="12.65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>
      <c r="A614" s="196">
        <v>8430</v>
      </c>
      <c r="B614" s="198" t="s">
        <v>140</v>
      </c>
      <c r="C614" s="180">
        <f>BE71</f>
        <v>732197</v>
      </c>
      <c r="N614" s="199" t="s">
        <v>600</v>
      </c>
    </row>
    <row r="615" spans="1:14" ht="12.65" customHeight="1">
      <c r="A615" s="196"/>
      <c r="B615" s="198" t="s">
        <v>601</v>
      </c>
      <c r="C615" s="270">
        <f>CD69-CD70</f>
        <v>-72174</v>
      </c>
      <c r="D615" s="264">
        <f>SUM(C614:C615)</f>
        <v>660023</v>
      </c>
      <c r="N615" s="199" t="s">
        <v>602</v>
      </c>
    </row>
    <row r="616" spans="1:14" ht="12.65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>
      <c r="A617" s="196">
        <v>8510</v>
      </c>
      <c r="B617" s="200" t="s">
        <v>145</v>
      </c>
      <c r="C617" s="180">
        <f>BJ71</f>
        <v>97296</v>
      </c>
      <c r="D617" s="180">
        <f>(D615/D612)*BJ76</f>
        <v>8408.6897285251216</v>
      </c>
      <c r="N617" s="199" t="s">
        <v>605</v>
      </c>
    </row>
    <row r="618" spans="1:14" ht="12.65" customHeight="1">
      <c r="A618" s="196">
        <v>8470</v>
      </c>
      <c r="B618" s="200" t="s">
        <v>606</v>
      </c>
      <c r="C618" s="180">
        <f>BG71</f>
        <v>74011</v>
      </c>
      <c r="D618" s="180">
        <f>(D615/D612)*BG76</f>
        <v>1733.1672406807131</v>
      </c>
      <c r="N618" s="199" t="s">
        <v>607</v>
      </c>
    </row>
    <row r="619" spans="1:14" ht="12.65" customHeight="1">
      <c r="A619" s="196">
        <v>8610</v>
      </c>
      <c r="B619" s="200" t="s">
        <v>608</v>
      </c>
      <c r="C619" s="180">
        <f>BN71</f>
        <v>1537171</v>
      </c>
      <c r="D619" s="180">
        <f>(D615/D612)*BN76</f>
        <v>19928.851803079418</v>
      </c>
      <c r="N619" s="199" t="s">
        <v>609</v>
      </c>
    </row>
    <row r="620" spans="1:14" ht="12.65" customHeight="1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>
      <c r="A621" s="196">
        <v>8630</v>
      </c>
      <c r="B621" s="200" t="s">
        <v>612</v>
      </c>
      <c r="C621" s="180">
        <f>BP71</f>
        <v>67462</v>
      </c>
      <c r="D621" s="180">
        <f>(D615/D612)*BP76</f>
        <v>3749.1956037277146</v>
      </c>
      <c r="N621" s="199" t="s">
        <v>613</v>
      </c>
    </row>
    <row r="622" spans="1:14" ht="12.65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1809759.9043760132</v>
      </c>
      <c r="N623" s="199" t="s">
        <v>617</v>
      </c>
    </row>
    <row r="624" spans="1:14" ht="12.65" customHeight="1">
      <c r="A624" s="196">
        <v>8420</v>
      </c>
      <c r="B624" s="200" t="s">
        <v>139</v>
      </c>
      <c r="C624" s="180">
        <f>BD71</f>
        <v>2090939</v>
      </c>
      <c r="D624" s="180">
        <f>(D615/D612)*BD76</f>
        <v>13191.614161264182</v>
      </c>
      <c r="E624" s="180">
        <f>(E623/E612)*SUM(C624:D624)</f>
        <v>175763.42517650707</v>
      </c>
      <c r="F624" s="180">
        <f>SUM(C624:E624)</f>
        <v>2279894.039337771</v>
      </c>
      <c r="N624" s="199" t="s">
        <v>618</v>
      </c>
    </row>
    <row r="625" spans="1:14" ht="12.65" customHeight="1">
      <c r="A625" s="196">
        <v>8320</v>
      </c>
      <c r="B625" s="200" t="s">
        <v>135</v>
      </c>
      <c r="C625" s="180">
        <f>AY71</f>
        <v>421468</v>
      </c>
      <c r="D625" s="180">
        <f>(D615/D612)*AY76</f>
        <v>28178.110717179901</v>
      </c>
      <c r="E625" s="180">
        <f>(E623/E612)*SUM(C625:D625)</f>
        <v>37560.092517569043</v>
      </c>
      <c r="F625" s="180">
        <f>(F624/F612)*AY64</f>
        <v>161839.95146987162</v>
      </c>
      <c r="G625" s="180">
        <f>SUM(C625:F625)</f>
        <v>649046.1547046206</v>
      </c>
      <c r="N625" s="199" t="s">
        <v>619</v>
      </c>
    </row>
    <row r="626" spans="1:14" ht="12.65" customHeight="1">
      <c r="A626" s="196">
        <v>8650</v>
      </c>
      <c r="B626" s="200" t="s">
        <v>152</v>
      </c>
      <c r="C626" s="180">
        <f>BR71</f>
        <v>1327395</v>
      </c>
      <c r="D626" s="180">
        <f>(D615/D612)*BR76</f>
        <v>5209.7875810372771</v>
      </c>
      <c r="E626" s="180">
        <f>(E623/E612)*SUM(C626:D626)</f>
        <v>111315.89469564338</v>
      </c>
      <c r="F626" s="180">
        <f>(F624/F612)*BR64</f>
        <v>1026.9422307657878</v>
      </c>
      <c r="G626" s="180">
        <f>(G625/G612)*BR77</f>
        <v>0</v>
      </c>
      <c r="N626" s="199" t="s">
        <v>620</v>
      </c>
    </row>
    <row r="627" spans="1:14" ht="12.65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1444947.6245074463</v>
      </c>
      <c r="N628" s="199" t="s">
        <v>623</v>
      </c>
    </row>
    <row r="629" spans="1:14" ht="12.65" customHeight="1">
      <c r="A629" s="196">
        <v>8460</v>
      </c>
      <c r="B629" s="200" t="s">
        <v>141</v>
      </c>
      <c r="C629" s="180">
        <f>BF71</f>
        <v>391445</v>
      </c>
      <c r="D629" s="180">
        <f>(D615/D612)*BF76</f>
        <v>11772.165619935171</v>
      </c>
      <c r="E629" s="180">
        <f>(E623/E612)*SUM(C629:D629)</f>
        <v>33681.763690118081</v>
      </c>
      <c r="F629" s="180">
        <f>(F624/F612)*BF64</f>
        <v>27230.426522837704</v>
      </c>
      <c r="G629" s="180">
        <f>(G625/G612)*BF77</f>
        <v>0</v>
      </c>
      <c r="H629" s="180">
        <f>(H628/H612)*BF60</f>
        <v>74833.396050929747</v>
      </c>
      <c r="I629" s="180">
        <f>SUM(C629:H629)</f>
        <v>538962.75188382075</v>
      </c>
      <c r="N629" s="199" t="s">
        <v>624</v>
      </c>
    </row>
    <row r="630" spans="1:14" ht="12.65" customHeight="1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>
      <c r="A632" s="196">
        <v>8360</v>
      </c>
      <c r="B632" s="200" t="s">
        <v>629</v>
      </c>
      <c r="C632" s="180">
        <f>BB71</f>
        <v>276112</v>
      </c>
      <c r="D632" s="180">
        <f>(D615/D612)*BB76</f>
        <v>3805.7678282009724</v>
      </c>
      <c r="E632" s="180">
        <f>(E623/E612)*SUM(C632:D632)</f>
        <v>23382.24885381386</v>
      </c>
      <c r="F632" s="180">
        <f>(F624/F612)*BB64</f>
        <v>2875.6576782447974</v>
      </c>
      <c r="G632" s="180">
        <f>(G625/G612)*BB77</f>
        <v>0</v>
      </c>
      <c r="H632" s="180">
        <f>(H628/H612)*BB60</f>
        <v>27243.145195249868</v>
      </c>
      <c r="I632" s="180">
        <f>(I629/I612)*BB78</f>
        <v>2547.0327941738105</v>
      </c>
      <c r="J632" s="180">
        <f>(J630/J612)*BB79</f>
        <v>0</v>
      </c>
      <c r="N632" s="199" t="s">
        <v>630</v>
      </c>
    </row>
    <row r="633" spans="1:14" ht="12.65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>
      <c r="A635" s="196">
        <v>8530</v>
      </c>
      <c r="B635" s="200" t="s">
        <v>635</v>
      </c>
      <c r="C635" s="180">
        <f>BK71</f>
        <v>419129</v>
      </c>
      <c r="D635" s="180">
        <f>(D615/D612)*BK76</f>
        <v>0</v>
      </c>
      <c r="E635" s="180">
        <f>(E623/E612)*SUM(C635:D635)</f>
        <v>35010.920013712712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>
      <c r="A636" s="196">
        <v>8480</v>
      </c>
      <c r="B636" s="200" t="s">
        <v>637</v>
      </c>
      <c r="C636" s="180">
        <f>BH71</f>
        <v>677948</v>
      </c>
      <c r="D636" s="180">
        <f>(D615/D612)*BH76</f>
        <v>3867.482982171799</v>
      </c>
      <c r="E636" s="180">
        <f>(E623/E612)*SUM(C636:D636)</f>
        <v>56953.795463448529</v>
      </c>
      <c r="F636" s="180">
        <f>(F624/F612)*BH64</f>
        <v>19093.884232924152</v>
      </c>
      <c r="G636" s="180">
        <f>(G625/G612)*BH77</f>
        <v>0</v>
      </c>
      <c r="H636" s="180">
        <f>(H628/H612)*BH60</f>
        <v>20612.337950230776</v>
      </c>
      <c r="I636" s="180">
        <f>(I629/I612)*BH78</f>
        <v>2600.0959773857649</v>
      </c>
      <c r="J636" s="180">
        <f>(J630/J612)*BH79</f>
        <v>0</v>
      </c>
      <c r="N636" s="199" t="s">
        <v>638</v>
      </c>
    </row>
    <row r="637" spans="1:14" ht="12.65" customHeight="1">
      <c r="A637" s="196">
        <v>8560</v>
      </c>
      <c r="B637" s="200" t="s">
        <v>147</v>
      </c>
      <c r="C637" s="180">
        <f>BL71</f>
        <v>40954</v>
      </c>
      <c r="D637" s="180">
        <f>(D615/D612)*BL76</f>
        <v>9262.4160251215562</v>
      </c>
      <c r="E637" s="180">
        <f>(E623/E612)*SUM(C637:D637)</f>
        <v>4194.7059851044714</v>
      </c>
      <c r="F637" s="180">
        <f>(F624/F612)*BL64</f>
        <v>0</v>
      </c>
      <c r="G637" s="180">
        <f>(G625/G612)*BL77</f>
        <v>0</v>
      </c>
      <c r="H637" s="180">
        <f>(H628/H612)*BL60</f>
        <v>11518.659442776023</v>
      </c>
      <c r="I637" s="180">
        <f>(I629/I612)*BL78</f>
        <v>6261.4556190106177</v>
      </c>
      <c r="J637" s="180">
        <f>(J630/J612)*BL79</f>
        <v>0</v>
      </c>
      <c r="N637" s="199" t="s">
        <v>639</v>
      </c>
    </row>
    <row r="638" spans="1:14" ht="12.65" customHeight="1">
      <c r="A638" s="196">
        <v>8590</v>
      </c>
      <c r="B638" s="200" t="s">
        <v>640</v>
      </c>
      <c r="C638" s="180">
        <f>BM71</f>
        <v>274160</v>
      </c>
      <c r="D638" s="180">
        <f>(D615/D612)*BM76</f>
        <v>0</v>
      </c>
      <c r="E638" s="180">
        <f>(E623/E612)*SUM(C638:D638)</f>
        <v>22901.28774424933</v>
      </c>
      <c r="F638" s="180">
        <f>(F624/F612)*BM64</f>
        <v>5757.8983195073242</v>
      </c>
      <c r="G638" s="180">
        <f>(G625/G612)*BM77</f>
        <v>0</v>
      </c>
      <c r="H638" s="180">
        <f>(H628/H612)*BM60</f>
        <v>62215.917121836283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1470.8778363047002</v>
      </c>
      <c r="E639" s="180">
        <f>(E623/E612)*SUM(C639:D639)</f>
        <v>122.86619698662388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1008.2004810271334</v>
      </c>
      <c r="J639" s="180">
        <f>(J630/J612)*BS79</f>
        <v>0</v>
      </c>
      <c r="N639" s="199" t="s">
        <v>643</v>
      </c>
    </row>
    <row r="640" spans="1:14" ht="12.65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17254.528464343599</v>
      </c>
      <c r="E641" s="180">
        <f>(E623/E612)*SUM(C641:D641)</f>
        <v>1441.3150031123187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>
      <c r="A642" s="196">
        <v>8690</v>
      </c>
      <c r="B642" s="200" t="s">
        <v>648</v>
      </c>
      <c r="C642" s="180">
        <f>BV71</f>
        <v>257103</v>
      </c>
      <c r="D642" s="180">
        <f>(D615/D612)*BV76</f>
        <v>0</v>
      </c>
      <c r="E642" s="180">
        <f>(E623/E612)*SUM(C642:D642)</f>
        <v>21476.47280022518</v>
      </c>
      <c r="F642" s="180">
        <f>(F624/F612)*BV64</f>
        <v>1680.8498905269093</v>
      </c>
      <c r="G642" s="180">
        <f>(G625/G612)*BV77</f>
        <v>0</v>
      </c>
      <c r="H642" s="180">
        <f>(H628/H612)*BV60</f>
        <v>42475.056695236584</v>
      </c>
      <c r="I642" s="180">
        <f>(I629/I612)*BV78</f>
        <v>11620.83712341801</v>
      </c>
      <c r="J642" s="180">
        <f>(J630/J612)*BV79</f>
        <v>0</v>
      </c>
      <c r="N642" s="199" t="s">
        <v>649</v>
      </c>
    </row>
    <row r="643" spans="1:14" ht="12.65" customHeight="1">
      <c r="A643" s="196">
        <v>8700</v>
      </c>
      <c r="B643" s="200" t="s">
        <v>650</v>
      </c>
      <c r="C643" s="180">
        <f>BW71</f>
        <v>53572</v>
      </c>
      <c r="D643" s="180">
        <f>(D615/D612)*BW76</f>
        <v>0</v>
      </c>
      <c r="E643" s="180">
        <f>(E623/E612)*SUM(C643:D643)</f>
        <v>4475.0065182190147</v>
      </c>
      <c r="F643" s="180">
        <f>(F624/F612)*BW64</f>
        <v>276.48444674463519</v>
      </c>
      <c r="G643" s="180">
        <f>(G625/G612)*BW77</f>
        <v>0</v>
      </c>
      <c r="H643" s="180">
        <f>(H628/H612)*BW60</f>
        <v>4622.6199079561666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>
      <c r="A644" s="196">
        <v>8710</v>
      </c>
      <c r="B644" s="200" t="s">
        <v>652</v>
      </c>
      <c r="C644" s="180">
        <f>BX71</f>
        <v>207182</v>
      </c>
      <c r="D644" s="180">
        <f>(D615/D612)*BX76</f>
        <v>426.8631482982172</v>
      </c>
      <c r="E644" s="180">
        <f>(E623/E612)*SUM(C644:D644)</f>
        <v>17342.100646395018</v>
      </c>
      <c r="F644" s="180">
        <f>(F624/F612)*BX64</f>
        <v>9.8744445265941145</v>
      </c>
      <c r="G644" s="180">
        <f>(G625/G612)*BX77</f>
        <v>0</v>
      </c>
      <c r="H644" s="180">
        <f>(H628/H612)*BX60</f>
        <v>12731.149910436656</v>
      </c>
      <c r="I644" s="180">
        <f>(I629/I612)*BX78</f>
        <v>265.31591605977195</v>
      </c>
      <c r="J644" s="180">
        <f>(J630/J612)*BX79</f>
        <v>0</v>
      </c>
      <c r="K644" s="180">
        <f>SUM(C631:J644)</f>
        <v>2664965.1286569792</v>
      </c>
      <c r="N644" s="199" t="s">
        <v>653</v>
      </c>
    </row>
    <row r="645" spans="1:14" ht="12.65" customHeight="1">
      <c r="A645" s="196">
        <v>8720</v>
      </c>
      <c r="B645" s="200" t="s">
        <v>654</v>
      </c>
      <c r="C645" s="180">
        <f>BY71</f>
        <v>274216</v>
      </c>
      <c r="D645" s="180">
        <f>(D615/D612)*BY76</f>
        <v>5991.5128646677476</v>
      </c>
      <c r="E645" s="180">
        <f>(E623/E612)*SUM(C645:D645)</f>
        <v>23406.451999614103</v>
      </c>
      <c r="F645" s="180">
        <f>(F624/F612)*BY64</f>
        <v>5689.87436832412</v>
      </c>
      <c r="G645" s="180">
        <f>(G625/G612)*BY77</f>
        <v>0</v>
      </c>
      <c r="H645" s="180">
        <f>(H628/H612)*BY60</f>
        <v>7843.297712679725</v>
      </c>
      <c r="I645" s="180">
        <f>(I629/I612)*BY78</f>
        <v>4032.8019241085335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>
      <c r="A647" s="196">
        <v>8740</v>
      </c>
      <c r="B647" s="200" t="s">
        <v>658</v>
      </c>
      <c r="C647" s="180">
        <f>CA71</f>
        <v>91315</v>
      </c>
      <c r="D647" s="180">
        <f>(D615/D612)*CA76</f>
        <v>11515.019145056725</v>
      </c>
      <c r="E647" s="180">
        <f>(E623/E612)*SUM(C647:D647)</f>
        <v>8589.6551546090286</v>
      </c>
      <c r="F647" s="180">
        <f>(F624/F612)*CA64</f>
        <v>760.33222854774681</v>
      </c>
      <c r="G647" s="180">
        <f>(G625/G612)*CA77</f>
        <v>0</v>
      </c>
      <c r="H647" s="180">
        <f>(H628/H612)*CA60</f>
        <v>7085.4911703918297</v>
      </c>
      <c r="I647" s="180">
        <f>(I629/I612)*CA78</f>
        <v>7747.2247489453412</v>
      </c>
      <c r="J647" s="180">
        <f>(J630/J612)*CA79</f>
        <v>0</v>
      </c>
      <c r="K647" s="180">
        <v>0</v>
      </c>
      <c r="L647" s="180">
        <f>SUM(C645:K647)</f>
        <v>448192.66131694481</v>
      </c>
      <c r="N647" s="199" t="s">
        <v>659</v>
      </c>
    </row>
    <row r="648" spans="1:14" ht="12.65" customHeight="1">
      <c r="A648" s="196"/>
      <c r="B648" s="196"/>
      <c r="C648" s="180">
        <f>SUM(C614:C647)</f>
        <v>9238901</v>
      </c>
      <c r="L648" s="264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>
      <c r="A668" s="196">
        <v>6010</v>
      </c>
      <c r="B668" s="198" t="s">
        <v>283</v>
      </c>
      <c r="C668" s="180">
        <f>C71</f>
        <v>1671226</v>
      </c>
      <c r="D668" s="180">
        <f>(D615/D612)*C76</f>
        <v>43262.322933549432</v>
      </c>
      <c r="E668" s="180">
        <f>(E623/E612)*SUM(C668:D668)</f>
        <v>143215.60555025053</v>
      </c>
      <c r="F668" s="180">
        <f>(F624/F612)*C64</f>
        <v>60779.400382192689</v>
      </c>
      <c r="G668" s="180">
        <f>(G625/G612)*C77</f>
        <v>64438.310466111172</v>
      </c>
      <c r="H668" s="180">
        <f>(H628/H612)*C60</f>
        <v>197332.82361176817</v>
      </c>
      <c r="I668" s="180">
        <f>(I629/I612)*C78</f>
        <v>29184.750766574914</v>
      </c>
      <c r="J668" s="180">
        <f>(J630/J612)*C79</f>
        <v>0</v>
      </c>
      <c r="K668" s="180">
        <f>(K644/K612)*C75</f>
        <v>151251.2925212922</v>
      </c>
      <c r="L668" s="180">
        <f>(L647/L612)*C80</f>
        <v>54242.678781690804</v>
      </c>
      <c r="M668" s="180">
        <f t="shared" ref="M668:M713" si="23">ROUND(SUM(D668:L668),0)</f>
        <v>743707</v>
      </c>
      <c r="N668" s="198" t="s">
        <v>663</v>
      </c>
    </row>
    <row r="669" spans="1:14" ht="12.65" customHeight="1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3"/>
        <v>0</v>
      </c>
      <c r="N669" s="198" t="s">
        <v>664</v>
      </c>
    </row>
    <row r="670" spans="1:14" ht="12.65" customHeight="1">
      <c r="A670" s="196">
        <v>6070</v>
      </c>
      <c r="B670" s="198" t="s">
        <v>665</v>
      </c>
      <c r="C670" s="180">
        <f>E71</f>
        <v>958297</v>
      </c>
      <c r="D670" s="180">
        <f>(D615/D612)*E76</f>
        <v>61458.007495948135</v>
      </c>
      <c r="E670" s="180">
        <f>(E623/E612)*SUM(C670:D670)</f>
        <v>85182.750420571349</v>
      </c>
      <c r="F670" s="180">
        <f>(F624/F612)*E64</f>
        <v>47186.678911084411</v>
      </c>
      <c r="G670" s="180">
        <f>(G625/G612)*E77</f>
        <v>248197.49006357233</v>
      </c>
      <c r="H670" s="180">
        <f>(H628/H612)*E60</f>
        <v>141406.70079092143</v>
      </c>
      <c r="I670" s="180">
        <f>(I629/I612)*E78</f>
        <v>41442.346088536375</v>
      </c>
      <c r="J670" s="180">
        <f>(J630/J612)*E79</f>
        <v>0</v>
      </c>
      <c r="K670" s="180">
        <f>(K644/K612)*E75</f>
        <v>64630.534847032759</v>
      </c>
      <c r="L670" s="180">
        <f>(L647/L612)*E80</f>
        <v>38720.325908156025</v>
      </c>
      <c r="M670" s="180">
        <f t="shared" si="23"/>
        <v>728225</v>
      </c>
      <c r="N670" s="198" t="s">
        <v>666</v>
      </c>
    </row>
    <row r="671" spans="1:14" ht="12.65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0</v>
      </c>
      <c r="N671" s="198" t="s">
        <v>668</v>
      </c>
    </row>
    <row r="672" spans="1:14" ht="12.65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3"/>
        <v>0</v>
      </c>
      <c r="N673" s="198" t="s">
        <v>672</v>
      </c>
    </row>
    <row r="674" spans="1:14" ht="12.65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>
      <c r="A675" s="196">
        <v>6170</v>
      </c>
      <c r="B675" s="198" t="s">
        <v>99</v>
      </c>
      <c r="C675" s="180">
        <f>J71</f>
        <v>188559</v>
      </c>
      <c r="D675" s="180">
        <f>(D615/D612)*J76</f>
        <v>3666.9087317666126</v>
      </c>
      <c r="E675" s="180">
        <f>(E623/E612)*SUM(C675:D675)</f>
        <v>16057.123022198706</v>
      </c>
      <c r="F675" s="180">
        <f>(F624/F612)*J64</f>
        <v>4929.542139776373</v>
      </c>
      <c r="G675" s="180">
        <f>(G625/G612)*J77</f>
        <v>48217.057702144986</v>
      </c>
      <c r="H675" s="180">
        <f>(H628/H612)*J60</f>
        <v>0</v>
      </c>
      <c r="I675" s="180">
        <f>(I629/I612)*J78</f>
        <v>2493.9696109618562</v>
      </c>
      <c r="J675" s="180">
        <f>(J630/J612)*J79</f>
        <v>0</v>
      </c>
      <c r="K675" s="180">
        <f>(K644/K612)*J75</f>
        <v>16070.67815182714</v>
      </c>
      <c r="L675" s="180">
        <f>(L647/L612)*J80</f>
        <v>0</v>
      </c>
      <c r="M675" s="180">
        <f t="shared" si="23"/>
        <v>91435</v>
      </c>
      <c r="N675" s="198" t="s">
        <v>675</v>
      </c>
    </row>
    <row r="676" spans="1:14" ht="12.65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>
      <c r="A680" s="196">
        <v>7010</v>
      </c>
      <c r="B680" s="198" t="s">
        <v>682</v>
      </c>
      <c r="C680" s="180">
        <f>O71</f>
        <v>909968</v>
      </c>
      <c r="D680" s="180">
        <f>(D615/D612)*O76</f>
        <v>115998.77481766613</v>
      </c>
      <c r="E680" s="180">
        <f>(E623/E612)*SUM(C680:D680)</f>
        <v>85701.635271880761</v>
      </c>
      <c r="F680" s="180">
        <f>(F624/F612)*O64</f>
        <v>45569.464329728886</v>
      </c>
      <c r="G680" s="180">
        <f>(G625/G612)*O77</f>
        <v>288193.29647279211</v>
      </c>
      <c r="H680" s="180">
        <f>(H628/H612)*O60</f>
        <v>104766.75447130165</v>
      </c>
      <c r="I680" s="180">
        <f>(I629/I612)*O78</f>
        <v>78215.13205442077</v>
      </c>
      <c r="J680" s="180">
        <f>(J630/J612)*O79</f>
        <v>0</v>
      </c>
      <c r="K680" s="180">
        <f>(K644/K612)*O75</f>
        <v>100155.2941070017</v>
      </c>
      <c r="L680" s="180">
        <f>(L647/L612)*O80</f>
        <v>23833.533939679372</v>
      </c>
      <c r="M680" s="180">
        <f t="shared" si="23"/>
        <v>842434</v>
      </c>
      <c r="N680" s="198" t="s">
        <v>683</v>
      </c>
    </row>
    <row r="681" spans="1:14" ht="12.65" customHeight="1">
      <c r="A681" s="196">
        <v>7020</v>
      </c>
      <c r="B681" s="198" t="s">
        <v>684</v>
      </c>
      <c r="C681" s="180">
        <f>P71</f>
        <v>1501830</v>
      </c>
      <c r="D681" s="180">
        <f>(D615/D612)*P76</f>
        <v>11617.877735008104</v>
      </c>
      <c r="E681" s="180">
        <f>(E623/E612)*SUM(C681:D681)</f>
        <v>126422.18169657461</v>
      </c>
      <c r="F681" s="180">
        <f>(F624/F612)*P64</f>
        <v>511699.20117062179</v>
      </c>
      <c r="G681" s="180">
        <f>(G625/G612)*P77</f>
        <v>0</v>
      </c>
      <c r="H681" s="180">
        <f>(H628/H612)*P60</f>
        <v>67293.22095516519</v>
      </c>
      <c r="I681" s="180">
        <f>(I629/I612)*P78</f>
        <v>7853.3511153692498</v>
      </c>
      <c r="J681" s="180" t="e">
        <f>(J630/J612)*#REF!</f>
        <v>#REF!</v>
      </c>
      <c r="K681" s="180">
        <f>(K644/K612)*P75</f>
        <v>359901.68928167352</v>
      </c>
      <c r="L681" s="180">
        <f>(L647/L612)*P80</f>
        <v>14251.231063418538</v>
      </c>
      <c r="M681" s="180" t="e">
        <f t="shared" si="23"/>
        <v>#REF!</v>
      </c>
      <c r="N681" s="198" t="s">
        <v>685</v>
      </c>
    </row>
    <row r="682" spans="1:14" ht="12.65" customHeight="1">
      <c r="A682" s="196">
        <v>7030</v>
      </c>
      <c r="B682" s="198" t="s">
        <v>686</v>
      </c>
      <c r="C682" s="180">
        <f>Q71</f>
        <v>265791</v>
      </c>
      <c r="D682" s="180">
        <f>(D615/D612)*Q76</f>
        <v>14770.493517017829</v>
      </c>
      <c r="E682" s="180">
        <f>(E623/E612)*SUM(C682:D682)</f>
        <v>23436.020911108724</v>
      </c>
      <c r="F682" s="180">
        <f>(F624/F612)*Q64</f>
        <v>16312.582357933477</v>
      </c>
      <c r="G682" s="180">
        <f>(G625/G612)*Q77</f>
        <v>0</v>
      </c>
      <c r="H682" s="180">
        <f>(H628/H612)*Q60</f>
        <v>23567.78346515357</v>
      </c>
      <c r="I682" s="180">
        <f>(I629/I612)*Q78</f>
        <v>9975.8784438474249</v>
      </c>
      <c r="J682" s="180">
        <f>(J630/J612)*Q79</f>
        <v>0</v>
      </c>
      <c r="K682" s="180">
        <f>(K644/K612)*Q75</f>
        <v>112647.59034070275</v>
      </c>
      <c r="L682" s="180">
        <f>(L647/L612)*Q80</f>
        <v>6575.6109023320523</v>
      </c>
      <c r="M682" s="180">
        <f t="shared" si="23"/>
        <v>207286</v>
      </c>
      <c r="N682" s="198" t="s">
        <v>687</v>
      </c>
    </row>
    <row r="683" spans="1:14" ht="12.65" customHeight="1">
      <c r="A683" s="196">
        <v>7040</v>
      </c>
      <c r="B683" s="198" t="s">
        <v>107</v>
      </c>
      <c r="C683" s="180">
        <f>R71</f>
        <v>424852</v>
      </c>
      <c r="D683" s="180">
        <f>(D615/D612)*R76</f>
        <v>1764.0248176661264</v>
      </c>
      <c r="E683" s="180">
        <f>(E623/E612)*SUM(C683:D683)</f>
        <v>35636.330393409633</v>
      </c>
      <c r="F683" s="180">
        <f>(F624/F612)*R64</f>
        <v>62884.851387363145</v>
      </c>
      <c r="G683" s="180">
        <f>(G625/G612)*R77</f>
        <v>0</v>
      </c>
      <c r="H683" s="180">
        <f>(H628/H612)*R60</f>
        <v>7123.3814975062232</v>
      </c>
      <c r="I683" s="180">
        <f>(I629/I612)*R78</f>
        <v>1167.3900306629967</v>
      </c>
      <c r="J683" s="180">
        <f>(J630/J612)*R79</f>
        <v>0</v>
      </c>
      <c r="K683" s="180">
        <f>(K644/K612)*R75</f>
        <v>67047.138027157474</v>
      </c>
      <c r="L683" s="180">
        <f>(L647/L612)*R80</f>
        <v>1967.7943406607073</v>
      </c>
      <c r="M683" s="180">
        <f t="shared" si="23"/>
        <v>177591</v>
      </c>
      <c r="N683" s="198" t="s">
        <v>688</v>
      </c>
    </row>
    <row r="684" spans="1:14" ht="12.65" customHeight="1">
      <c r="A684" s="196">
        <v>7050</v>
      </c>
      <c r="B684" s="198" t="s">
        <v>689</v>
      </c>
      <c r="C684" s="180">
        <f>S71</f>
        <v>775649</v>
      </c>
      <c r="D684" s="180">
        <f>(D615/D612)*S76</f>
        <v>14847.637459481362</v>
      </c>
      <c r="E684" s="180">
        <f>(E623/E612)*SUM(C684:D684)</f>
        <v>66032.210954629147</v>
      </c>
      <c r="F684" s="180">
        <f>(F624/F612)*S64</f>
        <v>110434.69042492562</v>
      </c>
      <c r="G684" s="180">
        <f>(G625/G612)*S77</f>
        <v>0</v>
      </c>
      <c r="H684" s="180">
        <f>(H628/H612)*S60</f>
        <v>38496.572348225127</v>
      </c>
      <c r="I684" s="180">
        <f>(I629/I612)*S78</f>
        <v>10028.941627059379</v>
      </c>
      <c r="J684" s="180">
        <f>(J630/J612)*S79</f>
        <v>0</v>
      </c>
      <c r="K684" s="180">
        <f>(K644/K612)*S75</f>
        <v>0</v>
      </c>
      <c r="L684" s="180">
        <f>(L647/L612)*S80</f>
        <v>9631.1921766499199</v>
      </c>
      <c r="M684" s="180">
        <f t="shared" si="23"/>
        <v>249471</v>
      </c>
      <c r="N684" s="198" t="s">
        <v>690</v>
      </c>
    </row>
    <row r="685" spans="1:14" ht="12.65" customHeight="1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3"/>
        <v>0</v>
      </c>
      <c r="N685" s="198" t="s">
        <v>692</v>
      </c>
    </row>
    <row r="686" spans="1:14" ht="12.65" customHeight="1">
      <c r="A686" s="196">
        <v>7070</v>
      </c>
      <c r="B686" s="198" t="s">
        <v>109</v>
      </c>
      <c r="C686" s="180">
        <f>U71</f>
        <v>799847</v>
      </c>
      <c r="D686" s="180">
        <f>(D615/D612)*U76</f>
        <v>14112.198541329011</v>
      </c>
      <c r="E686" s="180">
        <f>(E623/E612)*SUM(C686:D686)</f>
        <v>67992.098839632134</v>
      </c>
      <c r="F686" s="180">
        <f>(F624/F612)*U64</f>
        <v>222765.27419895731</v>
      </c>
      <c r="G686" s="180">
        <f>(G625/G612)*U77</f>
        <v>0</v>
      </c>
      <c r="H686" s="180">
        <f>(H628/H612)*U60</f>
        <v>70551.789087003141</v>
      </c>
      <c r="I686" s="180">
        <f>(I629/I612)*U78</f>
        <v>9498.3097949398361</v>
      </c>
      <c r="J686" s="180">
        <f>(J630/J612)*P79</f>
        <v>0</v>
      </c>
      <c r="K686" s="180">
        <f>(K644/K612)*U75</f>
        <v>214154.81154515359</v>
      </c>
      <c r="L686" s="180">
        <f>(L647/L612)*U80</f>
        <v>20741.28569006969</v>
      </c>
      <c r="M686" s="180">
        <f t="shared" si="23"/>
        <v>619816</v>
      </c>
      <c r="N686" s="198" t="s">
        <v>693</v>
      </c>
    </row>
    <row r="687" spans="1:14" ht="12.65" customHeight="1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3"/>
        <v>0</v>
      </c>
      <c r="N687" s="198" t="s">
        <v>695</v>
      </c>
    </row>
    <row r="688" spans="1:14" ht="12.65" customHeight="1">
      <c r="A688" s="196">
        <v>7120</v>
      </c>
      <c r="B688" s="198" t="s">
        <v>696</v>
      </c>
      <c r="C688" s="180">
        <f>W71</f>
        <v>64960</v>
      </c>
      <c r="D688" s="180">
        <f>(D615/D612)*W76</f>
        <v>4536.0638168557534</v>
      </c>
      <c r="E688" s="180">
        <f>(E623/E612)*SUM(C688:D688)</f>
        <v>5805.1843980249778</v>
      </c>
      <c r="F688" s="180">
        <f>(F624/F612)*W64</f>
        <v>-2152.6289067975172</v>
      </c>
      <c r="G688" s="180">
        <f>(G625/G612)*W77</f>
        <v>0</v>
      </c>
      <c r="H688" s="180">
        <f>(H628/H612)*W60</f>
        <v>5190.9748146720895</v>
      </c>
      <c r="I688" s="180">
        <f>(I629/I612)*W78</f>
        <v>3077.6646262933546</v>
      </c>
      <c r="J688" s="180">
        <f>(J630/J612)*W79</f>
        <v>0</v>
      </c>
      <c r="K688" s="180">
        <f>(K644/K612)*W75</f>
        <v>17872.889093823491</v>
      </c>
      <c r="L688" s="180">
        <f>(L647/L612)*W80</f>
        <v>1430.0120363807623</v>
      </c>
      <c r="M688" s="180">
        <f t="shared" si="23"/>
        <v>35760</v>
      </c>
      <c r="N688" s="198" t="s">
        <v>697</v>
      </c>
    </row>
    <row r="689" spans="1:14" ht="12.65" customHeight="1">
      <c r="A689" s="196">
        <v>7130</v>
      </c>
      <c r="B689" s="198" t="s">
        <v>698</v>
      </c>
      <c r="C689" s="180">
        <f>X71</f>
        <v>489179</v>
      </c>
      <c r="D689" s="180">
        <f>(D615/D612)*X76</f>
        <v>30775.290113452189</v>
      </c>
      <c r="E689" s="180">
        <f>(E623/E612)*SUM(C689:D689)</f>
        <v>43433.115012201131</v>
      </c>
      <c r="F689" s="180">
        <f>(F624/F612)*X64</f>
        <v>17489.835577604088</v>
      </c>
      <c r="G689" s="180">
        <f>(G625/G612)*X77</f>
        <v>0</v>
      </c>
      <c r="H689" s="180">
        <f>(H628/H612)*X60</f>
        <v>20119.763697743645</v>
      </c>
      <c r="I689" s="180">
        <f>(I629/I612)*X78</f>
        <v>20747.704635874165</v>
      </c>
      <c r="J689" s="180">
        <f>(J630/J612)*X79</f>
        <v>0</v>
      </c>
      <c r="K689" s="180">
        <f>(K644/K612)*X75</f>
        <v>365697.0723806945</v>
      </c>
      <c r="L689" s="180">
        <f>(L647/L612)*X80</f>
        <v>6428.9430011647946</v>
      </c>
      <c r="M689" s="180">
        <f t="shared" si="23"/>
        <v>504692</v>
      </c>
      <c r="N689" s="198" t="s">
        <v>699</v>
      </c>
    </row>
    <row r="690" spans="1:14" ht="12.65" customHeight="1">
      <c r="A690" s="196">
        <v>7140</v>
      </c>
      <c r="B690" s="198" t="s">
        <v>1250</v>
      </c>
      <c r="C690" s="180">
        <f>Y71</f>
        <v>1475813</v>
      </c>
      <c r="D690" s="180">
        <f>(D615/D612)*Y76</f>
        <v>72314.731665316052</v>
      </c>
      <c r="E690" s="180">
        <f>(E623/E612)*SUM(C690:D690)</f>
        <v>129319.07881426692</v>
      </c>
      <c r="F690" s="180">
        <f>(F624/F612)*Y64</f>
        <v>-12756.685167856642</v>
      </c>
      <c r="G690" s="180">
        <f>(G625/G612)*Y77</f>
        <v>0</v>
      </c>
      <c r="H690" s="180">
        <f>(H628/H612)*Y60</f>
        <v>117876.80765288224</v>
      </c>
      <c r="I690" s="180">
        <f>(I629/I612)*Y78</f>
        <v>48765.065371786084</v>
      </c>
      <c r="J690" s="180">
        <f>(J630/J612)*Y79</f>
        <v>0</v>
      </c>
      <c r="K690" s="180">
        <f>(K644/K612)*Y75</f>
        <v>240464.87601424759</v>
      </c>
      <c r="L690" s="180">
        <f>(L647/L612)*Y80</f>
        <v>26742.447312829983</v>
      </c>
      <c r="M690" s="180">
        <f t="shared" si="23"/>
        <v>622726</v>
      </c>
      <c r="N690" s="198" t="s">
        <v>700</v>
      </c>
    </row>
    <row r="691" spans="1:14" ht="12.65" customHeight="1">
      <c r="A691" s="196">
        <v>7150</v>
      </c>
      <c r="B691" s="198" t="s">
        <v>701</v>
      </c>
      <c r="C691" s="180">
        <f>Z71</f>
        <v>351942</v>
      </c>
      <c r="D691" s="180">
        <f>(D615/D612)*Z76</f>
        <v>25889.507090761752</v>
      </c>
      <c r="E691" s="180">
        <f>(E623/E612)*SUM(C691:D691)</f>
        <v>31561.234544532083</v>
      </c>
      <c r="F691" s="180">
        <f>(F624/F612)*Z64</f>
        <v>1123.4923550258193</v>
      </c>
      <c r="G691" s="180">
        <f>(G625/G612)*Z77</f>
        <v>0</v>
      </c>
      <c r="H691" s="180">
        <f>(H628/H612)*Z60</f>
        <v>23226.770521124017</v>
      </c>
      <c r="I691" s="180">
        <f>(I629/I612)*Z78</f>
        <v>17457.787276732994</v>
      </c>
      <c r="J691" s="180">
        <f>(J630/J612)*Z79</f>
        <v>0</v>
      </c>
      <c r="K691" s="180">
        <f>(K644/K612)*Z75</f>
        <v>187340.57182389277</v>
      </c>
      <c r="L691" s="180">
        <f>(L647/L612)*Z80</f>
        <v>6771.1681038883962</v>
      </c>
      <c r="M691" s="180">
        <f t="shared" si="23"/>
        <v>293371</v>
      </c>
      <c r="N691" s="198" t="s">
        <v>702</v>
      </c>
    </row>
    <row r="692" spans="1:14" ht="12.65" customHeight="1">
      <c r="A692" s="196">
        <v>7160</v>
      </c>
      <c r="B692" s="198" t="s">
        <v>703</v>
      </c>
      <c r="C692" s="180">
        <f>AA71</f>
        <v>95398</v>
      </c>
      <c r="D692" s="180">
        <f>(D615/D612)*AA76</f>
        <v>1872.0263371150729</v>
      </c>
      <c r="E692" s="180">
        <f>(E623/E612)*SUM(C692:D692)</f>
        <v>8125.2146995804751</v>
      </c>
      <c r="F692" s="180">
        <f>(F624/F612)*AA64</f>
        <v>22733.165621225562</v>
      </c>
      <c r="G692" s="180">
        <f>(G625/G612)*AA77</f>
        <v>0</v>
      </c>
      <c r="H692" s="180">
        <f>(H628/H612)*AA60</f>
        <v>5531.9877587016417</v>
      </c>
      <c r="I692" s="180">
        <f>(I629/I612)*AA78</f>
        <v>1273.5163970869053</v>
      </c>
      <c r="J692" s="180">
        <f>(J630/J612)*AA79</f>
        <v>0</v>
      </c>
      <c r="K692" s="180">
        <f>(K644/K612)*AA75</f>
        <v>17614.244302422219</v>
      </c>
      <c r="L692" s="180">
        <f>(L647/L612)*AA80</f>
        <v>1381.1227359916763</v>
      </c>
      <c r="M692" s="180">
        <f t="shared" si="23"/>
        <v>58531</v>
      </c>
      <c r="N692" s="198" t="s">
        <v>704</v>
      </c>
    </row>
    <row r="693" spans="1:14" ht="12.65" customHeight="1">
      <c r="A693" s="196">
        <v>7170</v>
      </c>
      <c r="B693" s="198" t="s">
        <v>115</v>
      </c>
      <c r="C693" s="180">
        <f>AB71</f>
        <v>1142130</v>
      </c>
      <c r="D693" s="180">
        <f>(D615/D612)*AB76</f>
        <v>6469.8053079416532</v>
      </c>
      <c r="E693" s="180">
        <f>(E623/E612)*SUM(C693:D693)</f>
        <v>95945.486738933221</v>
      </c>
      <c r="F693" s="180">
        <f>(F624/F612)*AB64</f>
        <v>731571.263123287</v>
      </c>
      <c r="G693" s="180">
        <f>(G625/G612)*AB77</f>
        <v>0</v>
      </c>
      <c r="H693" s="180">
        <f>(H628/H612)*AB60</f>
        <v>3637.4714029819015</v>
      </c>
      <c r="I693" s="180">
        <f>(I629/I612)*AB78</f>
        <v>4351.1810233802598</v>
      </c>
      <c r="J693" s="180">
        <f>(J630/J612)*AB79</f>
        <v>0</v>
      </c>
      <c r="K693" s="180">
        <f>(K644/K612)*AB75</f>
        <v>92218.916336151524</v>
      </c>
      <c r="L693" s="180">
        <f>(L647/L612)*AB80</f>
        <v>13285.66738073409</v>
      </c>
      <c r="M693" s="180">
        <f t="shared" si="23"/>
        <v>947480</v>
      </c>
      <c r="N693" s="198" t="s">
        <v>705</v>
      </c>
    </row>
    <row r="694" spans="1:14" ht="12.65" customHeight="1">
      <c r="A694" s="196">
        <v>7180</v>
      </c>
      <c r="B694" s="198" t="s">
        <v>706</v>
      </c>
      <c r="C694" s="180">
        <f>AC71</f>
        <v>403003</v>
      </c>
      <c r="D694" s="180">
        <f>(D615/D612)*AC76</f>
        <v>21780.306422204216</v>
      </c>
      <c r="E694" s="180">
        <f>(E623/E612)*SUM(C694:D694)</f>
        <v>35483.238726760042</v>
      </c>
      <c r="F694" s="180">
        <f>(F624/F612)*AC64</f>
        <v>37622.730806826534</v>
      </c>
      <c r="G694" s="180">
        <f>(G625/G612)*AC77</f>
        <v>0</v>
      </c>
      <c r="H694" s="180">
        <f>(H628/H612)*AC60</f>
        <v>44710.585994985879</v>
      </c>
      <c r="I694" s="180">
        <f>(I629/I612)*AC78</f>
        <v>14698.501749711366</v>
      </c>
      <c r="J694" s="180">
        <f>(J630/J612)*AC79</f>
        <v>0</v>
      </c>
      <c r="K694" s="180">
        <f>(K644/K612)*AC75</f>
        <v>49216.441225854098</v>
      </c>
      <c r="L694" s="180">
        <f>(L647/L612)*AC80</f>
        <v>12307.881372952374</v>
      </c>
      <c r="M694" s="180">
        <f t="shared" si="23"/>
        <v>215820</v>
      </c>
      <c r="N694" s="198" t="s">
        <v>707</v>
      </c>
    </row>
    <row r="695" spans="1:14" ht="12.65" customHeight="1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3"/>
        <v>0</v>
      </c>
      <c r="N695" s="198" t="s">
        <v>708</v>
      </c>
    </row>
    <row r="696" spans="1:14" ht="12.65" customHeight="1">
      <c r="A696" s="196">
        <v>7200</v>
      </c>
      <c r="B696" s="198" t="s">
        <v>709</v>
      </c>
      <c r="C696" s="180">
        <f>AE71</f>
        <v>206240</v>
      </c>
      <c r="D696" s="180">
        <f>(D615/D612)*AE76</f>
        <v>21667.161973257698</v>
      </c>
      <c r="E696" s="180">
        <f>(E623/E612)*SUM(C696:D696)</f>
        <v>19037.669591934686</v>
      </c>
      <c r="F696" s="180">
        <f>(F624/F612)*AE64</f>
        <v>2180.0579193713897</v>
      </c>
      <c r="G696" s="180">
        <f>(G625/G612)*AE77</f>
        <v>0</v>
      </c>
      <c r="H696" s="180">
        <f>(H628/H612)*AE60</f>
        <v>30653.2746355454</v>
      </c>
      <c r="I696" s="180">
        <f>(I629/I612)*AE78</f>
        <v>14592.375383287457</v>
      </c>
      <c r="J696" s="180">
        <f>(J630/J612)*AE79</f>
        <v>0</v>
      </c>
      <c r="K696" s="180">
        <f>(K644/K612)*AE75</f>
        <v>17726.329372891581</v>
      </c>
      <c r="L696" s="180">
        <f>(L647/L612)*AE80</f>
        <v>8408.959666922774</v>
      </c>
      <c r="M696" s="180">
        <f t="shared" si="23"/>
        <v>114266</v>
      </c>
      <c r="N696" s="198" t="s">
        <v>710</v>
      </c>
    </row>
    <row r="697" spans="1:14" ht="12.65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>
      <c r="A698" s="196">
        <v>7230</v>
      </c>
      <c r="B698" s="198" t="s">
        <v>713</v>
      </c>
      <c r="C698" s="180">
        <f>AG71</f>
        <v>934579</v>
      </c>
      <c r="D698" s="180">
        <f>(D615/D612)*AG76</f>
        <v>21847.164505672608</v>
      </c>
      <c r="E698" s="180">
        <f>(E623/E612)*SUM(C698:D698)</f>
        <v>79892.729790900034</v>
      </c>
      <c r="F698" s="180">
        <f>(F624/F612)*AG64</f>
        <v>58971.279873323008</v>
      </c>
      <c r="G698" s="180">
        <f>(G625/G612)*AG77</f>
        <v>0</v>
      </c>
      <c r="H698" s="180">
        <f>(H628/H612)*AG60</f>
        <v>82487.242128037498</v>
      </c>
      <c r="I698" s="180">
        <f>(I629/I612)*AG78</f>
        <v>14751.56493292332</v>
      </c>
      <c r="J698" s="180">
        <f>(J630/J612)*AG79</f>
        <v>0</v>
      </c>
      <c r="K698" s="180">
        <f>(K644/K612)*AG75</f>
        <v>220536.24483249741</v>
      </c>
      <c r="L698" s="180">
        <f>(L647/L612)*AG80</f>
        <v>19653.498756412526</v>
      </c>
      <c r="M698" s="180">
        <f t="shared" si="23"/>
        <v>498140</v>
      </c>
      <c r="N698" s="198" t="s">
        <v>714</v>
      </c>
    </row>
    <row r="699" spans="1:14" ht="12.65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>
      <c r="A700" s="196">
        <v>7250</v>
      </c>
      <c r="B700" s="198" t="s">
        <v>716</v>
      </c>
      <c r="C700" s="180">
        <f>AI71</f>
        <v>627137</v>
      </c>
      <c r="D700" s="180">
        <f>(D615/D612)*AI76</f>
        <v>25606.645968395464</v>
      </c>
      <c r="E700" s="180">
        <f>(E623/E612)*SUM(C700:D700)</f>
        <v>54525.350377708783</v>
      </c>
      <c r="F700" s="180">
        <f>(F624/F612)*AI64</f>
        <v>100875.13096267957</v>
      </c>
      <c r="G700" s="180">
        <f>(G625/G612)*AI77</f>
        <v>0</v>
      </c>
      <c r="H700" s="180">
        <f>(H628/H612)*AI60</f>
        <v>71574.827919091797</v>
      </c>
      <c r="I700" s="180">
        <f>(I629/I612)*AI78</f>
        <v>17245.534543885176</v>
      </c>
      <c r="J700" s="180">
        <f>(J630/J612)*AI79</f>
        <v>0</v>
      </c>
      <c r="K700" s="180">
        <f>(K644/K612)*AI75</f>
        <v>42516.905225046896</v>
      </c>
      <c r="L700" s="180">
        <f>(L647/L612)*AI80</f>
        <v>20264.615011276099</v>
      </c>
      <c r="M700" s="180">
        <f t="shared" si="23"/>
        <v>332609</v>
      </c>
      <c r="N700" s="198" t="s">
        <v>717</v>
      </c>
    </row>
    <row r="701" spans="1:14" ht="12.65" customHeight="1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3"/>
        <v>0</v>
      </c>
      <c r="N701" s="198" t="s">
        <v>718</v>
      </c>
    </row>
    <row r="702" spans="1:14" ht="12.65" customHeight="1">
      <c r="A702" s="196">
        <v>7310</v>
      </c>
      <c r="B702" s="198" t="s">
        <v>719</v>
      </c>
      <c r="C702" s="180">
        <f>AK71</f>
        <v>34218</v>
      </c>
      <c r="D702" s="180">
        <f>(D615/D612)*AK76</f>
        <v>0</v>
      </c>
      <c r="E702" s="180">
        <f>(E623/E612)*SUM(C702:D702)</f>
        <v>2858.3172747035437</v>
      </c>
      <c r="F702" s="180">
        <f>(F624/F612)*AK64</f>
        <v>1473.4865554684329</v>
      </c>
      <c r="G702" s="180">
        <f>(G625/G612)*AK77</f>
        <v>0</v>
      </c>
      <c r="H702" s="180">
        <f>(H628/H612)*AK60</f>
        <v>3561.6907487531121</v>
      </c>
      <c r="I702" s="180">
        <f>(I629/I612)*AK78</f>
        <v>0</v>
      </c>
      <c r="J702" s="180">
        <f>(J630/J612)*AK79</f>
        <v>0</v>
      </c>
      <c r="K702" s="180">
        <f>(K644/K612)*AK75</f>
        <v>4991.2387617950226</v>
      </c>
      <c r="L702" s="180">
        <f>(L647/L612)*AK80</f>
        <v>818.89578151718877</v>
      </c>
      <c r="M702" s="180">
        <f t="shared" si="23"/>
        <v>13704</v>
      </c>
      <c r="N702" s="198" t="s">
        <v>720</v>
      </c>
    </row>
    <row r="703" spans="1:14" ht="12.65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3"/>
        <v>0</v>
      </c>
      <c r="N703" s="198" t="s">
        <v>722</v>
      </c>
    </row>
    <row r="704" spans="1:14" ht="12.65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3"/>
        <v>0</v>
      </c>
      <c r="N706" s="198" t="s">
        <v>728</v>
      </c>
    </row>
    <row r="707" spans="1:83" ht="12.65" customHeight="1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3"/>
        <v>0</v>
      </c>
      <c r="N707" s="198" t="s">
        <v>730</v>
      </c>
    </row>
    <row r="708" spans="1:83" ht="12.65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>
      <c r="A713" s="196">
        <v>7490</v>
      </c>
      <c r="B713" s="198" t="s">
        <v>740</v>
      </c>
      <c r="C713" s="180">
        <f>AV71</f>
        <v>915563</v>
      </c>
      <c r="D713" s="180">
        <f>(D615/D612)*AV76</f>
        <v>0</v>
      </c>
      <c r="E713" s="180">
        <f>(E623/E612)*SUM(C713:D713)</f>
        <v>76479.324886884118</v>
      </c>
      <c r="F713" s="180">
        <f>(F624/F612)*AV64</f>
        <v>11959.049482208427</v>
      </c>
      <c r="G713" s="180">
        <f>(G625/G612)*AV77</f>
        <v>0</v>
      </c>
      <c r="H713" s="180">
        <f>(H628/H612)*AV60</f>
        <v>114656.12984815869</v>
      </c>
      <c r="I713" s="180">
        <f>(I629/I612)*AV78</f>
        <v>156058.82182635786</v>
      </c>
      <c r="J713" s="180">
        <f>(J630/J612)*AV79</f>
        <v>0</v>
      </c>
      <c r="K713" s="180">
        <f>(K644/K612)*AV75</f>
        <v>322910.37046582089</v>
      </c>
      <c r="L713" s="180">
        <f>(L647/L612)*AV80</f>
        <v>160735.79735421712</v>
      </c>
      <c r="M713" s="180">
        <f t="shared" si="23"/>
        <v>842799</v>
      </c>
      <c r="N713" s="199" t="s">
        <v>741</v>
      </c>
    </row>
    <row r="715" spans="1:83" ht="12.65" customHeight="1">
      <c r="C715" s="180">
        <f>SUM(C614:C647)+SUM(C668:C713)</f>
        <v>23475082</v>
      </c>
      <c r="D715" s="180">
        <f>SUM(D616:D647)+SUM(D668:D713)</f>
        <v>660023</v>
      </c>
      <c r="E715" s="180">
        <f>SUM(E624:E647)+SUM(E668:E713)</f>
        <v>1809759.9043760132</v>
      </c>
      <c r="F715" s="180">
        <f>SUM(F625:F648)+SUM(F668:F713)</f>
        <v>2279894.0393377705</v>
      </c>
      <c r="G715" s="180">
        <f>SUM(G626:G647)+SUM(G668:G713)</f>
        <v>649046.1547046206</v>
      </c>
      <c r="H715" s="180">
        <f>SUM(H629:H647)+SUM(H668:H713)</f>
        <v>1444947.6245074461</v>
      </c>
      <c r="I715" s="180">
        <f>SUM(I630:I647)+SUM(I668:I713)</f>
        <v>538962.75188382063</v>
      </c>
      <c r="J715" s="180" t="e">
        <f>SUM(J631:J647)+SUM(J668:J713)</f>
        <v>#REF!</v>
      </c>
      <c r="K715" s="180">
        <f>SUM(K668:K713)</f>
        <v>2664965.1286569797</v>
      </c>
      <c r="L715" s="180">
        <f>SUM(L668:L713)</f>
        <v>448192.66131694487</v>
      </c>
      <c r="M715" s="180" t="e">
        <f>SUM(M668:M713)</f>
        <v>#REF!</v>
      </c>
      <c r="N715" s="198" t="s">
        <v>742</v>
      </c>
    </row>
    <row r="716" spans="1:83" ht="12.65" customHeight="1">
      <c r="C716" s="180">
        <f>CE71</f>
        <v>23475082</v>
      </c>
      <c r="D716" s="180">
        <f>D615</f>
        <v>660023</v>
      </c>
      <c r="E716" s="180">
        <f>E623</f>
        <v>1809759.9043760132</v>
      </c>
      <c r="F716" s="180">
        <f>F624</f>
        <v>2279894.039337771</v>
      </c>
      <c r="G716" s="180">
        <f>G625</f>
        <v>649046.1547046206</v>
      </c>
      <c r="H716" s="180">
        <f>H628</f>
        <v>1444947.6245074463</v>
      </c>
      <c r="I716" s="180">
        <f>I629</f>
        <v>538962.75188382075</v>
      </c>
      <c r="J716" s="180">
        <f>J630</f>
        <v>0</v>
      </c>
      <c r="K716" s="180">
        <f>K644</f>
        <v>2664965.1286569792</v>
      </c>
      <c r="L716" s="180">
        <f>L647</f>
        <v>448192.66131694481</v>
      </c>
      <c r="M716" s="180">
        <f>C648</f>
        <v>9238901</v>
      </c>
      <c r="N716" s="198" t="s">
        <v>743</v>
      </c>
    </row>
    <row r="717" spans="1:83" ht="12.65" customHeight="1">
      <c r="O717" s="198"/>
    </row>
    <row r="718" spans="1:83" ht="12.65" customHeight="1">
      <c r="O718" s="198"/>
    </row>
    <row r="719" spans="1:83" ht="12.65" customHeight="1">
      <c r="O719" s="198"/>
    </row>
    <row r="720" spans="1:83" s="201" customFormat="1" ht="12.65" customHeight="1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>
      <c r="A722" s="202" t="e">
        <f>RIGHT(C83,3)&amp;"*"&amp;RIGHT(C82,4)&amp;"*"&amp;"A"</f>
        <v>#VALUE!</v>
      </c>
      <c r="B722" s="273">
        <f>ROUND(C165,0)</f>
        <v>695345</v>
      </c>
      <c r="C722" s="273">
        <f>ROUND(C166,0)</f>
        <v>138664</v>
      </c>
      <c r="D722" s="273">
        <f>ROUND(C167,0)</f>
        <v>135943</v>
      </c>
      <c r="E722" s="273">
        <f>ROUND(C168,0)</f>
        <v>767246</v>
      </c>
      <c r="F722" s="273">
        <f>ROUND(C169,0)</f>
        <v>14031</v>
      </c>
      <c r="G722" s="273">
        <f>ROUND(C170,0)</f>
        <v>0</v>
      </c>
      <c r="H722" s="273">
        <f>ROUND(C171+C172,0)</f>
        <v>94668</v>
      </c>
      <c r="I722" s="273">
        <f>ROUND(C175,0)</f>
        <v>174674</v>
      </c>
      <c r="J722" s="273">
        <f>ROUND(C176,0)</f>
        <v>446769</v>
      </c>
      <c r="K722" s="273">
        <f>ROUND(C179,0)</f>
        <v>86601</v>
      </c>
      <c r="L722" s="273">
        <f>ROUND(C180,0)</f>
        <v>25330</v>
      </c>
      <c r="M722" s="273">
        <f>ROUND(C183,0)</f>
        <v>0</v>
      </c>
      <c r="N722" s="273">
        <f>ROUND(C184,0)</f>
        <v>185821</v>
      </c>
      <c r="O722" s="273">
        <f>ROUND(C185,0)</f>
        <v>976371</v>
      </c>
      <c r="P722" s="273">
        <f>ROUND(C188,0)</f>
        <v>0</v>
      </c>
      <c r="Q722" s="273">
        <f>ROUND(C189,0)</f>
        <v>2513722</v>
      </c>
      <c r="R722" s="273">
        <f>ROUND(B195,0)</f>
        <v>3160000</v>
      </c>
      <c r="S722" s="273">
        <f>ROUND(C195,0)</f>
        <v>0</v>
      </c>
      <c r="T722" s="273">
        <f>ROUND(D195,0)</f>
        <v>0</v>
      </c>
      <c r="U722" s="273">
        <f>ROUND(B196,0)</f>
        <v>710000</v>
      </c>
      <c r="V722" s="273">
        <f>ROUND(C196,0)</f>
        <v>0</v>
      </c>
      <c r="W722" s="273">
        <f>ROUND(D196,0)</f>
        <v>0</v>
      </c>
      <c r="X722" s="273">
        <f>ROUND(B197,0)</f>
        <v>38437221</v>
      </c>
      <c r="Y722" s="273">
        <f>ROUND(C197,0)</f>
        <v>0</v>
      </c>
      <c r="Z722" s="273">
        <f>ROUND(D197,0)</f>
        <v>0</v>
      </c>
      <c r="AA722" s="273">
        <f>ROUND(B198,0)</f>
        <v>0</v>
      </c>
      <c r="AB722" s="273">
        <f>ROUND(C198,0)</f>
        <v>0</v>
      </c>
      <c r="AC722" s="273">
        <f>ROUND(D198,0)</f>
        <v>0</v>
      </c>
      <c r="AD722" s="273">
        <f>ROUND(B199,0)</f>
        <v>21305025</v>
      </c>
      <c r="AE722" s="273">
        <f>ROUND(C199,0)</f>
        <v>12313</v>
      </c>
      <c r="AF722" s="273">
        <f>ROUND(D199,0)</f>
        <v>0</v>
      </c>
      <c r="AG722" s="273">
        <f>ROUND(B200,0)</f>
        <v>14487532</v>
      </c>
      <c r="AH722" s="273">
        <f>ROUND(C200,0)</f>
        <v>207443</v>
      </c>
      <c r="AI722" s="273">
        <f>ROUND(D200,0)</f>
        <v>0</v>
      </c>
      <c r="AJ722" s="273">
        <f>ROUND(B201,0)</f>
        <v>7733715</v>
      </c>
      <c r="AK722" s="273">
        <f>ROUND(C201,0)</f>
        <v>514471</v>
      </c>
      <c r="AL722" s="273">
        <f>ROUND(D201,0)</f>
        <v>0</v>
      </c>
      <c r="AM722" s="273">
        <f>ROUND(B202,0)</f>
        <v>4521546</v>
      </c>
      <c r="AN722" s="273">
        <f>ROUND(C202,0)</f>
        <v>0</v>
      </c>
      <c r="AO722" s="273">
        <f>ROUND(D202,0)</f>
        <v>0</v>
      </c>
      <c r="AP722" s="273">
        <f>ROUND(B203,0)</f>
        <v>491978</v>
      </c>
      <c r="AQ722" s="273">
        <f>ROUND(C203,0)</f>
        <v>490344</v>
      </c>
      <c r="AR722" s="273">
        <f>ROUND(D203,0)</f>
        <v>0</v>
      </c>
      <c r="AS722" s="273"/>
      <c r="AT722" s="273"/>
      <c r="AU722" s="273"/>
      <c r="AV722" s="273">
        <f>ROUND(B209,0)</f>
        <v>414166</v>
      </c>
      <c r="AW722" s="273">
        <f>ROUND(C209,0)</f>
        <v>0</v>
      </c>
      <c r="AX722" s="273">
        <f>ROUND(D209,0)</f>
        <v>0</v>
      </c>
      <c r="AY722" s="273">
        <f>ROUND(B210,0)</f>
        <v>7719190</v>
      </c>
      <c r="AZ722" s="273">
        <f>ROUND(C210,0)</f>
        <v>0</v>
      </c>
      <c r="BA722" s="273">
        <f>ROUND(D210,0)</f>
        <v>0</v>
      </c>
      <c r="BB722" s="273">
        <f>ROUND(B211,0)</f>
        <v>0</v>
      </c>
      <c r="BC722" s="273">
        <f>ROUND(C211,0)</f>
        <v>0</v>
      </c>
      <c r="BD722" s="273">
        <f>ROUND(D211,0)</f>
        <v>0</v>
      </c>
      <c r="BE722" s="273">
        <f>ROUND(B212,0)</f>
        <v>3539791</v>
      </c>
      <c r="BF722" s="273">
        <f>ROUND(C212,0)</f>
        <v>0</v>
      </c>
      <c r="BG722" s="273">
        <f>ROUND(D212,0)</f>
        <v>0</v>
      </c>
      <c r="BH722" s="273">
        <f>ROUND(B213,0)</f>
        <v>7763942</v>
      </c>
      <c r="BI722" s="273">
        <f>ROUND(C213,0)</f>
        <v>0</v>
      </c>
      <c r="BJ722" s="273">
        <f>ROUND(D213,0)</f>
        <v>0</v>
      </c>
      <c r="BK722" s="273">
        <f>ROUND(B214,0)</f>
        <v>3130334</v>
      </c>
      <c r="BL722" s="273">
        <f>ROUND(C214,0)</f>
        <v>0</v>
      </c>
      <c r="BM722" s="273">
        <f>ROUND(D214,0)</f>
        <v>0</v>
      </c>
      <c r="BN722" s="273">
        <f>ROUND(B215,0)</f>
        <v>1553082</v>
      </c>
      <c r="BO722" s="273">
        <f>ROUND(C215,0)</f>
        <v>0</v>
      </c>
      <c r="BP722" s="273">
        <f>ROUND(D215,0)</f>
        <v>0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40935943</v>
      </c>
      <c r="BU722" s="273">
        <f>ROUND(C224,0)</f>
        <v>1664479</v>
      </c>
      <c r="BV722" s="273">
        <f>ROUND(C225,0)</f>
        <v>1230332</v>
      </c>
      <c r="BW722" s="273">
        <f>ROUND(C226,0)</f>
        <v>3838853</v>
      </c>
      <c r="BX722" s="273">
        <f>ROUND(C227,0)</f>
        <v>0</v>
      </c>
      <c r="BY722" s="273">
        <f>ROUND(C228,0)</f>
        <v>70420745</v>
      </c>
      <c r="BZ722" s="273">
        <f>ROUND(C231,0)</f>
        <v>0</v>
      </c>
      <c r="CA722" s="273">
        <f>ROUND(C233,0)</f>
        <v>70926</v>
      </c>
      <c r="CB722" s="273">
        <f>ROUND(C234,0)</f>
        <v>263674</v>
      </c>
      <c r="CC722" s="273">
        <f>ROUND(C238+C239,0)</f>
        <v>0</v>
      </c>
      <c r="CD722" s="273">
        <f>D221</f>
        <v>887218</v>
      </c>
      <c r="CE722" s="273"/>
    </row>
    <row r="723" spans="1:84" ht="12.65" customHeight="1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>
      <c r="A726" s="202" t="e">
        <f>RIGHT(C83,3)&amp;"*"&amp;RIGHT(C82,4)&amp;"*"&amp;"A"</f>
        <v>#VALUE!</v>
      </c>
      <c r="B726" s="273">
        <f>ROUND(C111,0)</f>
        <v>844</v>
      </c>
      <c r="C726" s="273">
        <f>ROUND(C112,0)</f>
        <v>0</v>
      </c>
      <c r="D726" s="273">
        <f>ROUND(C113,0)</f>
        <v>0</v>
      </c>
      <c r="E726" s="273">
        <f>ROUND(C114,0)</f>
        <v>150</v>
      </c>
      <c r="F726" s="273">
        <f>ROUND(D111,0)</f>
        <v>2704</v>
      </c>
      <c r="G726" s="273">
        <f>ROUND(D112,0)</f>
        <v>0</v>
      </c>
      <c r="H726" s="273">
        <f>ROUND(D113,0)</f>
        <v>0</v>
      </c>
      <c r="I726" s="273">
        <f>ROUND(D114,0)</f>
        <v>217</v>
      </c>
      <c r="J726" s="273">
        <f>ROUND(C116,0)</f>
        <v>10</v>
      </c>
      <c r="K726" s="273">
        <f>ROUND(C117,0)</f>
        <v>22</v>
      </c>
      <c r="L726" s="273">
        <f>ROUND(C118,0)</f>
        <v>41</v>
      </c>
      <c r="M726" s="273">
        <f>ROUND(C119,0)</f>
        <v>0</v>
      </c>
      <c r="N726" s="273">
        <f>ROUND(C120,0)</f>
        <v>15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107</v>
      </c>
      <c r="W726" s="273">
        <f>ROUND(C129,0)</f>
        <v>7</v>
      </c>
      <c r="X726" s="273">
        <f>ROUND(B138,0)</f>
        <v>266</v>
      </c>
      <c r="Y726" s="273">
        <f>ROUND(B139,0)</f>
        <v>1046</v>
      </c>
      <c r="Z726" s="273">
        <f>ROUND(B140,0)</f>
        <v>4990</v>
      </c>
      <c r="AA726" s="273">
        <f>ROUND(B141,0)</f>
        <v>20935567</v>
      </c>
      <c r="AB726" s="273">
        <f>ROUND(B142,0)</f>
        <v>26305831</v>
      </c>
      <c r="AC726" s="273">
        <f>ROUND(C138,0)</f>
        <v>28</v>
      </c>
      <c r="AD726" s="273">
        <f>ROUND(C139,0)</f>
        <v>66</v>
      </c>
      <c r="AE726" s="273">
        <f>ROUND(C140,0)</f>
        <v>208</v>
      </c>
      <c r="AF726" s="273">
        <f>ROUND(C141,0)</f>
        <v>1181141</v>
      </c>
      <c r="AG726" s="273">
        <f>ROUND(C142,0)</f>
        <v>1480523</v>
      </c>
      <c r="AH726" s="273">
        <f>ROUND(D138,0)</f>
        <v>550</v>
      </c>
      <c r="AI726" s="273">
        <f>ROUND(D139,0)</f>
        <v>1592</v>
      </c>
      <c r="AJ726" s="273">
        <f>ROUND(D140,0)</f>
        <v>10749</v>
      </c>
      <c r="AK726" s="273">
        <f>ROUND(D141,0)</f>
        <v>31765231</v>
      </c>
      <c r="AL726" s="273">
        <f>ROUND(D142,0)</f>
        <v>59562763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>
      <c r="A730" s="202" t="e">
        <f>RIGHT(C83,3)&amp;"*"&amp;RIGHT(C82,4)&amp;"*"&amp;"A"</f>
        <v>#VALUE!</v>
      </c>
      <c r="B730" s="273">
        <f>ROUND(C250,0)</f>
        <v>-1802271</v>
      </c>
      <c r="C730" s="273">
        <f>ROUND(C251,0)</f>
        <v>0</v>
      </c>
      <c r="D730" s="273">
        <f>ROUND(C252,0)</f>
        <v>18451614</v>
      </c>
      <c r="E730" s="273">
        <f>ROUND(C253,0)</f>
        <v>6956002</v>
      </c>
      <c r="F730" s="273">
        <f>ROUND(C254,0)</f>
        <v>0</v>
      </c>
      <c r="G730" s="273">
        <f>ROUND(C255,0)</f>
        <v>1989218</v>
      </c>
      <c r="H730" s="273">
        <f>ROUND(C256,0)</f>
        <v>39449</v>
      </c>
      <c r="I730" s="273">
        <f>ROUND(C257,0)</f>
        <v>3563517</v>
      </c>
      <c r="J730" s="273">
        <f>ROUND(C258,0)</f>
        <v>976209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3160000</v>
      </c>
      <c r="P730" s="273">
        <f>ROUND(C268,0)</f>
        <v>710000</v>
      </c>
      <c r="Q730" s="273">
        <f>ROUND(C269,0)</f>
        <v>44944891</v>
      </c>
      <c r="R730" s="273">
        <f>ROUND(C270,0)</f>
        <v>21305026</v>
      </c>
      <c r="S730" s="273">
        <f>ROUND(C271,0)</f>
        <v>0</v>
      </c>
      <c r="T730" s="273">
        <f>ROUND(C272,0)</f>
        <v>18964693</v>
      </c>
      <c r="U730" s="273">
        <f>ROUND(C273,0)</f>
        <v>2004656</v>
      </c>
      <c r="V730" s="273">
        <f>ROUND(C274,0)</f>
        <v>982323</v>
      </c>
      <c r="W730" s="273">
        <f>ROUND(C275,0)</f>
        <v>0</v>
      </c>
      <c r="X730" s="273">
        <f>ROUND(C276,0)</f>
        <v>24120505</v>
      </c>
      <c r="Y730" s="273">
        <f>ROUND(C279,0)</f>
        <v>0</v>
      </c>
      <c r="Z730" s="273">
        <f>ROUND(C280,0)</f>
        <v>0</v>
      </c>
      <c r="AA730" s="273">
        <f>ROUND(C281,0)</f>
        <v>448809</v>
      </c>
      <c r="AB730" s="273">
        <f>ROUND(C282,0)</f>
        <v>1799432</v>
      </c>
      <c r="AC730" s="273">
        <f>ROUND(C286,0)</f>
        <v>0</v>
      </c>
      <c r="AD730" s="273">
        <f>ROUND(C287,0)</f>
        <v>0</v>
      </c>
      <c r="AE730" s="273">
        <f>ROUND(C288,0)</f>
        <v>0</v>
      </c>
      <c r="AF730" s="273">
        <f>ROUND(C289,0)</f>
        <v>0</v>
      </c>
      <c r="AG730" s="273">
        <f>ROUND(C304,0)</f>
        <v>0</v>
      </c>
      <c r="AH730" s="273">
        <f>ROUND(C305,0)</f>
        <v>4493423</v>
      </c>
      <c r="AI730" s="273">
        <f>ROUND(C306,0)</f>
        <v>3528620</v>
      </c>
      <c r="AJ730" s="273">
        <f>ROUND(C307,0)</f>
        <v>347596</v>
      </c>
      <c r="AK730" s="273">
        <f>ROUND(C308,0)</f>
        <v>0</v>
      </c>
      <c r="AL730" s="273">
        <f>ROUND(C309,0)</f>
        <v>0</v>
      </c>
      <c r="AM730" s="273">
        <f>ROUND(C310,0)</f>
        <v>0</v>
      </c>
      <c r="AN730" s="273">
        <f>ROUND(C311,0)</f>
        <v>0</v>
      </c>
      <c r="AO730" s="273">
        <f>ROUND(C312,0)</f>
        <v>19876907</v>
      </c>
      <c r="AP730" s="273">
        <f>ROUND(C313,0)</f>
        <v>0</v>
      </c>
      <c r="AQ730" s="273">
        <f>ROUND(C316,0)</f>
        <v>0</v>
      </c>
      <c r="AR730" s="273">
        <f>ROUND(C317,0)</f>
        <v>0</v>
      </c>
      <c r="AS730" s="273">
        <f>ROUND(C318,0)</f>
        <v>1540456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113282771</v>
      </c>
      <c r="AX730" s="273">
        <f>ROUND(C325,0)</f>
        <v>0</v>
      </c>
      <c r="AY730" s="273">
        <f>ROUND(C326,0)</f>
        <v>-31028499</v>
      </c>
      <c r="AZ730" s="273">
        <f>ROUND(C327,0)</f>
        <v>0</v>
      </c>
      <c r="BA730" s="273">
        <f>ROUND(C328,0)</f>
        <v>0</v>
      </c>
      <c r="BB730" s="273">
        <f>ROUND(C332,0)</f>
        <v>0</v>
      </c>
      <c r="BC730" s="273"/>
      <c r="BD730" s="273"/>
      <c r="BE730" s="273">
        <f>ROUND(C337,0)</f>
        <v>-8128883</v>
      </c>
      <c r="BF730" s="273">
        <f>ROUND(C336,0)</f>
        <v>0</v>
      </c>
      <c r="BG730" s="273"/>
      <c r="BH730" s="273"/>
      <c r="BI730" s="273">
        <f>ROUND(CE60,2)</f>
        <v>440.15</v>
      </c>
      <c r="BJ730" s="273">
        <f>ROUND(C359,0)</f>
        <v>53881939</v>
      </c>
      <c r="BK730" s="273">
        <f>ROUND(C360,0)</f>
        <v>87349117</v>
      </c>
      <c r="BL730" s="273">
        <f>ROUND(C364,0)</f>
        <v>117631015</v>
      </c>
      <c r="BM730" s="273">
        <f>ROUND(C365,0)</f>
        <v>788583</v>
      </c>
      <c r="BN730" s="273">
        <f>ROUND(C366,0)</f>
        <v>5356</v>
      </c>
      <c r="BO730" s="273">
        <f>ROUND(C370,0)</f>
        <v>48385</v>
      </c>
      <c r="BP730" s="273">
        <f>ROUND(C371,0)</f>
        <v>0</v>
      </c>
      <c r="BQ730" s="273">
        <f>ROUND(C378,0)</f>
        <v>9508095</v>
      </c>
      <c r="BR730" s="273">
        <f>ROUND(C379,0)</f>
        <v>1845896</v>
      </c>
      <c r="BS730" s="273">
        <f>ROUND(C380,0)</f>
        <v>1339041</v>
      </c>
      <c r="BT730" s="273">
        <f>ROUND(C381,0)</f>
        <v>4057074</v>
      </c>
      <c r="BU730" s="273">
        <f>ROUND(C382,0)</f>
        <v>248783</v>
      </c>
      <c r="BV730" s="273">
        <f>ROUND(C383,0)</f>
        <v>2758397</v>
      </c>
      <c r="BW730" s="273">
        <f>ROUND(C384,0)</f>
        <v>0</v>
      </c>
      <c r="BX730" s="273">
        <f>ROUND(C385,0)</f>
        <v>621444</v>
      </c>
      <c r="BY730" s="273">
        <f>ROUND(C386,0)</f>
        <v>111932</v>
      </c>
      <c r="BZ730" s="273">
        <f>ROUND(C387,0)</f>
        <v>1162192</v>
      </c>
      <c r="CA730" s="273">
        <f>ROUND(C388,0)</f>
        <v>2513722</v>
      </c>
      <c r="CB730" s="273">
        <f>C363</f>
        <v>887218</v>
      </c>
      <c r="CC730" s="273">
        <f>ROUND(C389,0)</f>
        <v>-691514</v>
      </c>
      <c r="CD730" s="273">
        <f>ROUND(C392,0)</f>
        <v>0</v>
      </c>
      <c r="CE730" s="273">
        <f>ROUND(C394,0)</f>
        <v>0</v>
      </c>
      <c r="CF730" s="201">
        <f>ROUND(C395,0)</f>
        <v>0</v>
      </c>
    </row>
    <row r="731" spans="1:84" ht="12.65" customHeight="1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>
      <c r="A734" s="202" t="e">
        <f>RIGHT($C$83,3)&amp;"*"&amp;RIGHT($C$82,4)&amp;"*"&amp;C$55&amp;"*"&amp;"A"</f>
        <v>#VALUE!</v>
      </c>
      <c r="B734" s="273">
        <f>ROUND(C59,0)</f>
        <v>1382</v>
      </c>
      <c r="C734" s="273">
        <f>ROUND(C60,2)</f>
        <v>52.08</v>
      </c>
      <c r="D734" s="273">
        <f>ROUND(C61,0)</f>
        <v>1316573</v>
      </c>
      <c r="E734" s="273">
        <f>ROUND(C62,0)</f>
        <v>97412</v>
      </c>
      <c r="F734" s="273">
        <f>ROUND(C63,0)</f>
        <v>129300</v>
      </c>
      <c r="G734" s="273">
        <f>ROUND(C64,0)</f>
        <v>55397</v>
      </c>
      <c r="H734" s="273">
        <f>ROUND(C65,0)</f>
        <v>0</v>
      </c>
      <c r="I734" s="273">
        <f>ROUND(C66,0)</f>
        <v>15692</v>
      </c>
      <c r="J734" s="273">
        <f>ROUND(C67,0)</f>
        <v>0</v>
      </c>
      <c r="K734" s="273">
        <f>ROUND(C68,0)</f>
        <v>8674</v>
      </c>
      <c r="L734" s="273">
        <f>ROUND(C69,0)</f>
        <v>48178</v>
      </c>
      <c r="M734" s="273">
        <f>ROUND(C70,0)</f>
        <v>0</v>
      </c>
      <c r="N734" s="273">
        <f>ROUND(C75,0)</f>
        <v>8015632</v>
      </c>
      <c r="O734" s="273">
        <f>ROUND(C73,0)</f>
        <v>7542938</v>
      </c>
      <c r="P734" s="273">
        <f>IF(C76&gt;0,ROUND(C76,0),0)</f>
        <v>8412</v>
      </c>
      <c r="Q734" s="273">
        <f>IF(C77&gt;0,ROUND(C77,0),0)</f>
        <v>920</v>
      </c>
      <c r="R734" s="273">
        <f>IF(C78&gt;0,ROUND(C78,0),0)</f>
        <v>550</v>
      </c>
      <c r="S734" s="273">
        <f>IF(C79&gt;0,ROUND(C79,0),0)</f>
        <v>17681</v>
      </c>
      <c r="T734" s="273">
        <f>IF(C80&gt;0,ROUND(C80,2),0)</f>
        <v>44.38</v>
      </c>
      <c r="U734" s="273"/>
      <c r="V734" s="273"/>
      <c r="W734" s="273"/>
      <c r="X734" s="273"/>
      <c r="Y734" s="273">
        <f>IF(M668&lt;&gt;0,ROUND(M668,0),0)</f>
        <v>743707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>
      <c r="A735" s="209" t="e">
        <f>RIGHT($C$83,3)&amp;"*"&amp;RIGHT($C$82,4)&amp;"*"&amp;D$55&amp;"*"&amp;"A"</f>
        <v>#VALUE!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0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4">IF(M669&lt;&gt;0,ROUND(M669,0),0)</f>
        <v>0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>
      <c r="A736" s="209" t="e">
        <f>RIGHT($C$83,3)&amp;"*"&amp;RIGHT($C$82,4)&amp;"*"&amp;E$55&amp;"*"&amp;"A"</f>
        <v>#VALUE!</v>
      </c>
      <c r="B736" s="273">
        <f>ROUND(E59,0)</f>
        <v>1194</v>
      </c>
      <c r="C736" s="275">
        <f>ROUND(E60,2)</f>
        <v>37.32</v>
      </c>
      <c r="D736" s="273">
        <f>ROUND(E61,0)</f>
        <v>821747</v>
      </c>
      <c r="E736" s="273">
        <f>ROUND(E62,0)</f>
        <v>60030</v>
      </c>
      <c r="F736" s="273">
        <f>ROUND(E63,0)</f>
        <v>0</v>
      </c>
      <c r="G736" s="273">
        <f>ROUND(E64,0)</f>
        <v>43008</v>
      </c>
      <c r="H736" s="273">
        <f>ROUND(E65,0)</f>
        <v>0</v>
      </c>
      <c r="I736" s="273">
        <f>ROUND(E66,0)</f>
        <v>9864</v>
      </c>
      <c r="J736" s="273">
        <f>ROUND(E67,0)</f>
        <v>0</v>
      </c>
      <c r="K736" s="273">
        <f>ROUND(E68,0)</f>
        <v>13324</v>
      </c>
      <c r="L736" s="273">
        <f>ROUND(E69,0)</f>
        <v>10324</v>
      </c>
      <c r="M736" s="273">
        <f>ROUND(E70,0)</f>
        <v>0</v>
      </c>
      <c r="N736" s="273">
        <f>ROUND(E75,0)</f>
        <v>3425125</v>
      </c>
      <c r="O736" s="273">
        <f>ROUND(E73,0)</f>
        <v>3146150</v>
      </c>
      <c r="P736" s="273">
        <f>IF(E76&gt;0,ROUND(E76,0),0)</f>
        <v>11950</v>
      </c>
      <c r="Q736" s="273">
        <f>IF(E77&gt;0,ROUND(E77,0),0)</f>
        <v>3545</v>
      </c>
      <c r="R736" s="273">
        <f>IF(E78&gt;0,ROUND(E78,0),0)</f>
        <v>781</v>
      </c>
      <c r="S736" s="273">
        <f>IF(E79&gt;0,ROUND(E79,0),0)</f>
        <v>32648</v>
      </c>
      <c r="T736" s="275">
        <f>IF(E80&gt;0,ROUND(E80,2),0)</f>
        <v>31.68</v>
      </c>
      <c r="U736" s="273"/>
      <c r="V736" s="274"/>
      <c r="W736" s="273"/>
      <c r="X736" s="273"/>
      <c r="Y736" s="273">
        <f t="shared" si="24"/>
        <v>728225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>
      <c r="A737" s="209" t="e">
        <f>RIGHT($C$83,3)&amp;"*"&amp;RIGHT($C$82,4)&amp;"*"&amp;F$55&amp;"*"&amp;"A"</f>
        <v>#VALUE!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4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>
      <c r="A738" s="209" t="e">
        <f>RIGHT($C$83,3)&amp;"*"&amp;RIGHT($C$82,4)&amp;"*"&amp;G$55&amp;"*"&amp;"A"</f>
        <v>#VALUE!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4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>
      <c r="A739" s="209" t="e">
        <f>RIGHT($C$83,3)&amp;"*"&amp;RIGHT($C$82,4)&amp;"*"&amp;H$55&amp;"*"&amp;"A"</f>
        <v>#VALUE!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4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>
      <c r="A740" s="209" t="e">
        <f>RIGHT($C$83,3)&amp;"*"&amp;RIGHT($C$82,4)&amp;"*"&amp;I$55&amp;"*"&amp;"A"</f>
        <v>#VALUE!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4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>
      <c r="A741" s="209" t="e">
        <f>RIGHT($C$83,3)&amp;"*"&amp;RIGHT($C$82,4)&amp;"*"&amp;J$55&amp;"*"&amp;"A"</f>
        <v>#VALUE!</v>
      </c>
      <c r="B741" s="273">
        <f>ROUND(J59,0)</f>
        <v>233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165337</v>
      </c>
      <c r="G741" s="273">
        <f>ROUND(J64,0)</f>
        <v>4493</v>
      </c>
      <c r="H741" s="273">
        <f>ROUND(J65,0)</f>
        <v>0</v>
      </c>
      <c r="I741" s="273">
        <f>ROUND(J66,0)</f>
        <v>18372</v>
      </c>
      <c r="J741" s="273">
        <f>ROUND(J67,0)</f>
        <v>0</v>
      </c>
      <c r="K741" s="273">
        <f>ROUND(J68,0)</f>
        <v>0</v>
      </c>
      <c r="L741" s="273">
        <f>ROUND(J69,0)</f>
        <v>357</v>
      </c>
      <c r="M741" s="273">
        <f>ROUND(J70,0)</f>
        <v>0</v>
      </c>
      <c r="N741" s="273">
        <f>ROUND(J75,0)</f>
        <v>851673</v>
      </c>
      <c r="O741" s="273">
        <f>ROUND(J73,0)</f>
        <v>850287</v>
      </c>
      <c r="P741" s="273">
        <f>IF(J76&gt;0,ROUND(J76,0),0)</f>
        <v>713</v>
      </c>
      <c r="Q741" s="273">
        <f>IF(J77&gt;0,ROUND(J77,0),0)</f>
        <v>689</v>
      </c>
      <c r="R741" s="273">
        <f>IF(J78&gt;0,ROUND(J78,0),0)</f>
        <v>47</v>
      </c>
      <c r="S741" s="273">
        <f>IF(J79&gt;0,ROUND(J79,0),0)</f>
        <v>117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4"/>
        <v>91435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>
      <c r="A742" s="209" t="e">
        <f>RIGHT($C$83,3)&amp;"*"&amp;RIGHT($C$82,4)&amp;"*"&amp;K$55&amp;"*"&amp;"A"</f>
        <v>#VALUE!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4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>
      <c r="A743" s="209" t="e">
        <f>RIGHT($C$83,3)&amp;"*"&amp;RIGHT($C$82,4)&amp;"*"&amp;L$55&amp;"*"&amp;"A"</f>
        <v>#VALUE!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4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>
      <c r="A744" s="209" t="e">
        <f>RIGHT($C$83,3)&amp;"*"&amp;RIGHT($C$82,4)&amp;"*"&amp;M$55&amp;"*"&amp;"A"</f>
        <v>#VALUE!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4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>
      <c r="A745" s="209" t="e">
        <f>RIGHT($C$83,3)&amp;"*"&amp;RIGHT($C$82,4)&amp;"*"&amp;N$55&amp;"*"&amp;"A"</f>
        <v>#VALUE!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4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>
      <c r="A746" s="209" t="e">
        <f>RIGHT($C$83,3)&amp;"*"&amp;RIGHT($C$82,4)&amp;"*"&amp;O$55&amp;"*"&amp;"A"</f>
        <v>#VALUE!</v>
      </c>
      <c r="B746" s="273">
        <f>ROUND(O59,0)</f>
        <v>7707</v>
      </c>
      <c r="C746" s="275">
        <f>ROUND(O60,2)</f>
        <v>27.65</v>
      </c>
      <c r="D746" s="273">
        <f>ROUND(O61,0)</f>
        <v>732446</v>
      </c>
      <c r="E746" s="273">
        <f>ROUND(O62,0)</f>
        <v>54431</v>
      </c>
      <c r="F746" s="273">
        <f>ROUND(O63,0)</f>
        <v>20884</v>
      </c>
      <c r="G746" s="273">
        <f>ROUND(O64,0)</f>
        <v>41534</v>
      </c>
      <c r="H746" s="273">
        <f>ROUND(O65,0)</f>
        <v>0</v>
      </c>
      <c r="I746" s="273">
        <f>ROUND(O66,0)</f>
        <v>412</v>
      </c>
      <c r="J746" s="273">
        <f>ROUND(O67,0)</f>
        <v>0</v>
      </c>
      <c r="K746" s="273">
        <f>ROUND(O68,0)</f>
        <v>25</v>
      </c>
      <c r="L746" s="273">
        <f>ROUND(O69,0)</f>
        <v>60236</v>
      </c>
      <c r="M746" s="273">
        <f>ROUND(O70,0)</f>
        <v>0</v>
      </c>
      <c r="N746" s="273">
        <f>ROUND(O75,0)</f>
        <v>5307776</v>
      </c>
      <c r="O746" s="273">
        <f>ROUND(O73,0)</f>
        <v>5044465</v>
      </c>
      <c r="P746" s="273">
        <f>IF(O76&gt;0,ROUND(O76,0),0)</f>
        <v>22555</v>
      </c>
      <c r="Q746" s="273">
        <f>IF(O77&gt;0,ROUND(O77,0),0)</f>
        <v>4116</v>
      </c>
      <c r="R746" s="273">
        <f>IF(O78&gt;0,ROUND(O78,0),0)</f>
        <v>1474</v>
      </c>
      <c r="S746" s="273">
        <f>IF(O79&gt;0,ROUND(O79,0),0)</f>
        <v>14424</v>
      </c>
      <c r="T746" s="275">
        <f>IF(O80&gt;0,ROUND(O80,2),0)</f>
        <v>19.5</v>
      </c>
      <c r="U746" s="273"/>
      <c r="V746" s="274"/>
      <c r="W746" s="273"/>
      <c r="X746" s="273"/>
      <c r="Y746" s="273">
        <f t="shared" si="24"/>
        <v>842434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>
      <c r="A747" s="209" t="e">
        <f>RIGHT($C$83,3)&amp;"*"&amp;RIGHT($C$82,4)&amp;"*"&amp;P$55&amp;"*"&amp;"A"</f>
        <v>#VALUE!</v>
      </c>
      <c r="B747" s="273">
        <f>ROUND(P59,0)</f>
        <v>80002</v>
      </c>
      <c r="C747" s="275">
        <f>ROUND(P60,2)</f>
        <v>17.760000000000002</v>
      </c>
      <c r="D747" s="273">
        <f>ROUND(P61,0)</f>
        <v>314186</v>
      </c>
      <c r="E747" s="273">
        <f>ROUND(P62,0)</f>
        <v>23196</v>
      </c>
      <c r="F747" s="273">
        <f>ROUND(P63,0)</f>
        <v>90063</v>
      </c>
      <c r="G747" s="273">
        <f>ROUND(P64,0)</f>
        <v>466385</v>
      </c>
      <c r="H747" s="273">
        <f>ROUND(P65,0)</f>
        <v>0</v>
      </c>
      <c r="I747" s="273">
        <f>ROUND(P66,0)</f>
        <v>69829</v>
      </c>
      <c r="J747" s="273">
        <f>ROUND(P67,0)</f>
        <v>0</v>
      </c>
      <c r="K747" s="273">
        <f>ROUND(P68,0)</f>
        <v>79627</v>
      </c>
      <c r="L747" s="273">
        <f>ROUND(P69,0)</f>
        <v>458544</v>
      </c>
      <c r="M747" s="273">
        <f>ROUND(P70,0)</f>
        <v>0</v>
      </c>
      <c r="N747" s="273">
        <f>ROUND(P75,0)</f>
        <v>19073156</v>
      </c>
      <c r="O747" s="273">
        <f>ROUND(P73,0)</f>
        <v>6655965</v>
      </c>
      <c r="P747" s="273">
        <f>IF(P76&gt;0,ROUND(P76,0),0)</f>
        <v>2259</v>
      </c>
      <c r="Q747" s="273">
        <f>IF(P77&gt;0,ROUND(P77,0),0)</f>
        <v>0</v>
      </c>
      <c r="R747" s="273">
        <f>IF(P78&gt;0,ROUND(P78,0),0)</f>
        <v>148</v>
      </c>
      <c r="S747" s="273" t="e">
        <f>IF(#REF!&gt;0,ROUND(#REF!,0),0)</f>
        <v>#REF!</v>
      </c>
      <c r="T747" s="275">
        <f>IF(P80&gt;0,ROUND(P80,2),0)</f>
        <v>11.66</v>
      </c>
      <c r="U747" s="273"/>
      <c r="V747" s="274"/>
      <c r="W747" s="273"/>
      <c r="X747" s="273"/>
      <c r="Y747" s="273" t="e">
        <f t="shared" si="24"/>
        <v>#REF!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>
      <c r="A748" s="209" t="e">
        <f>RIGHT($C$83,3)&amp;"*"&amp;RIGHT($C$82,4)&amp;"*"&amp;Q$55&amp;"*"&amp;"A"</f>
        <v>#VALUE!</v>
      </c>
      <c r="B748" s="273">
        <f>ROUND(Q59,0)</f>
        <v>70645</v>
      </c>
      <c r="C748" s="275">
        <f>ROUND(Q60,2)</f>
        <v>6.22</v>
      </c>
      <c r="D748" s="273">
        <f>ROUND(Q61,0)</f>
        <v>232451</v>
      </c>
      <c r="E748" s="273">
        <f>ROUND(Q62,0)</f>
        <v>17529</v>
      </c>
      <c r="F748" s="273">
        <f>ROUND(Q63,0)</f>
        <v>0</v>
      </c>
      <c r="G748" s="273">
        <f>ROUND(Q64,0)</f>
        <v>14868</v>
      </c>
      <c r="H748" s="273">
        <f>ROUND(Q65,0)</f>
        <v>0</v>
      </c>
      <c r="I748" s="273">
        <f>ROUND(Q66,0)</f>
        <v>80</v>
      </c>
      <c r="J748" s="273">
        <f>ROUND(Q67,0)</f>
        <v>0</v>
      </c>
      <c r="K748" s="273">
        <f>ROUND(Q68,0)</f>
        <v>0</v>
      </c>
      <c r="L748" s="273">
        <f>ROUND(Q69,0)</f>
        <v>863</v>
      </c>
      <c r="M748" s="273">
        <f>ROUND(Q70,0)</f>
        <v>0</v>
      </c>
      <c r="N748" s="273">
        <f>ROUND(Q75,0)</f>
        <v>5969811</v>
      </c>
      <c r="O748" s="273">
        <f>ROUND(Q73,0)</f>
        <v>1797350</v>
      </c>
      <c r="P748" s="273">
        <f>IF(Q76&gt;0,ROUND(Q76,0),0)</f>
        <v>2872</v>
      </c>
      <c r="Q748" s="273">
        <f>IF(Q77&gt;0,ROUND(Q77,0),0)</f>
        <v>0</v>
      </c>
      <c r="R748" s="273">
        <f>IF(Q78&gt;0,ROUND(Q78,0),0)</f>
        <v>188</v>
      </c>
      <c r="S748" s="273">
        <f>IF(Q79&gt;0,ROUND(Q79,0),0)</f>
        <v>0</v>
      </c>
      <c r="T748" s="275">
        <f>IF(Q80&gt;0,ROUND(Q80,2),0)</f>
        <v>5.38</v>
      </c>
      <c r="U748" s="273"/>
      <c r="V748" s="274"/>
      <c r="W748" s="273"/>
      <c r="X748" s="273"/>
      <c r="Y748" s="273">
        <f t="shared" si="24"/>
        <v>207286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>
      <c r="A749" s="209" t="e">
        <f>RIGHT($C$83,3)&amp;"*"&amp;RIGHT($C$82,4)&amp;"*"&amp;R$55&amp;"*"&amp;"A"</f>
        <v>#VALUE!</v>
      </c>
      <c r="B749" s="273">
        <f>ROUND(R59,0)</f>
        <v>94279</v>
      </c>
      <c r="C749" s="275">
        <f>ROUND(R60,2)</f>
        <v>1.88</v>
      </c>
      <c r="D749" s="273">
        <f>ROUND(R61,0)</f>
        <v>43139</v>
      </c>
      <c r="E749" s="273">
        <f>ROUND(R62,0)</f>
        <v>3098</v>
      </c>
      <c r="F749" s="273">
        <f>ROUND(R63,0)</f>
        <v>286749</v>
      </c>
      <c r="G749" s="273">
        <f>ROUND(R64,0)</f>
        <v>57316</v>
      </c>
      <c r="H749" s="273">
        <f>ROUND(R65,0)</f>
        <v>0</v>
      </c>
      <c r="I749" s="273">
        <f>ROUND(R66,0)</f>
        <v>16</v>
      </c>
      <c r="J749" s="273">
        <f>ROUND(R67,0)</f>
        <v>0</v>
      </c>
      <c r="K749" s="273">
        <f>ROUND(R68,0)</f>
        <v>32123</v>
      </c>
      <c r="L749" s="273">
        <f>ROUND(R69,0)</f>
        <v>2411</v>
      </c>
      <c r="M749" s="273">
        <f>ROUND(R70,0)</f>
        <v>0</v>
      </c>
      <c r="N749" s="273">
        <f>ROUND(R75,0)</f>
        <v>3553194</v>
      </c>
      <c r="O749" s="273">
        <f>ROUND(R73,0)</f>
        <v>1159690</v>
      </c>
      <c r="P749" s="273">
        <f>IF(R76&gt;0,ROUND(R76,0),0)</f>
        <v>343</v>
      </c>
      <c r="Q749" s="273">
        <f>IF(R77&gt;0,ROUND(R77,0),0)</f>
        <v>0</v>
      </c>
      <c r="R749" s="273">
        <f>IF(R78&gt;0,ROUND(R78,0),0)</f>
        <v>22</v>
      </c>
      <c r="S749" s="273">
        <f>IF(R79&gt;0,ROUND(R79,0),0)</f>
        <v>0</v>
      </c>
      <c r="T749" s="275">
        <f>IF(R80&gt;0,ROUND(R80,2),0)</f>
        <v>1.61</v>
      </c>
      <c r="U749" s="273"/>
      <c r="V749" s="274"/>
      <c r="W749" s="273"/>
      <c r="X749" s="273"/>
      <c r="Y749" s="273">
        <f t="shared" si="24"/>
        <v>177591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>
      <c r="A750" s="209" t="e">
        <f>RIGHT($C$83,3)&amp;"*"&amp;RIGHT($C$82,4)&amp;"*"&amp;S$55&amp;"*"&amp;"A"</f>
        <v>#VALUE!</v>
      </c>
      <c r="B750" s="273"/>
      <c r="C750" s="275">
        <f>ROUND(S60,2)</f>
        <v>10.16</v>
      </c>
      <c r="D750" s="273">
        <f>ROUND(S61,0)</f>
        <v>135411</v>
      </c>
      <c r="E750" s="273">
        <f>ROUND(S62,0)</f>
        <v>10049</v>
      </c>
      <c r="F750" s="273">
        <f>ROUND(S63,0)</f>
        <v>0</v>
      </c>
      <c r="G750" s="273">
        <f>ROUND(S64,0)</f>
        <v>100655</v>
      </c>
      <c r="H750" s="273">
        <f>ROUND(S65,0)</f>
        <v>0</v>
      </c>
      <c r="I750" s="273">
        <f>ROUND(S66,0)</f>
        <v>377442</v>
      </c>
      <c r="J750" s="273">
        <f>ROUND(S67,0)</f>
        <v>0</v>
      </c>
      <c r="K750" s="273">
        <f>ROUND(S68,0)</f>
        <v>2505</v>
      </c>
      <c r="L750" s="273">
        <f>ROUND(S69,0)</f>
        <v>149587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2887</v>
      </c>
      <c r="Q750" s="273">
        <f>IF(S77&gt;0,ROUND(S77,0),0)</f>
        <v>0</v>
      </c>
      <c r="R750" s="273">
        <f>IF(S78&gt;0,ROUND(S78,0),0)</f>
        <v>189</v>
      </c>
      <c r="S750" s="273">
        <f>IF(S79&gt;0,ROUND(S79,0),0)</f>
        <v>0</v>
      </c>
      <c r="T750" s="275">
        <f>IF(S80&gt;0,ROUND(S80,2),0)</f>
        <v>7.88</v>
      </c>
      <c r="U750" s="273"/>
      <c r="V750" s="274"/>
      <c r="W750" s="273"/>
      <c r="X750" s="273"/>
      <c r="Y750" s="273">
        <f t="shared" si="24"/>
        <v>249471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>
      <c r="A751" s="209" t="e">
        <f>RIGHT($C$83,3)&amp;"*"&amp;RIGHT($C$82,4)&amp;"*"&amp;T$55&amp;"*"&amp;"A"</f>
        <v>#VALUE!</v>
      </c>
      <c r="B751" s="273"/>
      <c r="C751" s="275">
        <f>ROUND(T60,2)</f>
        <v>0</v>
      </c>
      <c r="D751" s="273">
        <f>ROUND(T61,0)</f>
        <v>0</v>
      </c>
      <c r="E751" s="273">
        <f>ROUND(T62,0)</f>
        <v>0</v>
      </c>
      <c r="F751" s="273">
        <f>ROUND(T63,0)</f>
        <v>0</v>
      </c>
      <c r="G751" s="273">
        <f>ROUND(T64,0)</f>
        <v>0</v>
      </c>
      <c r="H751" s="273">
        <f>ROUND(T65,0)</f>
        <v>0</v>
      </c>
      <c r="I751" s="273">
        <f>ROUND(T66,0)</f>
        <v>0</v>
      </c>
      <c r="J751" s="273">
        <f>ROUND(T67,0)</f>
        <v>0</v>
      </c>
      <c r="K751" s="273">
        <f>ROUND(T68,0)</f>
        <v>0</v>
      </c>
      <c r="L751" s="273">
        <f>ROUND(T69,0)</f>
        <v>0</v>
      </c>
      <c r="M751" s="273">
        <f>ROUND(T70,0)</f>
        <v>0</v>
      </c>
      <c r="N751" s="273">
        <f>ROUND(T75,0)</f>
        <v>0</v>
      </c>
      <c r="O751" s="273">
        <f>ROUND(T73,0)</f>
        <v>0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0</v>
      </c>
      <c r="U751" s="273"/>
      <c r="V751" s="274"/>
      <c r="W751" s="273"/>
      <c r="X751" s="273"/>
      <c r="Y751" s="273">
        <f t="shared" si="24"/>
        <v>0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>
      <c r="A752" s="209" t="e">
        <f>RIGHT($C$83,3)&amp;"*"&amp;RIGHT($C$82,4)&amp;"*"&amp;U$55&amp;"*"&amp;"A"</f>
        <v>#VALUE!</v>
      </c>
      <c r="B752" s="273">
        <f>ROUND(U59,0)</f>
        <v>54906</v>
      </c>
      <c r="C752" s="275">
        <f>ROUND(U60,2)</f>
        <v>18.62</v>
      </c>
      <c r="D752" s="273">
        <f>ROUND(U61,0)</f>
        <v>362025</v>
      </c>
      <c r="E752" s="273">
        <f>ROUND(U62,0)</f>
        <v>28517</v>
      </c>
      <c r="F752" s="273">
        <f>ROUND(U63,0)</f>
        <v>7452</v>
      </c>
      <c r="G752" s="273">
        <f>ROUND(U64,0)</f>
        <v>203038</v>
      </c>
      <c r="H752" s="273">
        <f>ROUND(U65,0)</f>
        <v>0</v>
      </c>
      <c r="I752" s="273">
        <f>ROUND(U66,0)</f>
        <v>105342</v>
      </c>
      <c r="J752" s="273">
        <f>ROUND(U67,0)</f>
        <v>0</v>
      </c>
      <c r="K752" s="273">
        <f>ROUND(U68,0)</f>
        <v>55770</v>
      </c>
      <c r="L752" s="273">
        <f>ROUND(U69,0)</f>
        <v>37703</v>
      </c>
      <c r="M752" s="273">
        <f>ROUND(U70,0)</f>
        <v>0</v>
      </c>
      <c r="N752" s="273">
        <f>ROUND(U75,0)</f>
        <v>11349233</v>
      </c>
      <c r="O752" s="273">
        <f>ROUND(U73,0)</f>
        <v>5557114</v>
      </c>
      <c r="P752" s="273">
        <f>IF(U76&gt;0,ROUND(U76,0),0)</f>
        <v>2744</v>
      </c>
      <c r="Q752" s="273">
        <f>IF(U77&gt;0,ROUND(U77,0),0)</f>
        <v>0</v>
      </c>
      <c r="R752" s="273">
        <f>IF(U78&gt;0,ROUND(U78,0),0)</f>
        <v>179</v>
      </c>
      <c r="S752" s="273">
        <f>IF(P79&gt;0,ROUND(P79,0),0)</f>
        <v>20636</v>
      </c>
      <c r="T752" s="275">
        <f>IF(U80&gt;0,ROUND(U80,2),0)</f>
        <v>16.97</v>
      </c>
      <c r="U752" s="273"/>
      <c r="V752" s="274"/>
      <c r="W752" s="273"/>
      <c r="X752" s="273"/>
      <c r="Y752" s="273">
        <f t="shared" si="24"/>
        <v>619816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>
      <c r="A753" s="209" t="e">
        <f>RIGHT($C$83,3)&amp;"*"&amp;RIGHT($C$82,4)&amp;"*"&amp;V$55&amp;"*"&amp;"A"</f>
        <v>#VALUE!</v>
      </c>
      <c r="B753" s="273">
        <f>ROUND(V59,0)</f>
        <v>0</v>
      </c>
      <c r="C753" s="275">
        <f>ROUND(V60,2)</f>
        <v>0</v>
      </c>
      <c r="D753" s="273">
        <f>ROUND(V61,0)</f>
        <v>0</v>
      </c>
      <c r="E753" s="273">
        <f>ROUND(V62,0)</f>
        <v>0</v>
      </c>
      <c r="F753" s="273">
        <f>ROUND(V63,0)</f>
        <v>0</v>
      </c>
      <c r="G753" s="273">
        <f>ROUND(V64,0)</f>
        <v>0</v>
      </c>
      <c r="H753" s="273">
        <f>ROUND(V65,0)</f>
        <v>0</v>
      </c>
      <c r="I753" s="273">
        <f>ROUND(V66,0)</f>
        <v>0</v>
      </c>
      <c r="J753" s="273">
        <f>ROUND(V67,0)</f>
        <v>0</v>
      </c>
      <c r="K753" s="273">
        <f>ROUND(V68,0)</f>
        <v>0</v>
      </c>
      <c r="L753" s="273">
        <f>ROUND(V69,0)</f>
        <v>0</v>
      </c>
      <c r="M753" s="273">
        <f>ROUND(V70,0)</f>
        <v>0</v>
      </c>
      <c r="N753" s="273">
        <f>ROUND(V75,0)</f>
        <v>0</v>
      </c>
      <c r="O753" s="273">
        <f>ROUND(V73,0)</f>
        <v>0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0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4"/>
        <v>0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>
      <c r="A754" s="209" t="e">
        <f>RIGHT($C$83,3)&amp;"*"&amp;RIGHT($C$82,4)&amp;"*"&amp;W$55&amp;"*"&amp;"A"</f>
        <v>#VALUE!</v>
      </c>
      <c r="B754" s="273">
        <f>ROUND(W59,0)</f>
        <v>133</v>
      </c>
      <c r="C754" s="275">
        <f>ROUND(W60,2)</f>
        <v>1.37</v>
      </c>
      <c r="D754" s="273">
        <f>ROUND(W61,0)</f>
        <v>41587</v>
      </c>
      <c r="E754" s="273">
        <f>ROUND(W62,0)</f>
        <v>3001</v>
      </c>
      <c r="F754" s="273">
        <f>ROUND(W63,0)</f>
        <v>0</v>
      </c>
      <c r="G754" s="273">
        <f>ROUND(W64,0)</f>
        <v>-1962</v>
      </c>
      <c r="H754" s="273">
        <f>ROUND(W65,0)</f>
        <v>0</v>
      </c>
      <c r="I754" s="273">
        <f>ROUND(W66,0)</f>
        <v>0</v>
      </c>
      <c r="J754" s="273">
        <f>ROUND(W67,0)</f>
        <v>0</v>
      </c>
      <c r="K754" s="273">
        <f>ROUND(W68,0)</f>
        <v>0</v>
      </c>
      <c r="L754" s="273">
        <f>ROUND(W69,0)</f>
        <v>22334</v>
      </c>
      <c r="M754" s="273">
        <f>ROUND(W70,0)</f>
        <v>0</v>
      </c>
      <c r="N754" s="273">
        <f>ROUND(W75,0)</f>
        <v>947182</v>
      </c>
      <c r="O754" s="273">
        <f>ROUND(W73,0)</f>
        <v>324702</v>
      </c>
      <c r="P754" s="273">
        <f>IF(W76&gt;0,ROUND(W76,0),0)</f>
        <v>882</v>
      </c>
      <c r="Q754" s="273">
        <f>IF(W77&gt;0,ROUND(W77,0),0)</f>
        <v>0</v>
      </c>
      <c r="R754" s="273">
        <f>IF(W78&gt;0,ROUND(W78,0),0)</f>
        <v>58</v>
      </c>
      <c r="S754" s="273">
        <f>IF(W79&gt;0,ROUND(W79,0),0)</f>
        <v>1064</v>
      </c>
      <c r="T754" s="275">
        <f>IF(W80&gt;0,ROUND(W80,2),0)</f>
        <v>1.17</v>
      </c>
      <c r="U754" s="273"/>
      <c r="V754" s="274"/>
      <c r="W754" s="273"/>
      <c r="X754" s="273"/>
      <c r="Y754" s="273">
        <f t="shared" si="24"/>
        <v>35760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>
      <c r="A755" s="209" t="e">
        <f>RIGHT($C$83,3)&amp;"*"&amp;RIGHT($C$82,4)&amp;"*"&amp;X$55&amp;"*"&amp;"A"</f>
        <v>#VALUE!</v>
      </c>
      <c r="B755" s="273">
        <f>ROUND(X59,0)</f>
        <v>4138</v>
      </c>
      <c r="C755" s="275">
        <f>ROUND(X60,2)</f>
        <v>5.31</v>
      </c>
      <c r="D755" s="273">
        <f>ROUND(X61,0)</f>
        <v>122334</v>
      </c>
      <c r="E755" s="273">
        <f>ROUND(X62,0)</f>
        <v>9029</v>
      </c>
      <c r="F755" s="273">
        <f>ROUND(X63,0)</f>
        <v>0</v>
      </c>
      <c r="G755" s="273">
        <f>ROUND(X64,0)</f>
        <v>15941</v>
      </c>
      <c r="H755" s="273">
        <f>ROUND(X65,0)</f>
        <v>1087</v>
      </c>
      <c r="I755" s="273">
        <f>ROUND(X66,0)</f>
        <v>117776</v>
      </c>
      <c r="J755" s="273">
        <f>ROUND(X67,0)</f>
        <v>0</v>
      </c>
      <c r="K755" s="273">
        <f>ROUND(X68,0)</f>
        <v>153842</v>
      </c>
      <c r="L755" s="273">
        <f>ROUND(X69,0)</f>
        <v>69170</v>
      </c>
      <c r="M755" s="273">
        <f>ROUND(X70,0)</f>
        <v>0</v>
      </c>
      <c r="N755" s="273">
        <f>ROUND(X75,0)</f>
        <v>19380285</v>
      </c>
      <c r="O755" s="273">
        <f>ROUND(X73,0)</f>
        <v>2829976</v>
      </c>
      <c r="P755" s="273">
        <f>IF(X76&gt;0,ROUND(X76,0),0)</f>
        <v>5984</v>
      </c>
      <c r="Q755" s="273">
        <f>IF(X77&gt;0,ROUND(X77,0),0)</f>
        <v>0</v>
      </c>
      <c r="R755" s="273">
        <f>IF(X78&gt;0,ROUND(X78,0),0)</f>
        <v>391</v>
      </c>
      <c r="S755" s="273">
        <f>IF(X79&gt;0,ROUND(X79,0),0)</f>
        <v>1599</v>
      </c>
      <c r="T755" s="275">
        <f>IF(X80&gt;0,ROUND(X80,2),0)</f>
        <v>5.26</v>
      </c>
      <c r="U755" s="273"/>
      <c r="V755" s="274"/>
      <c r="W755" s="273"/>
      <c r="X755" s="273"/>
      <c r="Y755" s="273">
        <f t="shared" si="24"/>
        <v>504692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>
      <c r="A756" s="209" t="e">
        <f>RIGHT($C$83,3)&amp;"*"&amp;RIGHT($C$82,4)&amp;"*"&amp;Y$55&amp;"*"&amp;"A"</f>
        <v>#VALUE!</v>
      </c>
      <c r="B756" s="273">
        <f>ROUND(Y59,0)</f>
        <v>6391</v>
      </c>
      <c r="C756" s="275">
        <f>ROUND(Y60,2)</f>
        <v>31.11</v>
      </c>
      <c r="D756" s="273">
        <f>ROUND(Y61,0)</f>
        <v>729721</v>
      </c>
      <c r="E756" s="273">
        <f>ROUND(Y62,0)</f>
        <v>54046</v>
      </c>
      <c r="F756" s="273">
        <f>ROUND(Y63,0)</f>
        <v>59266</v>
      </c>
      <c r="G756" s="273">
        <f>ROUND(Y64,0)</f>
        <v>-11627</v>
      </c>
      <c r="H756" s="273">
        <f>ROUND(Y65,0)</f>
        <v>0</v>
      </c>
      <c r="I756" s="273">
        <f>ROUND(Y66,0)</f>
        <v>113589</v>
      </c>
      <c r="J756" s="273">
        <f>ROUND(Y67,0)</f>
        <v>0</v>
      </c>
      <c r="K756" s="273">
        <f>ROUND(Y68,0)</f>
        <v>694</v>
      </c>
      <c r="L756" s="273">
        <f>ROUND(Y69,0)</f>
        <v>530124</v>
      </c>
      <c r="M756" s="273">
        <f>ROUND(Y70,0)</f>
        <v>0</v>
      </c>
      <c r="N756" s="273">
        <f>ROUND(Y75,0)</f>
        <v>12743547</v>
      </c>
      <c r="O756" s="273">
        <f>ROUND(Y73,0)</f>
        <v>4076745</v>
      </c>
      <c r="P756" s="273">
        <f>IF(Y76&gt;0,ROUND(Y76,0),0)</f>
        <v>14061</v>
      </c>
      <c r="Q756" s="273">
        <f>IF(Y77&gt;0,ROUND(Y77,0),0)</f>
        <v>0</v>
      </c>
      <c r="R756" s="273">
        <f>IF(Y78&gt;0,ROUND(Y78,0),0)</f>
        <v>919</v>
      </c>
      <c r="S756" s="273">
        <f>IF(Y79&gt;0,ROUND(Y79,0),0)</f>
        <v>9370</v>
      </c>
      <c r="T756" s="275">
        <f>IF(Y80&gt;0,ROUND(Y80,2),0)</f>
        <v>21.88</v>
      </c>
      <c r="U756" s="273"/>
      <c r="V756" s="274"/>
      <c r="W756" s="273"/>
      <c r="X756" s="273"/>
      <c r="Y756" s="273">
        <f t="shared" si="24"/>
        <v>622726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>
      <c r="A757" s="209" t="e">
        <f>RIGHT($C$83,3)&amp;"*"&amp;RIGHT($C$82,4)&amp;"*"&amp;Z$55&amp;"*"&amp;"A"</f>
        <v>#VALUE!</v>
      </c>
      <c r="B757" s="273">
        <f>ROUND(Z59,0)</f>
        <v>3703</v>
      </c>
      <c r="C757" s="275">
        <f>ROUND(Z60,2)</f>
        <v>6.13</v>
      </c>
      <c r="D757" s="273">
        <f>ROUND(Z61,0)</f>
        <v>145493</v>
      </c>
      <c r="E757" s="273">
        <f>ROUND(Z62,0)</f>
        <v>10624</v>
      </c>
      <c r="F757" s="273">
        <f>ROUND(Z63,0)</f>
        <v>0</v>
      </c>
      <c r="G757" s="273">
        <f>ROUND(Z64,0)</f>
        <v>1024</v>
      </c>
      <c r="H757" s="273">
        <f>ROUND(Z65,0)</f>
        <v>0</v>
      </c>
      <c r="I757" s="273">
        <f>ROUND(Z66,0)</f>
        <v>124728</v>
      </c>
      <c r="J757" s="273">
        <f>ROUND(Z67,0)</f>
        <v>0</v>
      </c>
      <c r="K757" s="273">
        <f>ROUND(Z68,0)</f>
        <v>232</v>
      </c>
      <c r="L757" s="273">
        <f>ROUND(Z69,0)</f>
        <v>69841</v>
      </c>
      <c r="M757" s="273">
        <f>ROUND(Z70,0)</f>
        <v>0</v>
      </c>
      <c r="N757" s="273">
        <f>ROUND(Z75,0)</f>
        <v>9928200</v>
      </c>
      <c r="O757" s="273">
        <f>ROUND(Z73,0)</f>
        <v>29791</v>
      </c>
      <c r="P757" s="273">
        <f>IF(Z76&gt;0,ROUND(Z76,0),0)</f>
        <v>5034</v>
      </c>
      <c r="Q757" s="273">
        <f>IF(Z77&gt;0,ROUND(Z77,0),0)</f>
        <v>0</v>
      </c>
      <c r="R757" s="273">
        <f>IF(Z78&gt;0,ROUND(Z78,0),0)</f>
        <v>329</v>
      </c>
      <c r="S757" s="273">
        <f>IF(Z79&gt;0,ROUND(Z79,0),0)</f>
        <v>0</v>
      </c>
      <c r="T757" s="275">
        <f>IF(Z80&gt;0,ROUND(Z80,2),0)</f>
        <v>5.54</v>
      </c>
      <c r="U757" s="273"/>
      <c r="V757" s="274"/>
      <c r="W757" s="273"/>
      <c r="X757" s="273"/>
      <c r="Y757" s="273">
        <f t="shared" si="24"/>
        <v>293371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>
      <c r="A758" s="209" t="e">
        <f>RIGHT($C$83,3)&amp;"*"&amp;RIGHT($C$82,4)&amp;"*"&amp;AA$55&amp;"*"&amp;"A"</f>
        <v>#VALUE!</v>
      </c>
      <c r="B758" s="273">
        <f>ROUND(AA59,0)</f>
        <v>312</v>
      </c>
      <c r="C758" s="275">
        <f>ROUND(AA60,2)</f>
        <v>1.46</v>
      </c>
      <c r="D758" s="273">
        <f>ROUND(AA61,0)</f>
        <v>49619</v>
      </c>
      <c r="E758" s="273">
        <f>ROUND(AA62,0)</f>
        <v>3754</v>
      </c>
      <c r="F758" s="273">
        <f>ROUND(AA63,0)</f>
        <v>0</v>
      </c>
      <c r="G758" s="273">
        <f>ROUND(AA64,0)</f>
        <v>20720</v>
      </c>
      <c r="H758" s="273">
        <f>ROUND(AA65,0)</f>
        <v>0</v>
      </c>
      <c r="I758" s="273">
        <f>ROUND(AA66,0)</f>
        <v>6858</v>
      </c>
      <c r="J758" s="273">
        <f>ROUND(AA67,0)</f>
        <v>0</v>
      </c>
      <c r="K758" s="273">
        <f>ROUND(AA68,0)</f>
        <v>0</v>
      </c>
      <c r="L758" s="273">
        <f>ROUND(AA69,0)</f>
        <v>14447</v>
      </c>
      <c r="M758" s="273">
        <f>ROUND(AA70,0)</f>
        <v>0</v>
      </c>
      <c r="N758" s="273">
        <f>ROUND(AA75,0)</f>
        <v>933475</v>
      </c>
      <c r="O758" s="273">
        <f>ROUND(AA73,0)</f>
        <v>214324</v>
      </c>
      <c r="P758" s="273">
        <f>IF(AA76&gt;0,ROUND(AA76,0),0)</f>
        <v>364</v>
      </c>
      <c r="Q758" s="273">
        <f>IF(AA77&gt;0,ROUND(AA77,0),0)</f>
        <v>0</v>
      </c>
      <c r="R758" s="273">
        <f>IF(AA78&gt;0,ROUND(AA78,0),0)</f>
        <v>24</v>
      </c>
      <c r="S758" s="273">
        <f>IF(AA79&gt;0,ROUND(AA79,0),0)</f>
        <v>315</v>
      </c>
      <c r="T758" s="275">
        <f>IF(AA80&gt;0,ROUND(AA80,2),0)</f>
        <v>1.1299999999999999</v>
      </c>
      <c r="U758" s="273"/>
      <c r="V758" s="274"/>
      <c r="W758" s="273"/>
      <c r="X758" s="273"/>
      <c r="Y758" s="273">
        <f t="shared" si="24"/>
        <v>58531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>
      <c r="A759" s="209" t="e">
        <f>RIGHT($C$83,3)&amp;"*"&amp;RIGHT($C$82,4)&amp;"*"&amp;AB$55&amp;"*"&amp;"A"</f>
        <v>#VALUE!</v>
      </c>
      <c r="B759" s="273"/>
      <c r="C759" s="275">
        <f>ROUND(AB60,2)</f>
        <v>0.96</v>
      </c>
      <c r="D759" s="273">
        <f>ROUND(AB61,0)</f>
        <v>331476</v>
      </c>
      <c r="E759" s="273">
        <f>ROUND(AB62,0)</f>
        <v>26953</v>
      </c>
      <c r="F759" s="273">
        <f>ROUND(AB63,0)</f>
        <v>0</v>
      </c>
      <c r="G759" s="273">
        <f>ROUND(AB64,0)</f>
        <v>666786</v>
      </c>
      <c r="H759" s="273">
        <f>ROUND(AB65,0)</f>
        <v>0</v>
      </c>
      <c r="I759" s="273">
        <f>ROUND(AB66,0)</f>
        <v>24888</v>
      </c>
      <c r="J759" s="273">
        <f>ROUND(AB67,0)</f>
        <v>0</v>
      </c>
      <c r="K759" s="273">
        <f>ROUND(AB68,0)</f>
        <v>69256</v>
      </c>
      <c r="L759" s="273">
        <f>ROUND(AB69,0)</f>
        <v>22771</v>
      </c>
      <c r="M759" s="273">
        <f>ROUND(AB70,0)</f>
        <v>0</v>
      </c>
      <c r="N759" s="273">
        <f>ROUND(AB75,0)</f>
        <v>4887184</v>
      </c>
      <c r="O759" s="273">
        <f>ROUND(AB73,0)</f>
        <v>2822175</v>
      </c>
      <c r="P759" s="273">
        <f>IF(AB76&gt;0,ROUND(AB76,0),0)</f>
        <v>1258</v>
      </c>
      <c r="Q759" s="273">
        <f>IF(AB77&gt;0,ROUND(AB77,0),0)</f>
        <v>0</v>
      </c>
      <c r="R759" s="273">
        <f>IF(AB78&gt;0,ROUND(AB78,0),0)</f>
        <v>82</v>
      </c>
      <c r="S759" s="273">
        <f>IF(AB79&gt;0,ROUND(AB79,0),0)</f>
        <v>2886</v>
      </c>
      <c r="T759" s="275">
        <f>IF(AB80&gt;0,ROUND(AB80,2),0)</f>
        <v>10.87</v>
      </c>
      <c r="U759" s="273"/>
      <c r="V759" s="274"/>
      <c r="W759" s="273"/>
      <c r="X759" s="273"/>
      <c r="Y759" s="273">
        <f t="shared" si="24"/>
        <v>947480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>
      <c r="A760" s="209" t="e">
        <f>RIGHT($C$83,3)&amp;"*"&amp;RIGHT($C$82,4)&amp;"*"&amp;AC$55&amp;"*"&amp;"A"</f>
        <v>#VALUE!</v>
      </c>
      <c r="B760" s="273">
        <f>ROUND(AC59,0)</f>
        <v>345</v>
      </c>
      <c r="C760" s="275">
        <f>ROUND(AC60,2)</f>
        <v>11.8</v>
      </c>
      <c r="D760" s="273">
        <f>ROUND(AC61,0)</f>
        <v>287300</v>
      </c>
      <c r="E760" s="273">
        <f>ROUND(AC62,0)</f>
        <v>21275</v>
      </c>
      <c r="F760" s="273">
        <f>ROUND(AC63,0)</f>
        <v>8127</v>
      </c>
      <c r="G760" s="273">
        <f>ROUND(AC64,0)</f>
        <v>34291</v>
      </c>
      <c r="H760" s="273">
        <f>ROUND(AC65,0)</f>
        <v>0</v>
      </c>
      <c r="I760" s="273">
        <f>ROUND(AC66,0)</f>
        <v>6651</v>
      </c>
      <c r="J760" s="273">
        <f>ROUND(AC67,0)</f>
        <v>0</v>
      </c>
      <c r="K760" s="273">
        <f>ROUND(AC68,0)</f>
        <v>44698</v>
      </c>
      <c r="L760" s="273">
        <f>ROUND(AC69,0)</f>
        <v>661</v>
      </c>
      <c r="M760" s="273">
        <f>ROUND(AC70,0)</f>
        <v>0</v>
      </c>
      <c r="N760" s="273">
        <f>ROUND(AC75,0)</f>
        <v>2608248</v>
      </c>
      <c r="O760" s="273">
        <f>ROUND(AC73,0)</f>
        <v>1490751</v>
      </c>
      <c r="P760" s="273">
        <f>IF(AC76&gt;0,ROUND(AC76,0),0)</f>
        <v>4235</v>
      </c>
      <c r="Q760" s="273">
        <f>IF(AC77&gt;0,ROUND(AC77,0),0)</f>
        <v>0</v>
      </c>
      <c r="R760" s="273">
        <f>IF(AC78&gt;0,ROUND(AC78,0),0)</f>
        <v>277</v>
      </c>
      <c r="S760" s="273">
        <f>IF(AC79&gt;0,ROUND(AC79,0),0)</f>
        <v>646</v>
      </c>
      <c r="T760" s="275">
        <f>IF(AC80&gt;0,ROUND(AC80,2),0)</f>
        <v>10.07</v>
      </c>
      <c r="U760" s="273"/>
      <c r="V760" s="274"/>
      <c r="W760" s="273"/>
      <c r="X760" s="273"/>
      <c r="Y760" s="273">
        <f t="shared" si="24"/>
        <v>215820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>
      <c r="A761" s="209" t="e">
        <f>RIGHT($C$83,3)&amp;"*"&amp;RIGHT($C$82,4)&amp;"*"&amp;AD$55&amp;"*"&amp;"A"</f>
        <v>#VALUE!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0</v>
      </c>
      <c r="H761" s="273">
        <f>ROUND(AD65,0)</f>
        <v>0</v>
      </c>
      <c r="I761" s="273">
        <f>ROUND(AD66,0)</f>
        <v>0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0</v>
      </c>
      <c r="O761" s="273">
        <f>ROUND(AD73,0)</f>
        <v>0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4"/>
        <v>0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>
      <c r="A762" s="209" t="e">
        <f>RIGHT($C$83,3)&amp;"*"&amp;RIGHT($C$82,4)&amp;"*"&amp;AE$55&amp;"*"&amp;"A"</f>
        <v>#VALUE!</v>
      </c>
      <c r="B762" s="273">
        <f>ROUND(AE59,0)</f>
        <v>4743</v>
      </c>
      <c r="C762" s="275">
        <f>ROUND(AE60,2)</f>
        <v>8.09</v>
      </c>
      <c r="D762" s="273">
        <f>ROUND(AE61,0)</f>
        <v>162853</v>
      </c>
      <c r="E762" s="273">
        <f>ROUND(AE62,0)</f>
        <v>12011</v>
      </c>
      <c r="F762" s="273">
        <f>ROUND(AE63,0)</f>
        <v>0</v>
      </c>
      <c r="G762" s="273">
        <f>ROUND(AE64,0)</f>
        <v>1987</v>
      </c>
      <c r="H762" s="273">
        <f>ROUND(AE65,0)</f>
        <v>692</v>
      </c>
      <c r="I762" s="273">
        <f>ROUND(AE66,0)</f>
        <v>3123</v>
      </c>
      <c r="J762" s="273">
        <f>ROUND(AE67,0)</f>
        <v>0</v>
      </c>
      <c r="K762" s="273">
        <f>ROUND(AE68,0)</f>
        <v>22444</v>
      </c>
      <c r="L762" s="273">
        <f>ROUND(AE69,0)</f>
        <v>3130</v>
      </c>
      <c r="M762" s="273">
        <f>ROUND(AE70,0)</f>
        <v>0</v>
      </c>
      <c r="N762" s="273">
        <f>ROUND(AE75,0)</f>
        <v>939415</v>
      </c>
      <c r="O762" s="273">
        <f>ROUND(AE73,0)</f>
        <v>365644</v>
      </c>
      <c r="P762" s="273">
        <f>IF(AE76&gt;0,ROUND(AE76,0),0)</f>
        <v>4213</v>
      </c>
      <c r="Q762" s="273">
        <f>IF(AE77&gt;0,ROUND(AE77,0),0)</f>
        <v>0</v>
      </c>
      <c r="R762" s="273">
        <f>IF(AE78&gt;0,ROUND(AE78,0),0)</f>
        <v>275</v>
      </c>
      <c r="S762" s="273">
        <f>IF(AE79&gt;0,ROUND(AE79,0),0)</f>
        <v>1400</v>
      </c>
      <c r="T762" s="275">
        <f>IF(AE80&gt;0,ROUND(AE80,2),0)</f>
        <v>6.88</v>
      </c>
      <c r="U762" s="273"/>
      <c r="V762" s="274"/>
      <c r="W762" s="273"/>
      <c r="X762" s="273"/>
      <c r="Y762" s="273">
        <f t="shared" si="24"/>
        <v>114266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>
      <c r="A763" s="209" t="e">
        <f>RIGHT($C$83,3)&amp;"*"&amp;RIGHT($C$82,4)&amp;"*"&amp;AF$55&amp;"*"&amp;"A"</f>
        <v>#VALUE!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4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>
      <c r="A764" s="209" t="e">
        <f>RIGHT($C$83,3)&amp;"*"&amp;RIGHT($C$82,4)&amp;"*"&amp;AG$55&amp;"*"&amp;"A"</f>
        <v>#VALUE!</v>
      </c>
      <c r="B764" s="273">
        <f>ROUND(AG59,0)</f>
        <v>3556</v>
      </c>
      <c r="C764" s="275">
        <f>ROUND(AG60,2)</f>
        <v>21.77</v>
      </c>
      <c r="D764" s="273">
        <f>ROUND(AG61,0)</f>
        <v>541982</v>
      </c>
      <c r="E764" s="273">
        <f>ROUND(AG62,0)</f>
        <v>40292</v>
      </c>
      <c r="F764" s="273">
        <f>ROUND(AG63,0)</f>
        <v>954</v>
      </c>
      <c r="G764" s="273">
        <f>ROUND(AG64,0)</f>
        <v>53749</v>
      </c>
      <c r="H764" s="273">
        <f>ROUND(AG65,0)</f>
        <v>0</v>
      </c>
      <c r="I764" s="273">
        <f>ROUND(AG66,0)</f>
        <v>9914</v>
      </c>
      <c r="J764" s="273">
        <f>ROUND(AG67,0)</f>
        <v>0</v>
      </c>
      <c r="K764" s="273">
        <f>ROUND(AG68,0)</f>
        <v>1089</v>
      </c>
      <c r="L764" s="273">
        <f>ROUND(AG69,0)</f>
        <v>286599</v>
      </c>
      <c r="M764" s="273">
        <f>ROUND(AG70,0)</f>
        <v>0</v>
      </c>
      <c r="N764" s="273">
        <f>ROUND(AG75,0)</f>
        <v>11687420</v>
      </c>
      <c r="O764" s="273">
        <f>ROUND(AG73,0)</f>
        <v>2335409</v>
      </c>
      <c r="P764" s="273">
        <f>IF(AG76&gt;0,ROUND(AG76,0),0)</f>
        <v>4248</v>
      </c>
      <c r="Q764" s="273">
        <f>IF(AG77&gt;0,ROUND(AG77,0),0)</f>
        <v>0</v>
      </c>
      <c r="R764" s="273">
        <f>IF(AG78&gt;0,ROUND(AG78,0),0)</f>
        <v>278</v>
      </c>
      <c r="S764" s="273">
        <f>IF(AG79&gt;0,ROUND(AG79,0),0)</f>
        <v>11848</v>
      </c>
      <c r="T764" s="275">
        <f>IF(AG80&gt;0,ROUND(AG80,2),0)</f>
        <v>16.079999999999998</v>
      </c>
      <c r="U764" s="273"/>
      <c r="V764" s="274"/>
      <c r="W764" s="273"/>
      <c r="X764" s="273"/>
      <c r="Y764" s="273">
        <f t="shared" si="24"/>
        <v>498140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>
      <c r="A765" s="209" t="e">
        <f>RIGHT($C$83,3)&amp;"*"&amp;RIGHT($C$82,4)&amp;"*"&amp;AH$55&amp;"*"&amp;"A"</f>
        <v>#VALUE!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4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>
      <c r="A766" s="209" t="e">
        <f>RIGHT($C$83,3)&amp;"*"&amp;RIGHT($C$82,4)&amp;"*"&amp;AI$55&amp;"*"&amp;"A"</f>
        <v>#VALUE!</v>
      </c>
      <c r="B766" s="273">
        <f>ROUND(AI59,0)</f>
        <v>1967</v>
      </c>
      <c r="C766" s="275">
        <f>ROUND(AI60,2)</f>
        <v>18.89</v>
      </c>
      <c r="D766" s="273">
        <f>ROUND(AI61,0)</f>
        <v>478454</v>
      </c>
      <c r="E766" s="273">
        <f>ROUND(AI62,0)</f>
        <v>34897</v>
      </c>
      <c r="F766" s="273">
        <f>ROUND(AI63,0)</f>
        <v>0</v>
      </c>
      <c r="G766" s="273">
        <f>ROUND(AI64,0)</f>
        <v>91942</v>
      </c>
      <c r="H766" s="273">
        <f>ROUND(AI65,0)</f>
        <v>0</v>
      </c>
      <c r="I766" s="273">
        <f>ROUND(AI66,0)</f>
        <v>271</v>
      </c>
      <c r="J766" s="273">
        <f>ROUND(AI67,0)</f>
        <v>0</v>
      </c>
      <c r="K766" s="273">
        <f>ROUND(AI68,0)</f>
        <v>1</v>
      </c>
      <c r="L766" s="273">
        <f>ROUND(AI69,0)</f>
        <v>21572</v>
      </c>
      <c r="M766" s="273">
        <f>ROUND(AI70,0)</f>
        <v>0</v>
      </c>
      <c r="N766" s="273">
        <f>ROUND(AI75,0)</f>
        <v>2253203</v>
      </c>
      <c r="O766" s="273">
        <f>ROUND(AI73,0)</f>
        <v>353987</v>
      </c>
      <c r="P766" s="273">
        <f>IF(AI76&gt;0,ROUND(AI76,0),0)</f>
        <v>4979</v>
      </c>
      <c r="Q766" s="273">
        <f>IF(AI77&gt;0,ROUND(AI77,0),0)</f>
        <v>0</v>
      </c>
      <c r="R766" s="273">
        <f>IF(AI78&gt;0,ROUND(AI78,0),0)</f>
        <v>325</v>
      </c>
      <c r="S766" s="273">
        <f>IF(AI79&gt;0,ROUND(AI79,0),0)</f>
        <v>8407</v>
      </c>
      <c r="T766" s="275">
        <f>IF(AI80&gt;0,ROUND(AI80,2),0)</f>
        <v>16.579999999999998</v>
      </c>
      <c r="U766" s="273"/>
      <c r="V766" s="274"/>
      <c r="W766" s="273"/>
      <c r="X766" s="273"/>
      <c r="Y766" s="273">
        <f t="shared" si="24"/>
        <v>332609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>
      <c r="A767" s="209" t="e">
        <f>RIGHT($C$83,3)&amp;"*"&amp;RIGHT($C$82,4)&amp;"*"&amp;AJ$55&amp;"*"&amp;"A"</f>
        <v>#VALUE!</v>
      </c>
      <c r="B767" s="273">
        <f>ROUND(AJ59,0)</f>
        <v>0</v>
      </c>
      <c r="C767" s="275">
        <f>ROUND(AJ60,2)</f>
        <v>0</v>
      </c>
      <c r="D767" s="273">
        <f>ROUND(AJ61,0)</f>
        <v>0</v>
      </c>
      <c r="E767" s="273">
        <f>ROUND(AJ62,0)</f>
        <v>0</v>
      </c>
      <c r="F767" s="273">
        <f>ROUND(AJ63,0)</f>
        <v>0</v>
      </c>
      <c r="G767" s="273">
        <f>ROUND(AJ64,0)</f>
        <v>0</v>
      </c>
      <c r="H767" s="273">
        <f>ROUND(AJ65,0)</f>
        <v>0</v>
      </c>
      <c r="I767" s="273">
        <f>ROUND(AJ66,0)</f>
        <v>0</v>
      </c>
      <c r="J767" s="273">
        <f>ROUND(AJ67,0)</f>
        <v>0</v>
      </c>
      <c r="K767" s="273">
        <f>ROUND(AJ68,0)</f>
        <v>0</v>
      </c>
      <c r="L767" s="273">
        <f>ROUND(AJ69,0)</f>
        <v>0</v>
      </c>
      <c r="M767" s="273">
        <f>ROUND(AJ70,0)</f>
        <v>0</v>
      </c>
      <c r="N767" s="273">
        <f>ROUND(AJ75,0)</f>
        <v>0</v>
      </c>
      <c r="O767" s="273">
        <f>ROUND(AJ73,0)</f>
        <v>0</v>
      </c>
      <c r="P767" s="273">
        <f>IF(AJ76&gt;0,ROUND(AJ76,0),0)</f>
        <v>0</v>
      </c>
      <c r="Q767" s="273">
        <f>IF(AJ77&gt;0,ROUND(AJ77,0),0)</f>
        <v>0</v>
      </c>
      <c r="R767" s="273">
        <f>IF(AJ78&gt;0,ROUND(AJ78,0),0)</f>
        <v>0</v>
      </c>
      <c r="S767" s="273">
        <f>IF(AJ79&gt;0,ROUND(AJ79,0),0)</f>
        <v>0</v>
      </c>
      <c r="T767" s="275">
        <f>IF(AJ80&gt;0,ROUND(AJ80,2),0)</f>
        <v>0</v>
      </c>
      <c r="U767" s="273"/>
      <c r="V767" s="274"/>
      <c r="W767" s="273"/>
      <c r="X767" s="273"/>
      <c r="Y767" s="273">
        <f t="shared" si="24"/>
        <v>0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>
      <c r="A768" s="209" t="e">
        <f>RIGHT($C$83,3)&amp;"*"&amp;RIGHT($C$82,4)&amp;"*"&amp;AK$55&amp;"*"&amp;"A"</f>
        <v>#VALUE!</v>
      </c>
      <c r="B768" s="273">
        <f>ROUND(AK59,0)</f>
        <v>957</v>
      </c>
      <c r="C768" s="275">
        <f>ROUND(AK60,2)</f>
        <v>0.94</v>
      </c>
      <c r="D768" s="273">
        <f>ROUND(AK61,0)</f>
        <v>20163</v>
      </c>
      <c r="E768" s="273">
        <f>ROUND(AK62,0)</f>
        <v>1539</v>
      </c>
      <c r="F768" s="273">
        <f>ROUND(AK63,0)</f>
        <v>0</v>
      </c>
      <c r="G768" s="273">
        <f>ROUND(AK64,0)</f>
        <v>1343</v>
      </c>
      <c r="H768" s="273">
        <f>ROUND(AK65,0)</f>
        <v>52</v>
      </c>
      <c r="I768" s="273">
        <f>ROUND(AK66,0)</f>
        <v>0</v>
      </c>
      <c r="J768" s="273">
        <f>ROUND(AK67,0)</f>
        <v>0</v>
      </c>
      <c r="K768" s="273">
        <f>ROUND(AK68,0)</f>
        <v>1</v>
      </c>
      <c r="L768" s="273">
        <f>ROUND(AK69,0)</f>
        <v>11120</v>
      </c>
      <c r="M768" s="273">
        <f>ROUND(AK70,0)</f>
        <v>0</v>
      </c>
      <c r="N768" s="273">
        <f>ROUND(AK75,0)</f>
        <v>264513</v>
      </c>
      <c r="O768" s="273">
        <f>ROUND(AK73,0)</f>
        <v>97840</v>
      </c>
      <c r="P768" s="273">
        <f>IF(AK76&gt;0,ROUND(AK76,0),0)</f>
        <v>0</v>
      </c>
      <c r="Q768" s="273">
        <f>IF(AK77&gt;0,ROUND(AK77,0),0)</f>
        <v>0</v>
      </c>
      <c r="R768" s="273">
        <f>IF(AK78&gt;0,ROUND(AK78,0),0)</f>
        <v>0</v>
      </c>
      <c r="S768" s="273">
        <f>IF(AK79&gt;0,ROUND(AK79,0),0)</f>
        <v>0</v>
      </c>
      <c r="T768" s="275">
        <f>IF(AK80&gt;0,ROUND(AK80,2),0)</f>
        <v>0.67</v>
      </c>
      <c r="U768" s="273"/>
      <c r="V768" s="274"/>
      <c r="W768" s="273"/>
      <c r="X768" s="273"/>
      <c r="Y768" s="273">
        <f t="shared" si="24"/>
        <v>13704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>
      <c r="A769" s="209" t="e">
        <f>RIGHT($C$83,3)&amp;"*"&amp;RIGHT($C$82,4)&amp;"*"&amp;AL$55&amp;"*"&amp;"A"</f>
        <v>#VALUE!</v>
      </c>
      <c r="B769" s="273">
        <f>ROUND(AL59,0)</f>
        <v>0</v>
      </c>
      <c r="C769" s="275">
        <f>ROUND(AL60,2)</f>
        <v>0</v>
      </c>
      <c r="D769" s="273">
        <f>ROUND(AL61,0)</f>
        <v>0</v>
      </c>
      <c r="E769" s="273">
        <f>ROUND(AL62,0)</f>
        <v>0</v>
      </c>
      <c r="F769" s="273">
        <f>ROUND(AL63,0)</f>
        <v>0</v>
      </c>
      <c r="G769" s="273">
        <f>ROUND(AL64,0)</f>
        <v>0</v>
      </c>
      <c r="H769" s="273">
        <f>ROUND(AL65,0)</f>
        <v>0</v>
      </c>
      <c r="I769" s="273">
        <f>ROUND(AL66,0)</f>
        <v>0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0</v>
      </c>
      <c r="O769" s="273">
        <f>ROUND(AL73,0)</f>
        <v>0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4"/>
        <v>0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>
      <c r="A770" s="209" t="e">
        <f>RIGHT($C$83,3)&amp;"*"&amp;RIGHT($C$82,4)&amp;"*"&amp;AM$55&amp;"*"&amp;"A"</f>
        <v>#VALUE!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4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>
      <c r="A771" s="209" t="e">
        <f>RIGHT($C$83,3)&amp;"*"&amp;RIGHT($C$82,4)&amp;"*"&amp;AN$55&amp;"*"&amp;"A"</f>
        <v>#VALUE!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4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>
      <c r="A772" s="209" t="e">
        <f>RIGHT($C$83,3)&amp;"*"&amp;RIGHT($C$82,4)&amp;"*"&amp;AO$55&amp;"*"&amp;"A"</f>
        <v>#VALUE!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4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>
      <c r="A773" s="209" t="e">
        <f>RIGHT($C$83,3)&amp;"*"&amp;RIGHT($C$82,4)&amp;"*"&amp;AP$55&amp;"*"&amp;"A"</f>
        <v>#VALUE!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4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>
      <c r="A774" s="209" t="e">
        <f>RIGHT($C$83,3)&amp;"*"&amp;RIGHT($C$82,4)&amp;"*"&amp;AQ$55&amp;"*"&amp;"A"</f>
        <v>#VALUE!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4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>
      <c r="A775" s="209" t="e">
        <f>RIGHT($C$83,3)&amp;"*"&amp;RIGHT($C$82,4)&amp;"*"&amp;AR$55&amp;"*"&amp;"A"</f>
        <v>#VALUE!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0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4"/>
        <v>0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>
      <c r="A776" s="209" t="e">
        <f>RIGHT($C$83,3)&amp;"*"&amp;RIGHT($C$82,4)&amp;"*"&amp;AS$55&amp;"*"&amp;"A"</f>
        <v>#VALUE!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4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>
      <c r="A777" s="209" t="e">
        <f>RIGHT($C$83,3)&amp;"*"&amp;RIGHT($C$82,4)&amp;"*"&amp;AT$55&amp;"*"&amp;"A"</f>
        <v>#VALUE!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4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>
      <c r="A778" s="209" t="e">
        <f>RIGHT($C$83,3)&amp;"*"&amp;RIGHT($C$82,4)&amp;"*"&amp;AU$55&amp;"*"&amp;"A"</f>
        <v>#VALUE!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4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>
      <c r="A779" s="209" t="e">
        <f>RIGHT($C$83,3)&amp;"*"&amp;RIGHT($C$82,4)&amp;"*"&amp;AV$55&amp;"*"&amp;"A"</f>
        <v>#VALUE!</v>
      </c>
      <c r="B779" s="273"/>
      <c r="C779" s="275">
        <f>ROUND(AV60,2)</f>
        <v>30.26</v>
      </c>
      <c r="D779" s="273">
        <f>ROUND(AV61,0)</f>
        <v>154108</v>
      </c>
      <c r="E779" s="273">
        <f>ROUND(AV62,0)</f>
        <v>9367</v>
      </c>
      <c r="F779" s="273">
        <f>ROUND(AV63,0)</f>
        <v>543210</v>
      </c>
      <c r="G779" s="273">
        <f>ROUND(AV64,0)</f>
        <v>10900</v>
      </c>
      <c r="H779" s="273">
        <f>ROUND(AV65,0)</f>
        <v>165</v>
      </c>
      <c r="I779" s="273">
        <f>ROUND(AV66,0)</f>
        <v>189250</v>
      </c>
      <c r="J779" s="273">
        <f>ROUND(AV67,0)</f>
        <v>0</v>
      </c>
      <c r="K779" s="273">
        <f>ROUND(AV68,0)</f>
        <v>3611</v>
      </c>
      <c r="L779" s="273">
        <f>ROUND(AV69,0)</f>
        <v>4952</v>
      </c>
      <c r="M779" s="273">
        <f>ROUND(AV70,0)</f>
        <v>0</v>
      </c>
      <c r="N779" s="273">
        <f>ROUND(AV75,0)</f>
        <v>17112784</v>
      </c>
      <c r="O779" s="273">
        <f>ROUND(AV73,0)</f>
        <v>7186636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2941</v>
      </c>
      <c r="S779" s="273">
        <f>IF(AV79&gt;0,ROUND(AV79,0),0)</f>
        <v>345</v>
      </c>
      <c r="T779" s="275">
        <f>IF(AV80&gt;0,ROUND(AV80,2),0)</f>
        <v>131.51</v>
      </c>
      <c r="U779" s="273"/>
      <c r="V779" s="274"/>
      <c r="W779" s="273"/>
      <c r="X779" s="273"/>
      <c r="Y779" s="273">
        <f t="shared" si="24"/>
        <v>842799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>
      <c r="A780" s="209" t="e">
        <f>RIGHT($C$83,3)&amp;"*"&amp;RIGHT($C$82,4)&amp;"*"&amp;AW$55&amp;"*"&amp;"A"</f>
        <v>#VALUE!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>
      <c r="A781" s="209" t="e">
        <f>RIGHT($C$83,3)&amp;"*"&amp;RIGHT($C$82,4)&amp;"*"&amp;AX$55&amp;"*"&amp;"A"</f>
        <v>#VALUE!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>
      <c r="A782" s="209" t="e">
        <f>RIGHT($C$83,3)&amp;"*"&amp;RIGHT($C$82,4)&amp;"*"&amp;AY$55&amp;"*"&amp;"A"</f>
        <v>#VALUE!</v>
      </c>
      <c r="B782" s="273">
        <f>ROUND(AY59,0)</f>
        <v>9270</v>
      </c>
      <c r="C782" s="275">
        <f>ROUND(AY60,2)</f>
        <v>18.18</v>
      </c>
      <c r="D782" s="273">
        <f>ROUND(AY61,0)</f>
        <v>244709</v>
      </c>
      <c r="E782" s="273">
        <f>ROUND(AY62,0)</f>
        <v>18545</v>
      </c>
      <c r="F782" s="273">
        <f>ROUND(AY63,0)</f>
        <v>0</v>
      </c>
      <c r="G782" s="273">
        <f>ROUND(AY64,0)</f>
        <v>147508</v>
      </c>
      <c r="H782" s="273">
        <f>ROUND(AY65,0)</f>
        <v>0</v>
      </c>
      <c r="I782" s="273">
        <f>ROUND(AY66,0)</f>
        <v>889</v>
      </c>
      <c r="J782" s="273">
        <f>ROUND(AY67,0)</f>
        <v>0</v>
      </c>
      <c r="K782" s="273">
        <f>ROUND(AY68,0)</f>
        <v>0</v>
      </c>
      <c r="L782" s="273">
        <f>ROUND(AY69,0)</f>
        <v>9817</v>
      </c>
      <c r="M782" s="273">
        <f>ROUND(AY70,0)</f>
        <v>0</v>
      </c>
      <c r="N782" s="273"/>
      <c r="O782" s="273"/>
      <c r="P782" s="273">
        <f>IF(AY76&gt;0,ROUND(AY76,0),0)</f>
        <v>5479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>
      <c r="A783" s="209" t="e">
        <f>RIGHT($C$83,3)&amp;"*"&amp;RIGHT($C$82,4)&amp;"*"&amp;AZ$55&amp;"*"&amp;"A"</f>
        <v>#VALUE!</v>
      </c>
      <c r="B783" s="273">
        <f>ROUND(AZ59,0)</f>
        <v>0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0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0</v>
      </c>
      <c r="Q783" s="273">
        <f>IF(AZ77&gt;0,ROUND(AZ77,0),0)</f>
        <v>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>
      <c r="A784" s="209" t="e">
        <f>RIGHT($C$83,3)&amp;"*"&amp;RIGHT($C$82,4)&amp;"*"&amp;BA$55&amp;"*"&amp;"A"</f>
        <v>#VALUE!</v>
      </c>
      <c r="B784" s="273">
        <f>ROUND(BA59,0)</f>
        <v>0</v>
      </c>
      <c r="C784" s="275">
        <f>ROUND(BA60,2)</f>
        <v>0</v>
      </c>
      <c r="D784" s="273">
        <f>ROUND(BA61,0)</f>
        <v>0</v>
      </c>
      <c r="E784" s="273">
        <f>ROUND(BA62,0)</f>
        <v>0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0</v>
      </c>
      <c r="J784" s="273">
        <f>ROUND(BA67,0)</f>
        <v>0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0</v>
      </c>
      <c r="Q784" s="273">
        <f>IF(BA77&gt;0,ROUND(BA77,0),0)</f>
        <v>0</v>
      </c>
      <c r="R784" s="273">
        <f>IF(BA78&gt;0,ROUND(BA78,0),0)</f>
        <v>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>
      <c r="A785" s="209" t="e">
        <f>RIGHT($C$83,3)&amp;"*"&amp;RIGHT($C$82,4)&amp;"*"&amp;BB$55&amp;"*"&amp;"A"</f>
        <v>#VALUE!</v>
      </c>
      <c r="B785" s="273"/>
      <c r="C785" s="275">
        <f>ROUND(BB60,2)</f>
        <v>7.19</v>
      </c>
      <c r="D785" s="273">
        <f>ROUND(BB61,0)</f>
        <v>174039</v>
      </c>
      <c r="E785" s="273">
        <f>ROUND(BB62,0)</f>
        <v>15784</v>
      </c>
      <c r="F785" s="273">
        <f>ROUND(BB63,0)</f>
        <v>13749</v>
      </c>
      <c r="G785" s="273">
        <f>ROUND(BB64,0)</f>
        <v>2621</v>
      </c>
      <c r="H785" s="273">
        <f>ROUND(BB65,0)</f>
        <v>0</v>
      </c>
      <c r="I785" s="273">
        <f>ROUND(BB66,0)</f>
        <v>1181</v>
      </c>
      <c r="J785" s="273">
        <f>ROUND(BB67,0)</f>
        <v>0</v>
      </c>
      <c r="K785" s="273">
        <f>ROUND(BB68,0)</f>
        <v>12</v>
      </c>
      <c r="L785" s="273">
        <f>ROUND(BB69,0)</f>
        <v>68726</v>
      </c>
      <c r="M785" s="273">
        <f>ROUND(BB70,0)</f>
        <v>0</v>
      </c>
      <c r="N785" s="273"/>
      <c r="O785" s="273"/>
      <c r="P785" s="273">
        <f>IF(BB76&gt;0,ROUND(BB76,0),0)</f>
        <v>740</v>
      </c>
      <c r="Q785" s="273">
        <f>IF(BB77&gt;0,ROUND(BB77,0),0)</f>
        <v>0</v>
      </c>
      <c r="R785" s="273">
        <f>IF(BB78&gt;0,ROUND(BB78,0),0)</f>
        <v>48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>
      <c r="A786" s="209" t="e">
        <f>RIGHT($C$83,3)&amp;"*"&amp;RIGHT($C$82,4)&amp;"*"&amp;BC$55&amp;"*"&amp;"A"</f>
        <v>#VALUE!</v>
      </c>
      <c r="B786" s="273"/>
      <c r="C786" s="275">
        <f>ROUND(BC60,2)</f>
        <v>0</v>
      </c>
      <c r="D786" s="273">
        <f>ROUND(BC61,0)</f>
        <v>0</v>
      </c>
      <c r="E786" s="273">
        <f>ROUND(BC62,0)</f>
        <v>0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>
      <c r="A787" s="209" t="e">
        <f>RIGHT($C$83,3)&amp;"*"&amp;RIGHT($C$82,4)&amp;"*"&amp;BD$55&amp;"*"&amp;"A"</f>
        <v>#VALUE!</v>
      </c>
      <c r="B787" s="273"/>
      <c r="C787" s="275">
        <f>ROUND(BD60,2)</f>
        <v>0</v>
      </c>
      <c r="D787" s="273">
        <f>ROUND(BD61,0)</f>
        <v>124947</v>
      </c>
      <c r="E787" s="273">
        <f>ROUND(BD62,0)</f>
        <v>9127</v>
      </c>
      <c r="F787" s="273">
        <f>ROUND(BD63,0)</f>
        <v>0</v>
      </c>
      <c r="G787" s="273">
        <f>ROUND(BD64,0)</f>
        <v>1905782</v>
      </c>
      <c r="H787" s="273">
        <f>ROUND(BD65,0)</f>
        <v>0</v>
      </c>
      <c r="I787" s="273">
        <f>ROUND(BD66,0)</f>
        <v>469</v>
      </c>
      <c r="J787" s="273">
        <f>ROUND(BD67,0)</f>
        <v>0</v>
      </c>
      <c r="K787" s="273">
        <f>ROUND(BD68,0)</f>
        <v>919</v>
      </c>
      <c r="L787" s="273">
        <f>ROUND(BD69,0)</f>
        <v>49695</v>
      </c>
      <c r="M787" s="273">
        <f>ROUND(BD70,0)</f>
        <v>0</v>
      </c>
      <c r="N787" s="273"/>
      <c r="O787" s="273"/>
      <c r="P787" s="273">
        <f>IF(BD76&gt;0,ROUND(BD76,0),0)</f>
        <v>2565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>
      <c r="A788" s="209" t="e">
        <f>RIGHT($C$83,3)&amp;"*"&amp;RIGHT($C$82,4)&amp;"*"&amp;BE$55&amp;"*"&amp;"A"</f>
        <v>#VALUE!</v>
      </c>
      <c r="B788" s="273">
        <f>ROUND(BE59,0)</f>
        <v>155374</v>
      </c>
      <c r="C788" s="275">
        <f>ROUND(BE60,2)</f>
        <v>14.28</v>
      </c>
      <c r="D788" s="273">
        <f>ROUND(BE61,0)</f>
        <v>246243</v>
      </c>
      <c r="E788" s="273">
        <f>ROUND(BE62,0)</f>
        <v>17951</v>
      </c>
      <c r="F788" s="273">
        <f>ROUND(BE63,0)</f>
        <v>0</v>
      </c>
      <c r="G788" s="273">
        <f>ROUND(BE64,0)</f>
        <v>6256</v>
      </c>
      <c r="H788" s="273">
        <f>ROUND(BE65,0)</f>
        <v>189920</v>
      </c>
      <c r="I788" s="273">
        <f>ROUND(BE66,0)</f>
        <v>68442</v>
      </c>
      <c r="J788" s="273">
        <f>ROUND(BE67,0)</f>
        <v>0</v>
      </c>
      <c r="K788" s="273">
        <f>ROUND(BE68,0)</f>
        <v>386</v>
      </c>
      <c r="L788" s="273">
        <f>ROUND(BE69,0)</f>
        <v>202999</v>
      </c>
      <c r="M788" s="273">
        <f>ROUND(BE70,0)</f>
        <v>0</v>
      </c>
      <c r="N788" s="273"/>
      <c r="O788" s="273"/>
      <c r="P788" s="273">
        <f>IF(BE76&gt;0,ROUND(BE76,0),0)</f>
        <v>27038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>
      <c r="A789" s="209" t="e">
        <f>RIGHT($C$83,3)&amp;"*"&amp;RIGHT($C$82,4)&amp;"*"&amp;BF$55&amp;"*"&amp;"A"</f>
        <v>#VALUE!</v>
      </c>
      <c r="B789" s="273"/>
      <c r="C789" s="275">
        <f>ROUND(BF60,2)</f>
        <v>19.75</v>
      </c>
      <c r="D789" s="273">
        <f>ROUND(BF61,0)</f>
        <v>210395</v>
      </c>
      <c r="E789" s="273">
        <f>ROUND(BF62,0)</f>
        <v>15416</v>
      </c>
      <c r="F789" s="273">
        <f>ROUND(BF63,0)</f>
        <v>0</v>
      </c>
      <c r="G789" s="273">
        <f>ROUND(BF64,0)</f>
        <v>24819</v>
      </c>
      <c r="H789" s="273">
        <f>ROUND(BF65,0)</f>
        <v>0</v>
      </c>
      <c r="I789" s="273">
        <f>ROUND(BF66,0)</f>
        <v>139005</v>
      </c>
      <c r="J789" s="273">
        <f>ROUND(BF67,0)</f>
        <v>0</v>
      </c>
      <c r="K789" s="273">
        <f>ROUND(BF68,0)</f>
        <v>0</v>
      </c>
      <c r="L789" s="273">
        <f>ROUND(BF69,0)</f>
        <v>1810</v>
      </c>
      <c r="M789" s="273">
        <f>ROUND(BF70,0)</f>
        <v>0</v>
      </c>
      <c r="N789" s="273"/>
      <c r="O789" s="273"/>
      <c r="P789" s="273">
        <f>IF(BF76&gt;0,ROUND(BF76,0),0)</f>
        <v>2289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>
      <c r="A790" s="209" t="e">
        <f>RIGHT($C$83,3)&amp;"*"&amp;RIGHT($C$82,4)&amp;"*"&amp;BG$55&amp;"*"&amp;"A"</f>
        <v>#VALUE!</v>
      </c>
      <c r="B790" s="273"/>
      <c r="C790" s="275">
        <f>ROUND(BG60,2)</f>
        <v>1.38</v>
      </c>
      <c r="D790" s="273">
        <f>ROUND(BG61,0)</f>
        <v>15206</v>
      </c>
      <c r="E790" s="273">
        <f>ROUND(BG62,0)</f>
        <v>1175</v>
      </c>
      <c r="F790" s="273">
        <f>ROUND(BG63,0)</f>
        <v>0</v>
      </c>
      <c r="G790" s="273">
        <f>ROUND(BG64,0)</f>
        <v>0</v>
      </c>
      <c r="H790" s="273">
        <f>ROUND(BG65,0)</f>
        <v>56776</v>
      </c>
      <c r="I790" s="273">
        <f>ROUND(BG66,0)</f>
        <v>854</v>
      </c>
      <c r="J790" s="273">
        <f>ROUND(BG67,0)</f>
        <v>0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337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>
      <c r="A791" s="209" t="e">
        <f>RIGHT($C$83,3)&amp;"*"&amp;RIGHT($C$82,4)&amp;"*"&amp;BH$55&amp;"*"&amp;"A"</f>
        <v>#VALUE!</v>
      </c>
      <c r="B791" s="273"/>
      <c r="C791" s="275">
        <f>ROUND(BH60,2)</f>
        <v>5.44</v>
      </c>
      <c r="D791" s="273">
        <f>ROUND(BH61,0)</f>
        <v>129029</v>
      </c>
      <c r="E791" s="273">
        <f>ROUND(BH62,0)</f>
        <v>9932</v>
      </c>
      <c r="F791" s="273">
        <f>ROUND(BH63,0)</f>
        <v>0</v>
      </c>
      <c r="G791" s="273">
        <f>ROUND(BH64,0)</f>
        <v>17403</v>
      </c>
      <c r="H791" s="273">
        <f>ROUND(BH65,0)</f>
        <v>0</v>
      </c>
      <c r="I791" s="273">
        <f>ROUND(BH66,0)</f>
        <v>446582</v>
      </c>
      <c r="J791" s="273">
        <f>ROUND(BH67,0)</f>
        <v>0</v>
      </c>
      <c r="K791" s="273">
        <f>ROUND(BH68,0)</f>
        <v>0</v>
      </c>
      <c r="L791" s="273">
        <f>ROUND(BH69,0)</f>
        <v>75002</v>
      </c>
      <c r="M791" s="273">
        <f>ROUND(BH70,0)</f>
        <v>0</v>
      </c>
      <c r="N791" s="273"/>
      <c r="O791" s="273"/>
      <c r="P791" s="273">
        <f>IF(BH76&gt;0,ROUND(BH76,0),0)</f>
        <v>752</v>
      </c>
      <c r="Q791" s="273">
        <f>IF(BH77&gt;0,ROUND(BH77,0),0)</f>
        <v>0</v>
      </c>
      <c r="R791" s="273">
        <f>IF(BH78&gt;0,ROUND(BH78,0),0)</f>
        <v>49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>
      <c r="A792" s="209" t="e">
        <f>RIGHT($C$83,3)&amp;"*"&amp;RIGHT($C$82,4)&amp;"*"&amp;BI$55&amp;"*"&amp;"A"</f>
        <v>#VALUE!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0</v>
      </c>
      <c r="H792" s="273">
        <f>ROUND(BI65,0)</f>
        <v>0</v>
      </c>
      <c r="I792" s="273">
        <f>ROUND(BI66,0)</f>
        <v>0</v>
      </c>
      <c r="J792" s="273">
        <f>ROUND(BI67,0)</f>
        <v>0</v>
      </c>
      <c r="K792" s="273">
        <f>ROUND(BI68,0)</f>
        <v>0</v>
      </c>
      <c r="L792" s="273">
        <f>ROUND(BI69,0)</f>
        <v>0</v>
      </c>
      <c r="M792" s="273">
        <f>ROUND(BI70,0)</f>
        <v>0</v>
      </c>
      <c r="N792" s="273"/>
      <c r="O792" s="273"/>
      <c r="P792" s="273">
        <f>IF(BI76&gt;0,ROUND(BI76,0),0)</f>
        <v>0</v>
      </c>
      <c r="Q792" s="273">
        <f>IF(BI77&gt;0,ROUND(BI77,0),0)</f>
        <v>0</v>
      </c>
      <c r="R792" s="273">
        <f>IF(BI78&gt;0,ROUND(BI78,0),0)</f>
        <v>0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>
      <c r="A793" s="209" t="e">
        <f>RIGHT($C$83,3)&amp;"*"&amp;RIGHT($C$82,4)&amp;"*"&amp;BJ$55&amp;"*"&amp;"A"</f>
        <v>#VALUE!</v>
      </c>
      <c r="B793" s="273"/>
      <c r="C793" s="275">
        <f>ROUND(BJ60,2)</f>
        <v>4.43</v>
      </c>
      <c r="D793" s="273">
        <f>ROUND(BJ61,0)</f>
        <v>60497</v>
      </c>
      <c r="E793" s="273">
        <f>ROUND(BJ62,0)</f>
        <v>4044</v>
      </c>
      <c r="F793" s="273">
        <f>ROUND(BJ63,0)</f>
        <v>0</v>
      </c>
      <c r="G793" s="273">
        <f>ROUND(BJ64,0)</f>
        <v>1051</v>
      </c>
      <c r="H793" s="273">
        <f>ROUND(BJ65,0)</f>
        <v>0</v>
      </c>
      <c r="I793" s="273">
        <f>ROUND(BJ66,0)</f>
        <v>-5000</v>
      </c>
      <c r="J793" s="273">
        <f>ROUND(BJ67,0)</f>
        <v>0</v>
      </c>
      <c r="K793" s="273">
        <f>ROUND(BJ68,0)</f>
        <v>7</v>
      </c>
      <c r="L793" s="273">
        <f>ROUND(BJ69,0)</f>
        <v>36697</v>
      </c>
      <c r="M793" s="273">
        <f>ROUND(BJ70,0)</f>
        <v>0</v>
      </c>
      <c r="N793" s="273"/>
      <c r="O793" s="273"/>
      <c r="P793" s="273">
        <f>IF(BJ76&gt;0,ROUND(BJ76,0),0)</f>
        <v>1635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>
      <c r="A794" s="209" t="e">
        <f>RIGHT($C$83,3)&amp;"*"&amp;RIGHT($C$82,4)&amp;"*"&amp;BK$55&amp;"*"&amp;"A"</f>
        <v>#VALUE!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419129</v>
      </c>
      <c r="J794" s="273">
        <f>ROUND(BK67,0)</f>
        <v>0</v>
      </c>
      <c r="K794" s="273">
        <f>ROUND(BK68,0)</f>
        <v>0</v>
      </c>
      <c r="L794" s="273">
        <f>ROUND(BK69,0)</f>
        <v>0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>
      <c r="A795" s="209" t="e">
        <f>RIGHT($C$83,3)&amp;"*"&amp;RIGHT($C$82,4)&amp;"*"&amp;BL$55&amp;"*"&amp;"A"</f>
        <v>#VALUE!</v>
      </c>
      <c r="B795" s="273"/>
      <c r="C795" s="275">
        <f>ROUND(BL60,2)</f>
        <v>3.04</v>
      </c>
      <c r="D795" s="273">
        <f>ROUND(BL61,0)</f>
        <v>38182</v>
      </c>
      <c r="E795" s="273">
        <f>ROUND(BL62,0)</f>
        <v>2772</v>
      </c>
      <c r="F795" s="273">
        <f>ROUND(BL63,0)</f>
        <v>0</v>
      </c>
      <c r="G795" s="273">
        <f>ROUND(BL64,0)</f>
        <v>0</v>
      </c>
      <c r="H795" s="273">
        <f>ROUND(BL65,0)</f>
        <v>0</v>
      </c>
      <c r="I795" s="273">
        <f>ROUND(BL66,0)</f>
        <v>0</v>
      </c>
      <c r="J795" s="273">
        <f>ROUND(BL67,0)</f>
        <v>0</v>
      </c>
      <c r="K795" s="273">
        <f>ROUND(BL68,0)</f>
        <v>0</v>
      </c>
      <c r="L795" s="273">
        <f>ROUND(BL69,0)</f>
        <v>0</v>
      </c>
      <c r="M795" s="273">
        <f>ROUND(BL70,0)</f>
        <v>0</v>
      </c>
      <c r="N795" s="273"/>
      <c r="O795" s="273"/>
      <c r="P795" s="273">
        <f>IF(BL76&gt;0,ROUND(BL76,0),0)</f>
        <v>1801</v>
      </c>
      <c r="Q795" s="273">
        <f>IF(BL77&gt;0,ROUND(BL77,0),0)</f>
        <v>0</v>
      </c>
      <c r="R795" s="273">
        <f>IF(BL78&gt;0,ROUND(BL78,0),0)</f>
        <v>118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>
      <c r="A796" s="209" t="e">
        <f>RIGHT($C$83,3)&amp;"*"&amp;RIGHT($C$82,4)&amp;"*"&amp;BM$55&amp;"*"&amp;"A"</f>
        <v>#VALUE!</v>
      </c>
      <c r="B796" s="273"/>
      <c r="C796" s="275">
        <f>ROUND(BM60,2)</f>
        <v>16.420000000000002</v>
      </c>
      <c r="D796" s="273">
        <f>ROUND(BM61,0)</f>
        <v>184879</v>
      </c>
      <c r="E796" s="273">
        <f>ROUND(BM62,0)</f>
        <v>13574</v>
      </c>
      <c r="F796" s="273">
        <f>ROUND(BM63,0)</f>
        <v>0</v>
      </c>
      <c r="G796" s="273">
        <f>ROUND(BM64,0)</f>
        <v>5248</v>
      </c>
      <c r="H796" s="273">
        <f>ROUND(BM65,0)</f>
        <v>0</v>
      </c>
      <c r="I796" s="273">
        <f>ROUND(BM66,0)</f>
        <v>10154</v>
      </c>
      <c r="J796" s="273">
        <f>ROUND(BM67,0)</f>
        <v>0</v>
      </c>
      <c r="K796" s="273">
        <f>ROUND(BM68,0)</f>
        <v>0</v>
      </c>
      <c r="L796" s="273">
        <f>ROUND(BM69,0)</f>
        <v>60305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>
      <c r="A797" s="209" t="e">
        <f>RIGHT($C$83,3)&amp;"*"&amp;RIGHT($C$82,4)&amp;"*"&amp;BN$55&amp;"*"&amp;"A"</f>
        <v>#VALUE!</v>
      </c>
      <c r="B797" s="273"/>
      <c r="C797" s="275">
        <f>ROUND(BN60,2)</f>
        <v>14.71</v>
      </c>
      <c r="D797" s="273">
        <f>ROUND(BN61,0)</f>
        <v>305714</v>
      </c>
      <c r="E797" s="273">
        <f>ROUND(BN62,0)</f>
        <v>17965</v>
      </c>
      <c r="F797" s="273">
        <f>ROUND(BN63,0)</f>
        <v>0</v>
      </c>
      <c r="G797" s="273">
        <f>ROUND(BN64,0)</f>
        <v>65741</v>
      </c>
      <c r="H797" s="273">
        <f>ROUND(BN65,0)</f>
        <v>90</v>
      </c>
      <c r="I797" s="273">
        <f>ROUND(BN66,0)</f>
        <v>319484</v>
      </c>
      <c r="J797" s="273">
        <f>ROUND(BN67,0)</f>
        <v>0</v>
      </c>
      <c r="K797" s="273">
        <f>ROUND(BN68,0)</f>
        <v>121716</v>
      </c>
      <c r="L797" s="273">
        <f>ROUND(BN69,0)</f>
        <v>706461</v>
      </c>
      <c r="M797" s="273">
        <f>ROUND(BN70,0)</f>
        <v>0</v>
      </c>
      <c r="N797" s="273"/>
      <c r="O797" s="273"/>
      <c r="P797" s="273">
        <f>IF(BN76&gt;0,ROUND(BN76,0),0)</f>
        <v>3875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>
      <c r="A798" s="209" t="e">
        <f>RIGHT($C$83,3)&amp;"*"&amp;RIGHT($C$82,4)&amp;"*"&amp;BO$55&amp;"*"&amp;"A"</f>
        <v>#VALUE!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0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>
      <c r="A799" s="209" t="e">
        <f>RIGHT($C$83,3)&amp;"*"&amp;RIGHT($C$82,4)&amp;"*"&amp;BP$55&amp;"*"&amp;"A"</f>
        <v>#VALUE!</v>
      </c>
      <c r="B799" s="273"/>
      <c r="C799" s="275">
        <f>ROUND(BP60,2)</f>
        <v>1.07</v>
      </c>
      <c r="D799" s="273">
        <f>ROUND(BP61,0)</f>
        <v>16562</v>
      </c>
      <c r="E799" s="273">
        <f>ROUND(BP62,0)</f>
        <v>1245</v>
      </c>
      <c r="F799" s="273">
        <f>ROUND(BP63,0)</f>
        <v>0</v>
      </c>
      <c r="G799" s="273">
        <f>ROUND(BP64,0)</f>
        <v>255</v>
      </c>
      <c r="H799" s="273">
        <f>ROUND(BP65,0)</f>
        <v>0</v>
      </c>
      <c r="I799" s="273">
        <f>ROUND(BP66,0)</f>
        <v>3401</v>
      </c>
      <c r="J799" s="273">
        <f>ROUND(BP67,0)</f>
        <v>0</v>
      </c>
      <c r="K799" s="273">
        <f>ROUND(BP68,0)</f>
        <v>0</v>
      </c>
      <c r="L799" s="273">
        <f>ROUND(BP69,0)</f>
        <v>45999</v>
      </c>
      <c r="M799" s="273">
        <f>ROUND(BP70,0)</f>
        <v>0</v>
      </c>
      <c r="N799" s="273"/>
      <c r="O799" s="273"/>
      <c r="P799" s="273">
        <f>IF(BP76&gt;0,ROUND(BP76,0),0)</f>
        <v>729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>
      <c r="A800" s="209" t="e">
        <f>RIGHT($C$83,3)&amp;"*"&amp;RIGHT($C$82,4)&amp;"*"&amp;BQ$55&amp;"*"&amp;"A"</f>
        <v>#VALUE!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>
      <c r="A801" s="209" t="e">
        <f>RIGHT($C$83,3)&amp;"*"&amp;RIGHT($C$82,4)&amp;"*"&amp;BR$55&amp;"*"&amp;"A"</f>
        <v>#VALUE!</v>
      </c>
      <c r="B801" s="273"/>
      <c r="C801" s="275">
        <f>ROUND(BR60,2)</f>
        <v>4.75</v>
      </c>
      <c r="D801" s="273">
        <f>ROUND(BR61,0)</f>
        <v>86565</v>
      </c>
      <c r="E801" s="273">
        <f>ROUND(BR62,0)</f>
        <v>1148366</v>
      </c>
      <c r="F801" s="273">
        <f>ROUND(BR63,0)</f>
        <v>0</v>
      </c>
      <c r="G801" s="273">
        <f>ROUND(BR64,0)</f>
        <v>936</v>
      </c>
      <c r="H801" s="273">
        <f>ROUND(BR65,0)</f>
        <v>0</v>
      </c>
      <c r="I801" s="273">
        <f>ROUND(BR66,0)</f>
        <v>44171</v>
      </c>
      <c r="J801" s="273">
        <f>ROUND(BR67,0)</f>
        <v>0</v>
      </c>
      <c r="K801" s="273">
        <f>ROUND(BR68,0)</f>
        <v>0</v>
      </c>
      <c r="L801" s="273">
        <f>ROUND(BR69,0)</f>
        <v>47357</v>
      </c>
      <c r="M801" s="273">
        <f>ROUND(BR70,0)</f>
        <v>0</v>
      </c>
      <c r="N801" s="273"/>
      <c r="O801" s="273"/>
      <c r="P801" s="273">
        <f>IF(BR76&gt;0,ROUND(BR76,0),0)</f>
        <v>1013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>
      <c r="A802" s="209" t="e">
        <f>RIGHT($C$83,3)&amp;"*"&amp;RIGHT($C$82,4)&amp;"*"&amp;BS$55&amp;"*"&amp;"A"</f>
        <v>#VALUE!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0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286</v>
      </c>
      <c r="Q802" s="273">
        <f>IF(BS77&gt;0,ROUND(BS77,0),0)</f>
        <v>0</v>
      </c>
      <c r="R802" s="273">
        <f>IF(BS78&gt;0,ROUND(BS78,0),0)</f>
        <v>19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>
      <c r="A803" s="209" t="e">
        <f>RIGHT($C$83,3)&amp;"*"&amp;RIGHT($C$82,4)&amp;"*"&amp;BT$55&amp;"*"&amp;"A"</f>
        <v>#VALUE!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0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0</v>
      </c>
      <c r="Q803" s="273">
        <f>IF(BT77&gt;0,ROUND(BT77,0),0)</f>
        <v>0</v>
      </c>
      <c r="R803" s="273">
        <f>IF(BT78&gt;0,ROUND(BT78,0),0)</f>
        <v>0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>
      <c r="A804" s="209" t="e">
        <f>RIGHT($C$83,3)&amp;"*"&amp;RIGHT($C$82,4)&amp;"*"&amp;BU$55&amp;"*"&amp;"A"</f>
        <v>#VALUE!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3355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>
      <c r="A805" s="209" t="e">
        <f>RIGHT($C$83,3)&amp;"*"&amp;RIGHT($C$82,4)&amp;"*"&amp;BV$55&amp;"*"&amp;"A"</f>
        <v>#VALUE!</v>
      </c>
      <c r="B805" s="273"/>
      <c r="C805" s="275">
        <f>ROUND(BV60,2)</f>
        <v>11.21</v>
      </c>
      <c r="D805" s="273">
        <f>ROUND(BV61,0)</f>
        <v>176289</v>
      </c>
      <c r="E805" s="273">
        <f>ROUND(BV62,0)</f>
        <v>13983</v>
      </c>
      <c r="F805" s="273">
        <f>ROUND(BV63,0)</f>
        <v>0</v>
      </c>
      <c r="G805" s="273">
        <f>ROUND(BV64,0)</f>
        <v>1532</v>
      </c>
      <c r="H805" s="273">
        <f>ROUND(BV65,0)</f>
        <v>0</v>
      </c>
      <c r="I805" s="273">
        <f>ROUND(BV66,0)</f>
        <v>53038</v>
      </c>
      <c r="J805" s="273">
        <f>ROUND(BV67,0)</f>
        <v>0</v>
      </c>
      <c r="K805" s="273">
        <f>ROUND(BV68,0)</f>
        <v>10243</v>
      </c>
      <c r="L805" s="273">
        <f>ROUND(BV69,0)</f>
        <v>2018</v>
      </c>
      <c r="M805" s="273">
        <f>ROUND(BV70,0)</f>
        <v>0</v>
      </c>
      <c r="N805" s="273"/>
      <c r="O805" s="273"/>
      <c r="P805" s="273">
        <f>IF(BV76&gt;0,ROUND(BV76,0),0)</f>
        <v>0</v>
      </c>
      <c r="Q805" s="273">
        <f>IF(BV77&gt;0,ROUND(BV77,0),0)</f>
        <v>0</v>
      </c>
      <c r="R805" s="273">
        <f>IF(BV78&gt;0,ROUND(BV78,0),0)</f>
        <v>219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>
      <c r="A806" s="209" t="e">
        <f>RIGHT($C$83,3)&amp;"*"&amp;RIGHT($C$82,4)&amp;"*"&amp;BW$55&amp;"*"&amp;"A"</f>
        <v>#VALUE!</v>
      </c>
      <c r="B806" s="273"/>
      <c r="C806" s="275">
        <f>ROUND(BW60,2)</f>
        <v>1.22</v>
      </c>
      <c r="D806" s="273">
        <f>ROUND(BW61,0)</f>
        <v>35115</v>
      </c>
      <c r="E806" s="273">
        <f>ROUND(BW62,0)</f>
        <v>2644</v>
      </c>
      <c r="F806" s="273">
        <f>ROUND(BW63,0)</f>
        <v>0</v>
      </c>
      <c r="G806" s="273">
        <f>ROUND(BW64,0)</f>
        <v>252</v>
      </c>
      <c r="H806" s="273">
        <f>ROUND(BW65,0)</f>
        <v>0</v>
      </c>
      <c r="I806" s="273">
        <f>ROUND(BW66,0)</f>
        <v>17425</v>
      </c>
      <c r="J806" s="273">
        <f>ROUND(BW67,0)</f>
        <v>0</v>
      </c>
      <c r="K806" s="273">
        <f>ROUND(BW68,0)</f>
        <v>128</v>
      </c>
      <c r="L806" s="273">
        <f>ROUND(BW69,0)</f>
        <v>-1992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>
      <c r="A807" s="209" t="e">
        <f>RIGHT($C$83,3)&amp;"*"&amp;RIGHT($C$82,4)&amp;"*"&amp;BX$55&amp;"*"&amp;"A"</f>
        <v>#VALUE!</v>
      </c>
      <c r="B807" s="273"/>
      <c r="C807" s="275">
        <f>ROUND(BX60,2)</f>
        <v>3.36</v>
      </c>
      <c r="D807" s="273">
        <f>ROUND(BX61,0)</f>
        <v>121531</v>
      </c>
      <c r="E807" s="273">
        <f>ROUND(BX62,0)</f>
        <v>8955</v>
      </c>
      <c r="F807" s="273">
        <f>ROUND(BX63,0)</f>
        <v>13950</v>
      </c>
      <c r="G807" s="273">
        <f>ROUND(BX64,0)</f>
        <v>9</v>
      </c>
      <c r="H807" s="273">
        <f>ROUND(BX65,0)</f>
        <v>0</v>
      </c>
      <c r="I807" s="273">
        <f>ROUND(BX66,0)</f>
        <v>44021</v>
      </c>
      <c r="J807" s="273">
        <f>ROUND(BX67,0)</f>
        <v>0</v>
      </c>
      <c r="K807" s="273">
        <f>ROUND(BX68,0)</f>
        <v>0</v>
      </c>
      <c r="L807" s="273">
        <f>ROUND(BX69,0)</f>
        <v>18716</v>
      </c>
      <c r="M807" s="273">
        <f>ROUND(BX70,0)</f>
        <v>0</v>
      </c>
      <c r="N807" s="273"/>
      <c r="O807" s="273"/>
      <c r="P807" s="273">
        <f>IF(BX76&gt;0,ROUND(BX76,0),0)</f>
        <v>83</v>
      </c>
      <c r="Q807" s="273">
        <f>IF(BX77&gt;0,ROUND(BX77,0),0)</f>
        <v>0</v>
      </c>
      <c r="R807" s="273">
        <f>IF(BX78&gt;0,ROUND(BX78,0),0)</f>
        <v>5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>
      <c r="A808" s="209" t="e">
        <f>RIGHT($C$83,3)&amp;"*"&amp;RIGHT($C$82,4)&amp;"*"&amp;BY$55&amp;"*"&amp;"A"</f>
        <v>#VALUE!</v>
      </c>
      <c r="B808" s="273"/>
      <c r="C808" s="275">
        <f>ROUND(BY60,2)</f>
        <v>2.0699999999999998</v>
      </c>
      <c r="D808" s="273">
        <f>ROUND(BY61,0)</f>
        <v>250370</v>
      </c>
      <c r="E808" s="273">
        <f>ROUND(BY62,0)</f>
        <v>18534</v>
      </c>
      <c r="F808" s="273">
        <f>ROUND(BY63,0)</f>
        <v>0</v>
      </c>
      <c r="G808" s="273">
        <f>ROUND(BY64,0)</f>
        <v>5186</v>
      </c>
      <c r="H808" s="273">
        <f>ROUND(BY65,0)</f>
        <v>0</v>
      </c>
      <c r="I808" s="273">
        <f>ROUND(BY66,0)</f>
        <v>57</v>
      </c>
      <c r="J808" s="273">
        <f>ROUND(BY67,0)</f>
        <v>0</v>
      </c>
      <c r="K808" s="273">
        <f>ROUND(BY68,0)</f>
        <v>119</v>
      </c>
      <c r="L808" s="273">
        <f>ROUND(BY69,0)</f>
        <v>-50</v>
      </c>
      <c r="M808" s="273">
        <f>ROUND(BY70,0)</f>
        <v>0</v>
      </c>
      <c r="N808" s="273"/>
      <c r="O808" s="273"/>
      <c r="P808" s="273">
        <f>IF(BY76&gt;0,ROUND(BY76,0),0)</f>
        <v>1165</v>
      </c>
      <c r="Q808" s="273">
        <f>IF(BY77&gt;0,ROUND(BY77,0),0)</f>
        <v>0</v>
      </c>
      <c r="R808" s="273">
        <f>IF(BY78&gt;0,ROUND(BY78,0),0)</f>
        <v>76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>
      <c r="A809" s="209" t="e">
        <f>RIGHT($C$83,3)&amp;"*"&amp;RIGHT($C$82,4)&amp;"*"&amp;BZ$55&amp;"*"&amp;"A"</f>
        <v>#VALUE!</v>
      </c>
      <c r="B809" s="273"/>
      <c r="C809" s="275">
        <f>ROUND(BZ60,2)</f>
        <v>0</v>
      </c>
      <c r="D809" s="273">
        <f>ROUND(BZ61,0)</f>
        <v>0</v>
      </c>
      <c r="E809" s="273">
        <f>ROUND(BZ62,0)</f>
        <v>0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>
      <c r="A810" s="209" t="e">
        <f>RIGHT($C$83,3)&amp;"*"&amp;RIGHT($C$82,4)&amp;"*"&amp;CA$55&amp;"*"&amp;"A"</f>
        <v>#VALUE!</v>
      </c>
      <c r="B810" s="273"/>
      <c r="C810" s="275">
        <f>ROUND(CA60,2)</f>
        <v>1.87</v>
      </c>
      <c r="D810" s="273">
        <f>ROUND(CA61,0)</f>
        <v>64766</v>
      </c>
      <c r="E810" s="273">
        <f>ROUND(CA62,0)</f>
        <v>4834</v>
      </c>
      <c r="F810" s="273">
        <f>ROUND(CA63,0)</f>
        <v>0</v>
      </c>
      <c r="G810" s="273">
        <f>ROUND(CA64,0)</f>
        <v>693</v>
      </c>
      <c r="H810" s="273">
        <f>ROUND(CA65,0)</f>
        <v>0</v>
      </c>
      <c r="I810" s="273">
        <f>ROUND(CA66,0)</f>
        <v>1000</v>
      </c>
      <c r="J810" s="273">
        <f>ROUND(CA67,0)</f>
        <v>0</v>
      </c>
      <c r="K810" s="273">
        <f>ROUND(CA68,0)</f>
        <v>0</v>
      </c>
      <c r="L810" s="273">
        <f>ROUND(CA69,0)</f>
        <v>20022</v>
      </c>
      <c r="M810" s="273">
        <f>ROUND(CA70,0)</f>
        <v>0</v>
      </c>
      <c r="N810" s="273"/>
      <c r="O810" s="273"/>
      <c r="P810" s="273">
        <f>IF(CA76&gt;0,ROUND(CA76,0),0)</f>
        <v>2239</v>
      </c>
      <c r="Q810" s="273">
        <f>IF(CA77&gt;0,ROUND(CA77,0),0)</f>
        <v>0</v>
      </c>
      <c r="R810" s="273">
        <f>IF(CA78&gt;0,ROUND(CA78,0),0)</f>
        <v>146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>
      <c r="A811" s="209" t="e">
        <f>RIGHT($C$83,3)&amp;"*"&amp;RIGHT($C$82,4)&amp;"*"&amp;CB$55&amp;"*"&amp;"A"</f>
        <v>#VALUE!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0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>
      <c r="A812" s="209" t="e">
        <f>RIGHT($C$83,3)&amp;"*"&amp;RIGHT($C$82,4)&amp;"*"&amp;CC$55&amp;"*"&amp;"A"</f>
        <v>#VALUE!</v>
      </c>
      <c r="B812" s="273"/>
      <c r="C812" s="275">
        <f>ROUND(CC60,2)</f>
        <v>0</v>
      </c>
      <c r="D812" s="273">
        <f>ROUND(CC61,0)</f>
        <v>0</v>
      </c>
      <c r="E812" s="273">
        <f>ROUND(CC62,0)</f>
        <v>0</v>
      </c>
      <c r="F812" s="273">
        <f>ROUND(CC63,0)</f>
        <v>0</v>
      </c>
      <c r="G812" s="273">
        <f>ROUND(CC64,0)</f>
        <v>0</v>
      </c>
      <c r="H812" s="273">
        <f>ROUND(CC65,0)</f>
        <v>0</v>
      </c>
      <c r="I812" s="273">
        <f>ROUND(CC66,0)</f>
        <v>0</v>
      </c>
      <c r="J812" s="273">
        <f>ROUND(CC67,0)</f>
        <v>0</v>
      </c>
      <c r="K812" s="273">
        <f>ROUND(CC68,0)</f>
        <v>0</v>
      </c>
      <c r="L812" s="273">
        <f>ROUND(CC69,0)</f>
        <v>0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>
      <c r="A813" s="209" t="e">
        <f>RIGHT($C$83,3)&amp;"*"&amp;RIGHT($C$82,4)&amp;"*"&amp;"9000"&amp;"*"&amp;"A"</f>
        <v>#VALUE!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-72174</v>
      </c>
      <c r="V813" s="274">
        <f>ROUND(CD70,0)</f>
        <v>0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>
      <c r="B815" s="277" t="s">
        <v>1004</v>
      </c>
      <c r="C815" s="278">
        <f t="shared" ref="C815:K815" si="25">SUM(C734:C813)</f>
        <v>440.15000000000003</v>
      </c>
      <c r="D815" s="274">
        <f t="shared" si="25"/>
        <v>9508106</v>
      </c>
      <c r="E815" s="274">
        <f t="shared" si="25"/>
        <v>1845896</v>
      </c>
      <c r="F815" s="274">
        <f t="shared" si="25"/>
        <v>1339041</v>
      </c>
      <c r="G815" s="274">
        <f t="shared" si="25"/>
        <v>4057080</v>
      </c>
      <c r="H815" s="274">
        <f t="shared" si="25"/>
        <v>248782</v>
      </c>
      <c r="I815" s="274">
        <f t="shared" si="25"/>
        <v>2758399</v>
      </c>
      <c r="J815" s="274">
        <f t="shared" si="25"/>
        <v>0</v>
      </c>
      <c r="K815" s="274">
        <f t="shared" si="25"/>
        <v>621446</v>
      </c>
      <c r="L815" s="274">
        <f>SUM(L734:L813)+SUM(U734:U813)</f>
        <v>3096332</v>
      </c>
      <c r="M815" s="274">
        <f>SUM(M734:M813)+SUM(V734:V813)</f>
        <v>0</v>
      </c>
      <c r="N815" s="274">
        <f t="shared" ref="N815:Y815" si="26">SUM(N734:N813)</f>
        <v>141231056</v>
      </c>
      <c r="O815" s="274">
        <f t="shared" si="26"/>
        <v>53881939</v>
      </c>
      <c r="P815" s="274">
        <f t="shared" si="26"/>
        <v>155374</v>
      </c>
      <c r="Q815" s="274">
        <f t="shared" si="26"/>
        <v>9270</v>
      </c>
      <c r="R815" s="274">
        <f t="shared" si="26"/>
        <v>10157</v>
      </c>
      <c r="S815" s="274" t="e">
        <f t="shared" si="26"/>
        <v>#REF!</v>
      </c>
      <c r="T815" s="278">
        <f t="shared" si="26"/>
        <v>366.69999999999993</v>
      </c>
      <c r="U815" s="274">
        <f t="shared" si="26"/>
        <v>-72174</v>
      </c>
      <c r="V815" s="274">
        <f t="shared" si="26"/>
        <v>0</v>
      </c>
      <c r="W815" s="274">
        <f t="shared" si="26"/>
        <v>0</v>
      </c>
      <c r="X815" s="274">
        <f t="shared" si="26"/>
        <v>0</v>
      </c>
      <c r="Y815" s="274" t="e">
        <f t="shared" si="26"/>
        <v>#REF!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>
      <c r="B816" s="274" t="s">
        <v>1005</v>
      </c>
      <c r="C816" s="278">
        <f>CE60</f>
        <v>440.15000000000009</v>
      </c>
      <c r="D816" s="274">
        <f>CE61</f>
        <v>9508106</v>
      </c>
      <c r="E816" s="274">
        <f>CE62</f>
        <v>1845896</v>
      </c>
      <c r="F816" s="274">
        <f>CE63</f>
        <v>1339041</v>
      </c>
      <c r="G816" s="274">
        <f>CE64</f>
        <v>4057080</v>
      </c>
      <c r="H816" s="277">
        <f>CE65</f>
        <v>248782</v>
      </c>
      <c r="I816" s="277">
        <f>CE66</f>
        <v>2758399</v>
      </c>
      <c r="J816" s="277">
        <f>CE67</f>
        <v>0</v>
      </c>
      <c r="K816" s="277">
        <f>CE68</f>
        <v>621446</v>
      </c>
      <c r="L816" s="277">
        <f>CE69</f>
        <v>3096332</v>
      </c>
      <c r="M816" s="277">
        <f>CE70</f>
        <v>0</v>
      </c>
      <c r="N816" s="274">
        <f>CE75</f>
        <v>141231056</v>
      </c>
      <c r="O816" s="274">
        <f>CE73</f>
        <v>53881939</v>
      </c>
      <c r="P816" s="274">
        <f>CE76</f>
        <v>155374</v>
      </c>
      <c r="Q816" s="274">
        <f>CE77</f>
        <v>9270</v>
      </c>
      <c r="R816" s="274">
        <f>CE78</f>
        <v>10157</v>
      </c>
      <c r="S816" s="274">
        <f>CE79</f>
        <v>124036</v>
      </c>
      <c r="T816" s="278">
        <f>CE80</f>
        <v>366.69999999999993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9238901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>
      <c r="B817" s="180" t="s">
        <v>471</v>
      </c>
      <c r="C817" s="199" t="s">
        <v>1007</v>
      </c>
      <c r="D817" s="180">
        <f>C378</f>
        <v>9508095</v>
      </c>
      <c r="E817" s="180">
        <f>C379</f>
        <v>1845896</v>
      </c>
      <c r="F817" s="180">
        <f>C380</f>
        <v>1339041</v>
      </c>
      <c r="G817" s="238">
        <f>C381</f>
        <v>4057074</v>
      </c>
      <c r="H817" s="238">
        <f>C382</f>
        <v>248783</v>
      </c>
      <c r="I817" s="238">
        <f>C383</f>
        <v>2758397</v>
      </c>
      <c r="J817" s="238">
        <f>C384</f>
        <v>0</v>
      </c>
      <c r="K817" s="238">
        <f>C385</f>
        <v>621444</v>
      </c>
      <c r="L817" s="238">
        <f>C386+C387+C388+C389</f>
        <v>3096332</v>
      </c>
      <c r="M817" s="238">
        <f>C370</f>
        <v>48385</v>
      </c>
      <c r="N817" s="180">
        <f>D361</f>
        <v>141231056</v>
      </c>
      <c r="O817" s="180">
        <f>C359</f>
        <v>53881939</v>
      </c>
    </row>
  </sheetData>
  <mergeCells count="1">
    <mergeCell ref="B220:C220"/>
  </mergeCells>
  <phoneticPr fontId="86" type="noConversion"/>
  <hyperlinks>
    <hyperlink ref="F16" r:id="rId1" xr:uid="{5A023032-589F-4F65-A46C-4F6BF8B4A0DD}"/>
    <hyperlink ref="C17" r:id="rId2" xr:uid="{0B502345-7702-4F26-A15C-02BD861C37C6}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D1F8-B986-4235-9F12-F02B5DD186EF}">
  <sheetPr syncVertical="1" syncRef="C335" transitionEvaluation="1" transitionEntry="1">
    <pageSetUpPr autoPageBreaks="0" fitToPage="1"/>
  </sheetPr>
  <dimension ref="A1:CF817"/>
  <sheetViews>
    <sheetView showGridLines="0" topLeftCell="A335" zoomScale="75" zoomScaleNormal="75" workbookViewId="0">
      <pane xSplit="2" topLeftCell="C1" activePane="topRight" state="frozen"/>
      <selection activeCell="A73" sqref="A73"/>
      <selection pane="topRight" activeCell="A73" sqref="A73:XFD74"/>
    </sheetView>
  </sheetViews>
  <sheetFormatPr defaultColWidth="11.75" defaultRowHeight="12.65" customHeight="1"/>
  <cols>
    <col min="1" max="1" width="29.58203125" style="2" customWidth="1"/>
    <col min="2" max="2" width="15.58203125" style="2" customWidth="1"/>
    <col min="3" max="3" width="14.75" style="2" customWidth="1"/>
    <col min="4" max="4" width="13.25" style="2" customWidth="1"/>
    <col min="5" max="36" width="11.75" style="2"/>
    <col min="37" max="37" width="12.6640625" style="2" bestFit="1" customWidth="1"/>
    <col min="38" max="16384" width="11.75" style="2"/>
  </cols>
  <sheetData>
    <row r="1" spans="1:6" ht="12.75" customHeight="1">
      <c r="A1" s="288" t="s">
        <v>1232</v>
      </c>
    </row>
    <row r="2" spans="1:6" ht="12.75" customHeight="1">
      <c r="A2" s="2" t="s">
        <v>1233</v>
      </c>
      <c r="C2" s="289"/>
    </row>
    <row r="3" spans="1:6" ht="12.75" customHeight="1">
      <c r="A3" s="290"/>
      <c r="C3" s="289"/>
    </row>
    <row r="4" spans="1:6" ht="12.75" customHeight="1">
      <c r="C4" s="289"/>
    </row>
    <row r="5" spans="1:6" ht="12.75" customHeight="1">
      <c r="A5" s="290" t="s">
        <v>1258</v>
      </c>
      <c r="C5" s="289"/>
    </row>
    <row r="6" spans="1:6" ht="12.75" customHeight="1">
      <c r="A6" s="290" t="s">
        <v>0</v>
      </c>
      <c r="C6" s="289"/>
    </row>
    <row r="7" spans="1:6" ht="12.75" customHeight="1">
      <c r="A7" s="290" t="s">
        <v>1</v>
      </c>
      <c r="C7" s="289"/>
    </row>
    <row r="8" spans="1:6" ht="12.75" customHeight="1">
      <c r="C8" s="289"/>
    </row>
    <row r="9" spans="1:6" ht="12.75" customHeight="1">
      <c r="C9" s="289"/>
    </row>
    <row r="10" spans="1:6" ht="12.75" customHeight="1">
      <c r="A10" s="288" t="s">
        <v>1228</v>
      </c>
      <c r="C10" s="289"/>
    </row>
    <row r="11" spans="1:6" ht="12.75" customHeight="1">
      <c r="A11" s="288" t="s">
        <v>1231</v>
      </c>
      <c r="C11" s="289"/>
    </row>
    <row r="12" spans="1:6" ht="12.75" customHeight="1">
      <c r="C12" s="289"/>
    </row>
    <row r="13" spans="1:6" ht="12.75" customHeight="1">
      <c r="C13" s="289"/>
    </row>
    <row r="14" spans="1:6" ht="12.75" customHeight="1">
      <c r="A14" s="290" t="s">
        <v>2</v>
      </c>
      <c r="C14" s="289"/>
    </row>
    <row r="15" spans="1:6" ht="12.75" customHeight="1">
      <c r="A15" s="290"/>
      <c r="C15" s="289"/>
    </row>
    <row r="16" spans="1:6" ht="12.75" customHeight="1">
      <c r="A16" s="2" t="s">
        <v>1260</v>
      </c>
      <c r="C16" s="289"/>
      <c r="F16" s="280" t="s">
        <v>1259</v>
      </c>
    </row>
    <row r="17" spans="1:6" ht="12.75" customHeight="1">
      <c r="A17" s="2" t="s">
        <v>1230</v>
      </c>
      <c r="C17" s="280" t="s">
        <v>1259</v>
      </c>
    </row>
    <row r="18" spans="1:6" ht="12.75" customHeight="1">
      <c r="A18" s="293"/>
      <c r="C18" s="289"/>
    </row>
    <row r="19" spans="1:6" ht="12.75" customHeight="1">
      <c r="C19" s="289"/>
    </row>
    <row r="20" spans="1:6" ht="12.75" customHeight="1">
      <c r="A20" s="294" t="s">
        <v>1234</v>
      </c>
      <c r="B20" s="294"/>
      <c r="C20" s="295"/>
      <c r="D20" s="294"/>
      <c r="E20" s="294"/>
      <c r="F20" s="294"/>
    </row>
    <row r="21" spans="1:6" ht="22.5" customHeight="1">
      <c r="A21" s="290"/>
      <c r="C21" s="289"/>
    </row>
    <row r="22" spans="1:6" ht="12.65" customHeight="1">
      <c r="A22" s="296" t="s">
        <v>1254</v>
      </c>
      <c r="B22" s="297"/>
      <c r="C22" s="298"/>
      <c r="D22" s="296"/>
      <c r="E22" s="296"/>
    </row>
    <row r="23" spans="1:6" ht="12.65" customHeight="1">
      <c r="B23" s="290"/>
      <c r="C23" s="289"/>
    </row>
    <row r="24" spans="1:6" ht="12.65" customHeight="1">
      <c r="A24" s="299" t="s">
        <v>3</v>
      </c>
      <c r="C24" s="289"/>
    </row>
    <row r="25" spans="1:6" ht="12.65" customHeight="1">
      <c r="A25" s="288" t="s">
        <v>1235</v>
      </c>
      <c r="C25" s="289"/>
    </row>
    <row r="26" spans="1:6" ht="12.65" customHeight="1">
      <c r="A26" s="290" t="s">
        <v>4</v>
      </c>
      <c r="C26" s="289"/>
    </row>
    <row r="27" spans="1:6" ht="12.65" customHeight="1">
      <c r="A27" s="288" t="s">
        <v>1236</v>
      </c>
      <c r="C27" s="289"/>
    </row>
    <row r="28" spans="1:6" ht="12.65" customHeight="1">
      <c r="A28" s="290" t="s">
        <v>5</v>
      </c>
      <c r="C28" s="289"/>
    </row>
    <row r="29" spans="1:6" ht="12.65" customHeight="1">
      <c r="A29" s="288"/>
      <c r="C29" s="289"/>
    </row>
    <row r="30" spans="1:6" ht="12.65" customHeight="1">
      <c r="A30" s="2" t="s">
        <v>6</v>
      </c>
      <c r="C30" s="289"/>
    </row>
    <row r="31" spans="1:6" ht="12.65" customHeight="1">
      <c r="A31" s="290" t="s">
        <v>7</v>
      </c>
      <c r="C31" s="289"/>
    </row>
    <row r="32" spans="1:6" ht="12.65" customHeight="1">
      <c r="A32" s="290" t="s">
        <v>8</v>
      </c>
      <c r="C32" s="289"/>
    </row>
    <row r="33" spans="1:83" ht="12.65" customHeight="1">
      <c r="A33" s="288" t="s">
        <v>1237</v>
      </c>
      <c r="C33" s="289"/>
    </row>
    <row r="34" spans="1:83" ht="12.65" customHeight="1">
      <c r="A34" s="290" t="s">
        <v>9</v>
      </c>
      <c r="C34" s="289"/>
    </row>
    <row r="35" spans="1:83" ht="12.65" customHeight="1">
      <c r="A35" s="290"/>
      <c r="C35" s="289"/>
    </row>
    <row r="36" spans="1:83" ht="12.65" customHeight="1">
      <c r="A36" s="288" t="s">
        <v>1238</v>
      </c>
      <c r="C36" s="289"/>
    </row>
    <row r="37" spans="1:83" ht="12.65" customHeight="1">
      <c r="A37" s="290" t="s">
        <v>1229</v>
      </c>
      <c r="C37" s="289"/>
    </row>
    <row r="38" spans="1:83" ht="12" customHeight="1">
      <c r="A38" s="288"/>
      <c r="C38" s="289"/>
    </row>
    <row r="39" spans="1:83" ht="12.65" customHeight="1">
      <c r="A39" s="290"/>
      <c r="C39" s="289"/>
    </row>
    <row r="40" spans="1:83" ht="12" customHeight="1">
      <c r="A40" s="290"/>
      <c r="C40" s="289"/>
    </row>
    <row r="41" spans="1:83" ht="12" customHeight="1">
      <c r="A41" s="290"/>
      <c r="C41" s="300"/>
      <c r="D41" s="301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</row>
    <row r="42" spans="1:83" ht="12" customHeight="1">
      <c r="A42" s="290"/>
      <c r="C42" s="300"/>
      <c r="D42" s="301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2"/>
    </row>
    <row r="43" spans="1:83" ht="12" customHeight="1">
      <c r="A43" s="290"/>
      <c r="C43" s="289"/>
      <c r="F43" s="303"/>
    </row>
    <row r="44" spans="1:83" ht="12" customHeight="1">
      <c r="A44" s="304"/>
      <c r="B44" s="304"/>
      <c r="C44" s="305" t="s">
        <v>10</v>
      </c>
      <c r="D44" s="306" t="s">
        <v>11</v>
      </c>
      <c r="E44" s="306" t="s">
        <v>12</v>
      </c>
      <c r="F44" s="306" t="s">
        <v>13</v>
      </c>
      <c r="G44" s="306" t="s">
        <v>14</v>
      </c>
      <c r="H44" s="306" t="s">
        <v>15</v>
      </c>
      <c r="I44" s="306" t="s">
        <v>16</v>
      </c>
      <c r="J44" s="306" t="s">
        <v>17</v>
      </c>
      <c r="K44" s="306" t="s">
        <v>18</v>
      </c>
      <c r="L44" s="306" t="s">
        <v>19</v>
      </c>
      <c r="M44" s="306" t="s">
        <v>20</v>
      </c>
      <c r="N44" s="306" t="s">
        <v>21</v>
      </c>
      <c r="O44" s="306" t="s">
        <v>22</v>
      </c>
      <c r="P44" s="306" t="s">
        <v>23</v>
      </c>
      <c r="Q44" s="306" t="s">
        <v>24</v>
      </c>
      <c r="R44" s="306" t="s">
        <v>25</v>
      </c>
      <c r="S44" s="306" t="s">
        <v>26</v>
      </c>
      <c r="T44" s="306" t="s">
        <v>27</v>
      </c>
      <c r="U44" s="306" t="s">
        <v>28</v>
      </c>
      <c r="V44" s="306" t="s">
        <v>29</v>
      </c>
      <c r="W44" s="306" t="s">
        <v>30</v>
      </c>
      <c r="X44" s="306" t="s">
        <v>31</v>
      </c>
      <c r="Y44" s="306" t="s">
        <v>32</v>
      </c>
      <c r="Z44" s="306" t="s">
        <v>33</v>
      </c>
      <c r="AA44" s="306" t="s">
        <v>34</v>
      </c>
      <c r="AB44" s="306" t="s">
        <v>35</v>
      </c>
      <c r="AC44" s="306" t="s">
        <v>36</v>
      </c>
      <c r="AD44" s="306" t="s">
        <v>37</v>
      </c>
      <c r="AE44" s="306" t="s">
        <v>38</v>
      </c>
      <c r="AF44" s="306" t="s">
        <v>39</v>
      </c>
      <c r="AG44" s="306" t="s">
        <v>40</v>
      </c>
      <c r="AH44" s="306" t="s">
        <v>41</v>
      </c>
      <c r="AI44" s="306" t="s">
        <v>42</v>
      </c>
      <c r="AJ44" s="306" t="s">
        <v>43</v>
      </c>
      <c r="AK44" s="306" t="s">
        <v>44</v>
      </c>
      <c r="AL44" s="306" t="s">
        <v>45</v>
      </c>
      <c r="AM44" s="306" t="s">
        <v>46</v>
      </c>
      <c r="AN44" s="306" t="s">
        <v>47</v>
      </c>
      <c r="AO44" s="306" t="s">
        <v>48</v>
      </c>
      <c r="AP44" s="306" t="s">
        <v>49</v>
      </c>
      <c r="AQ44" s="306" t="s">
        <v>50</v>
      </c>
      <c r="AR44" s="306" t="s">
        <v>51</v>
      </c>
      <c r="AS44" s="306" t="s">
        <v>52</v>
      </c>
      <c r="AT44" s="306" t="s">
        <v>53</v>
      </c>
      <c r="AU44" s="306" t="s">
        <v>54</v>
      </c>
      <c r="AV44" s="306" t="s">
        <v>55</v>
      </c>
      <c r="AW44" s="306" t="s">
        <v>56</v>
      </c>
      <c r="AX44" s="306" t="s">
        <v>57</v>
      </c>
      <c r="AY44" s="306" t="s">
        <v>58</v>
      </c>
      <c r="AZ44" s="306" t="s">
        <v>59</v>
      </c>
      <c r="BA44" s="306" t="s">
        <v>60</v>
      </c>
      <c r="BB44" s="306" t="s">
        <v>61</v>
      </c>
      <c r="BC44" s="306" t="s">
        <v>62</v>
      </c>
      <c r="BD44" s="306" t="s">
        <v>63</v>
      </c>
      <c r="BE44" s="306" t="s">
        <v>64</v>
      </c>
      <c r="BF44" s="306" t="s">
        <v>65</v>
      </c>
      <c r="BG44" s="306" t="s">
        <v>66</v>
      </c>
      <c r="BH44" s="306" t="s">
        <v>67</v>
      </c>
      <c r="BI44" s="306" t="s">
        <v>68</v>
      </c>
      <c r="BJ44" s="306" t="s">
        <v>69</v>
      </c>
      <c r="BK44" s="306" t="s">
        <v>70</v>
      </c>
      <c r="BL44" s="306" t="s">
        <v>71</v>
      </c>
      <c r="BM44" s="306" t="s">
        <v>72</v>
      </c>
      <c r="BN44" s="306" t="s">
        <v>73</v>
      </c>
      <c r="BO44" s="306" t="s">
        <v>74</v>
      </c>
      <c r="BP44" s="306" t="s">
        <v>75</v>
      </c>
      <c r="BQ44" s="306" t="s">
        <v>76</v>
      </c>
      <c r="BR44" s="306" t="s">
        <v>77</v>
      </c>
      <c r="BS44" s="306" t="s">
        <v>78</v>
      </c>
      <c r="BT44" s="306" t="s">
        <v>79</v>
      </c>
      <c r="BU44" s="306" t="s">
        <v>80</v>
      </c>
      <c r="BV44" s="306" t="s">
        <v>81</v>
      </c>
      <c r="BW44" s="306" t="s">
        <v>82</v>
      </c>
      <c r="BX44" s="306" t="s">
        <v>83</v>
      </c>
      <c r="BY44" s="306" t="s">
        <v>84</v>
      </c>
      <c r="BZ44" s="306" t="s">
        <v>85</v>
      </c>
      <c r="CA44" s="306" t="s">
        <v>86</v>
      </c>
      <c r="CB44" s="306" t="s">
        <v>87</v>
      </c>
      <c r="CC44" s="306" t="s">
        <v>88</v>
      </c>
      <c r="CD44" s="306" t="s">
        <v>89</v>
      </c>
      <c r="CE44" s="306" t="s">
        <v>90</v>
      </c>
    </row>
    <row r="45" spans="1:83" ht="12" customHeight="1">
      <c r="A45" s="304"/>
      <c r="B45" s="307" t="s">
        <v>91</v>
      </c>
      <c r="C45" s="305" t="s">
        <v>92</v>
      </c>
      <c r="D45" s="306" t="s">
        <v>93</v>
      </c>
      <c r="E45" s="306" t="s">
        <v>94</v>
      </c>
      <c r="F45" s="306" t="s">
        <v>95</v>
      </c>
      <c r="G45" s="306" t="s">
        <v>96</v>
      </c>
      <c r="H45" s="306" t="s">
        <v>97</v>
      </c>
      <c r="I45" s="306" t="s">
        <v>98</v>
      </c>
      <c r="J45" s="306" t="s">
        <v>99</v>
      </c>
      <c r="K45" s="306" t="s">
        <v>100</v>
      </c>
      <c r="L45" s="306" t="s">
        <v>101</v>
      </c>
      <c r="M45" s="306" t="s">
        <v>102</v>
      </c>
      <c r="N45" s="306" t="s">
        <v>103</v>
      </c>
      <c r="O45" s="306" t="s">
        <v>104</v>
      </c>
      <c r="P45" s="306" t="s">
        <v>105</v>
      </c>
      <c r="Q45" s="306" t="s">
        <v>106</v>
      </c>
      <c r="R45" s="306" t="s">
        <v>107</v>
      </c>
      <c r="S45" s="306" t="s">
        <v>108</v>
      </c>
      <c r="T45" s="306" t="s">
        <v>1194</v>
      </c>
      <c r="U45" s="306" t="s">
        <v>109</v>
      </c>
      <c r="V45" s="306" t="s">
        <v>110</v>
      </c>
      <c r="W45" s="306" t="s">
        <v>111</v>
      </c>
      <c r="X45" s="306" t="s">
        <v>112</v>
      </c>
      <c r="Y45" s="306" t="s">
        <v>113</v>
      </c>
      <c r="Z45" s="306" t="s">
        <v>113</v>
      </c>
      <c r="AA45" s="306" t="s">
        <v>114</v>
      </c>
      <c r="AB45" s="306" t="s">
        <v>115</v>
      </c>
      <c r="AC45" s="306" t="s">
        <v>116</v>
      </c>
      <c r="AD45" s="306" t="s">
        <v>117</v>
      </c>
      <c r="AE45" s="306" t="s">
        <v>96</v>
      </c>
      <c r="AF45" s="306" t="s">
        <v>97</v>
      </c>
      <c r="AG45" s="306" t="s">
        <v>118</v>
      </c>
      <c r="AH45" s="306" t="s">
        <v>119</v>
      </c>
      <c r="AI45" s="306" t="s">
        <v>120</v>
      </c>
      <c r="AJ45" s="306" t="s">
        <v>121</v>
      </c>
      <c r="AK45" s="306" t="s">
        <v>122</v>
      </c>
      <c r="AL45" s="306" t="s">
        <v>123</v>
      </c>
      <c r="AM45" s="306" t="s">
        <v>124</v>
      </c>
      <c r="AN45" s="306" t="s">
        <v>110</v>
      </c>
      <c r="AO45" s="306" t="s">
        <v>125</v>
      </c>
      <c r="AP45" s="306" t="s">
        <v>126</v>
      </c>
      <c r="AQ45" s="306" t="s">
        <v>127</v>
      </c>
      <c r="AR45" s="306" t="s">
        <v>128</v>
      </c>
      <c r="AS45" s="306" t="s">
        <v>129</v>
      </c>
      <c r="AT45" s="306" t="s">
        <v>130</v>
      </c>
      <c r="AU45" s="306" t="s">
        <v>131</v>
      </c>
      <c r="AV45" s="306" t="s">
        <v>132</v>
      </c>
      <c r="AW45" s="306" t="s">
        <v>133</v>
      </c>
      <c r="AX45" s="306" t="s">
        <v>134</v>
      </c>
      <c r="AY45" s="306" t="s">
        <v>135</v>
      </c>
      <c r="AZ45" s="306" t="s">
        <v>136</v>
      </c>
      <c r="BA45" s="306" t="s">
        <v>137</v>
      </c>
      <c r="BB45" s="306" t="s">
        <v>138</v>
      </c>
      <c r="BC45" s="306" t="s">
        <v>108</v>
      </c>
      <c r="BD45" s="306" t="s">
        <v>139</v>
      </c>
      <c r="BE45" s="306" t="s">
        <v>140</v>
      </c>
      <c r="BF45" s="306" t="s">
        <v>141</v>
      </c>
      <c r="BG45" s="306" t="s">
        <v>142</v>
      </c>
      <c r="BH45" s="306" t="s">
        <v>143</v>
      </c>
      <c r="BI45" s="306" t="s">
        <v>144</v>
      </c>
      <c r="BJ45" s="306" t="s">
        <v>145</v>
      </c>
      <c r="BK45" s="306" t="s">
        <v>146</v>
      </c>
      <c r="BL45" s="306" t="s">
        <v>147</v>
      </c>
      <c r="BM45" s="306" t="s">
        <v>132</v>
      </c>
      <c r="BN45" s="306" t="s">
        <v>148</v>
      </c>
      <c r="BO45" s="306" t="s">
        <v>149</v>
      </c>
      <c r="BP45" s="306" t="s">
        <v>150</v>
      </c>
      <c r="BQ45" s="306" t="s">
        <v>151</v>
      </c>
      <c r="BR45" s="306" t="s">
        <v>152</v>
      </c>
      <c r="BS45" s="306" t="s">
        <v>153</v>
      </c>
      <c r="BT45" s="306" t="s">
        <v>154</v>
      </c>
      <c r="BU45" s="306" t="s">
        <v>155</v>
      </c>
      <c r="BV45" s="306" t="s">
        <v>155</v>
      </c>
      <c r="BW45" s="306" t="s">
        <v>155</v>
      </c>
      <c r="BX45" s="306" t="s">
        <v>156</v>
      </c>
      <c r="BY45" s="306" t="s">
        <v>157</v>
      </c>
      <c r="BZ45" s="306" t="s">
        <v>158</v>
      </c>
      <c r="CA45" s="306" t="s">
        <v>159</v>
      </c>
      <c r="CB45" s="306" t="s">
        <v>160</v>
      </c>
      <c r="CC45" s="306" t="s">
        <v>132</v>
      </c>
      <c r="CD45" s="306"/>
      <c r="CE45" s="306" t="s">
        <v>161</v>
      </c>
    </row>
    <row r="46" spans="1:83" ht="12.65" customHeight="1">
      <c r="A46" s="304" t="s">
        <v>3</v>
      </c>
      <c r="B46" s="306" t="s">
        <v>162</v>
      </c>
      <c r="C46" s="305" t="s">
        <v>163</v>
      </c>
      <c r="D46" s="306" t="s">
        <v>163</v>
      </c>
      <c r="E46" s="306" t="s">
        <v>163</v>
      </c>
      <c r="F46" s="306" t="s">
        <v>164</v>
      </c>
      <c r="G46" s="306" t="s">
        <v>165</v>
      </c>
      <c r="H46" s="306" t="s">
        <v>163</v>
      </c>
      <c r="I46" s="306" t="s">
        <v>166</v>
      </c>
      <c r="J46" s="306"/>
      <c r="K46" s="306" t="s">
        <v>157</v>
      </c>
      <c r="L46" s="306" t="s">
        <v>167</v>
      </c>
      <c r="M46" s="306" t="s">
        <v>168</v>
      </c>
      <c r="N46" s="306" t="s">
        <v>169</v>
      </c>
      <c r="O46" s="306" t="s">
        <v>170</v>
      </c>
      <c r="P46" s="306" t="s">
        <v>169</v>
      </c>
      <c r="Q46" s="306" t="s">
        <v>171</v>
      </c>
      <c r="R46" s="306"/>
      <c r="S46" s="306" t="s">
        <v>169</v>
      </c>
      <c r="T46" s="306" t="s">
        <v>172</v>
      </c>
      <c r="U46" s="306"/>
      <c r="V46" s="306" t="s">
        <v>173</v>
      </c>
      <c r="W46" s="306" t="s">
        <v>174</v>
      </c>
      <c r="X46" s="306" t="s">
        <v>175</v>
      </c>
      <c r="Y46" s="306" t="s">
        <v>176</v>
      </c>
      <c r="Z46" s="306" t="s">
        <v>177</v>
      </c>
      <c r="AA46" s="306" t="s">
        <v>178</v>
      </c>
      <c r="AB46" s="306"/>
      <c r="AC46" s="306" t="s">
        <v>172</v>
      </c>
      <c r="AD46" s="306"/>
      <c r="AE46" s="306" t="s">
        <v>172</v>
      </c>
      <c r="AF46" s="306" t="s">
        <v>179</v>
      </c>
      <c r="AG46" s="306" t="s">
        <v>171</v>
      </c>
      <c r="AH46" s="306"/>
      <c r="AI46" s="306" t="s">
        <v>180</v>
      </c>
      <c r="AJ46" s="306"/>
      <c r="AK46" s="306" t="s">
        <v>172</v>
      </c>
      <c r="AL46" s="306" t="s">
        <v>172</v>
      </c>
      <c r="AM46" s="306" t="s">
        <v>172</v>
      </c>
      <c r="AN46" s="306" t="s">
        <v>181</v>
      </c>
      <c r="AO46" s="306" t="s">
        <v>182</v>
      </c>
      <c r="AP46" s="306" t="s">
        <v>121</v>
      </c>
      <c r="AQ46" s="306" t="s">
        <v>183</v>
      </c>
      <c r="AR46" s="306" t="s">
        <v>169</v>
      </c>
      <c r="AS46" s="306"/>
      <c r="AT46" s="306" t="s">
        <v>184</v>
      </c>
      <c r="AU46" s="306" t="s">
        <v>185</v>
      </c>
      <c r="AV46" s="306" t="s">
        <v>186</v>
      </c>
      <c r="AW46" s="306" t="s">
        <v>187</v>
      </c>
      <c r="AX46" s="306" t="s">
        <v>188</v>
      </c>
      <c r="AY46" s="306"/>
      <c r="AZ46" s="306"/>
      <c r="BA46" s="306" t="s">
        <v>189</v>
      </c>
      <c r="BB46" s="306" t="s">
        <v>169</v>
      </c>
      <c r="BC46" s="306" t="s">
        <v>183</v>
      </c>
      <c r="BD46" s="306"/>
      <c r="BE46" s="306"/>
      <c r="BF46" s="306"/>
      <c r="BG46" s="306"/>
      <c r="BH46" s="306" t="s">
        <v>190</v>
      </c>
      <c r="BI46" s="306" t="s">
        <v>169</v>
      </c>
      <c r="BJ46" s="306"/>
      <c r="BK46" s="306" t="s">
        <v>191</v>
      </c>
      <c r="BL46" s="306"/>
      <c r="BM46" s="306" t="s">
        <v>192</v>
      </c>
      <c r="BN46" s="306" t="s">
        <v>193</v>
      </c>
      <c r="BO46" s="306" t="s">
        <v>194</v>
      </c>
      <c r="BP46" s="306" t="s">
        <v>195</v>
      </c>
      <c r="BQ46" s="306" t="s">
        <v>196</v>
      </c>
      <c r="BR46" s="306"/>
      <c r="BS46" s="306" t="s">
        <v>197</v>
      </c>
      <c r="BT46" s="306" t="s">
        <v>169</v>
      </c>
      <c r="BU46" s="306" t="s">
        <v>198</v>
      </c>
      <c r="BV46" s="306" t="s">
        <v>199</v>
      </c>
      <c r="BW46" s="306" t="s">
        <v>200</v>
      </c>
      <c r="BX46" s="306" t="s">
        <v>151</v>
      </c>
      <c r="BY46" s="306" t="s">
        <v>193</v>
      </c>
      <c r="BZ46" s="306" t="s">
        <v>152</v>
      </c>
      <c r="CA46" s="306" t="s">
        <v>201</v>
      </c>
      <c r="CB46" s="306" t="s">
        <v>201</v>
      </c>
      <c r="CC46" s="306" t="s">
        <v>202</v>
      </c>
      <c r="CD46" s="306"/>
      <c r="CE46" s="306" t="s">
        <v>203</v>
      </c>
    </row>
    <row r="47" spans="1:83" ht="12.65" customHeight="1">
      <c r="A47" s="304" t="s">
        <v>204</v>
      </c>
      <c r="B47" s="308">
        <f>834009.57-13335-125329</f>
        <v>695345.57</v>
      </c>
      <c r="C47" s="309">
        <v>97412</v>
      </c>
      <c r="D47" s="309"/>
      <c r="E47" s="309">
        <v>60030</v>
      </c>
      <c r="F47" s="309"/>
      <c r="G47" s="309"/>
      <c r="H47" s="309"/>
      <c r="I47" s="309"/>
      <c r="J47" s="309"/>
      <c r="K47" s="309"/>
      <c r="L47" s="309"/>
      <c r="M47" s="309"/>
      <c r="N47" s="309"/>
      <c r="O47" s="309">
        <f>50534+3897</f>
        <v>54431</v>
      </c>
      <c r="P47" s="309">
        <v>23196</v>
      </c>
      <c r="Q47" s="309">
        <v>17529</v>
      </c>
      <c r="R47" s="309">
        <v>3098</v>
      </c>
      <c r="S47" s="309">
        <f>10049</f>
        <v>10049</v>
      </c>
      <c r="T47" s="309"/>
      <c r="U47" s="309">
        <v>28517</v>
      </c>
      <c r="V47" s="309"/>
      <c r="W47" s="309">
        <v>3001</v>
      </c>
      <c r="X47" s="309">
        <f>4003+5026</f>
        <v>9029</v>
      </c>
      <c r="Y47" s="309">
        <f>4750+1147+17060+7241+2835+21013</f>
        <v>54046</v>
      </c>
      <c r="Z47" s="309">
        <f>10624</f>
        <v>10624</v>
      </c>
      <c r="AA47" s="309">
        <f>3754</f>
        <v>3754</v>
      </c>
      <c r="AB47" s="309">
        <f>24755+2198</f>
        <v>26953</v>
      </c>
      <c r="AC47" s="309">
        <f>3861+17414</f>
        <v>21275</v>
      </c>
      <c r="AD47" s="309"/>
      <c r="AE47" s="309">
        <f>12011</f>
        <v>12011</v>
      </c>
      <c r="AF47" s="309"/>
      <c r="AG47" s="309">
        <f>40292</f>
        <v>40292</v>
      </c>
      <c r="AH47" s="309"/>
      <c r="AI47" s="309">
        <f>6148+28749</f>
        <v>34897</v>
      </c>
      <c r="AJ47" s="309"/>
      <c r="AK47" s="309">
        <f>1539</f>
        <v>1539</v>
      </c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>
        <f>8742+625</f>
        <v>9367</v>
      </c>
      <c r="AW47" s="309"/>
      <c r="AX47" s="309"/>
      <c r="AY47" s="309">
        <f>18545</f>
        <v>18545</v>
      </c>
      <c r="AZ47" s="309"/>
      <c r="BA47" s="309"/>
      <c r="BB47" s="309">
        <f>3843+11941</f>
        <v>15784</v>
      </c>
      <c r="BC47" s="309"/>
      <c r="BD47" s="309">
        <v>9127</v>
      </c>
      <c r="BE47" s="309">
        <f>11215+6736</f>
        <v>17951</v>
      </c>
      <c r="BF47" s="309">
        <f>15416</f>
        <v>15416</v>
      </c>
      <c r="BG47" s="309">
        <v>1175</v>
      </c>
      <c r="BH47" s="309">
        <f>9932</f>
        <v>9932</v>
      </c>
      <c r="BI47" s="309"/>
      <c r="BJ47" s="309">
        <f>4044</f>
        <v>4044</v>
      </c>
      <c r="BK47" s="309"/>
      <c r="BL47" s="309">
        <f>2772</f>
        <v>2772</v>
      </c>
      <c r="BM47" s="309">
        <f>13574</f>
        <v>13574</v>
      </c>
      <c r="BN47" s="309">
        <f>3655+2784+11421+105</f>
        <v>17965</v>
      </c>
      <c r="BO47" s="309"/>
      <c r="BP47" s="309">
        <f>1245</f>
        <v>1245</v>
      </c>
      <c r="BQ47" s="309"/>
      <c r="BR47" s="309">
        <f>5774+408+1142184</f>
        <v>1148366</v>
      </c>
      <c r="BS47" s="309"/>
      <c r="BT47" s="309"/>
      <c r="BU47" s="309"/>
      <c r="BV47" s="309">
        <f>13983</f>
        <v>13983</v>
      </c>
      <c r="BW47" s="309">
        <f>2644</f>
        <v>2644</v>
      </c>
      <c r="BX47" s="309">
        <f>8955</f>
        <v>8955</v>
      </c>
      <c r="BY47" s="309">
        <f>14056+4478</f>
        <v>18534</v>
      </c>
      <c r="BZ47" s="309"/>
      <c r="CA47" s="309">
        <v>4834</v>
      </c>
      <c r="CB47" s="309"/>
      <c r="CC47" s="309"/>
      <c r="CD47" s="304"/>
      <c r="CE47" s="304">
        <f>SUM(C47:CC47)</f>
        <v>1845896</v>
      </c>
    </row>
    <row r="48" spans="1:83" ht="12.65" customHeight="1">
      <c r="A48" s="304" t="s">
        <v>205</v>
      </c>
      <c r="B48" s="308">
        <f>1845898.34-B47</f>
        <v>1150552.77</v>
      </c>
      <c r="C48" s="310">
        <f>ROUND(((B48/CE61)*C61),0)</f>
        <v>159315</v>
      </c>
      <c r="D48" s="310">
        <f>ROUND(((B48/CE61)*D61),0)</f>
        <v>0</v>
      </c>
      <c r="E48" s="304">
        <f>ROUND(((B48/CE61)*E61),0)</f>
        <v>99438</v>
      </c>
      <c r="F48" s="304">
        <f>ROUND(((B48/CE61)*F61),0)</f>
        <v>0</v>
      </c>
      <c r="G48" s="304">
        <f>ROUND(((B48/CE61)*G61),0)</f>
        <v>0</v>
      </c>
      <c r="H48" s="304">
        <f>ROUND(((B48/CE61)*H61),0)</f>
        <v>0</v>
      </c>
      <c r="I48" s="304">
        <f>ROUND(((B48/CE61)*I61),0)</f>
        <v>0</v>
      </c>
      <c r="J48" s="304">
        <f>ROUND(((B48/CE61)*J61),0)</f>
        <v>0</v>
      </c>
      <c r="K48" s="304">
        <f>ROUND(((B48/CE61)*K61),0)</f>
        <v>0</v>
      </c>
      <c r="L48" s="304">
        <f>ROUND(((B48/CE61)*L61),0)</f>
        <v>0</v>
      </c>
      <c r="M48" s="304">
        <f>ROUND(((B48/CE61)*M61),0)</f>
        <v>0</v>
      </c>
      <c r="N48" s="304">
        <f>ROUND(((B48/CE61)*N61),0)</f>
        <v>0</v>
      </c>
      <c r="O48" s="304">
        <f>ROUND(((B48/CE61)*O61),0)</f>
        <v>88632</v>
      </c>
      <c r="P48" s="304">
        <f>ROUND(((B48/CE61)*P61),0)</f>
        <v>38019</v>
      </c>
      <c r="Q48" s="304">
        <f>ROUND(((B48/CE61)*Q61),0)</f>
        <v>28128</v>
      </c>
      <c r="R48" s="304">
        <f>ROUND(((B48/CE61)*R61),0)</f>
        <v>5220</v>
      </c>
      <c r="S48" s="304">
        <f>ROUND(((B48/CE61)*S61),0)</f>
        <v>16386</v>
      </c>
      <c r="T48" s="304">
        <f>ROUND(((B48/CE61)*T61),0)</f>
        <v>0</v>
      </c>
      <c r="U48" s="304">
        <f>ROUND(((B48/CE61)*U61),0)</f>
        <v>43808</v>
      </c>
      <c r="V48" s="304">
        <f>ROUND(((B48/CE61)*V61),0)</f>
        <v>0</v>
      </c>
      <c r="W48" s="304">
        <f>ROUND(((B48/CE61)*W61),0)</f>
        <v>5032</v>
      </c>
      <c r="X48" s="304">
        <f>ROUND(((B48/CE61)*X61),0)</f>
        <v>14803</v>
      </c>
      <c r="Y48" s="304">
        <f>ROUND(((B48/CE61)*Y61),0)</f>
        <v>88302</v>
      </c>
      <c r="Z48" s="304">
        <f>ROUND(((B48/CE61)*Z61),0)</f>
        <v>17606</v>
      </c>
      <c r="AA48" s="304">
        <f>ROUND(((B48/CE61)*AA61),0)</f>
        <v>6004</v>
      </c>
      <c r="AB48" s="304">
        <f>ROUND(((B48/CE61)*AB61),0)</f>
        <v>40111</v>
      </c>
      <c r="AC48" s="304">
        <f>ROUND(((B48/CE61)*AC61),0)</f>
        <v>34765</v>
      </c>
      <c r="AD48" s="304">
        <f>ROUND(((B48/CE61)*AD61),0)</f>
        <v>0</v>
      </c>
      <c r="AE48" s="304">
        <f>ROUND(((B48/CE61)*AE61),0)</f>
        <v>19706</v>
      </c>
      <c r="AF48" s="304">
        <f>ROUND(((B48/CE61)*AF61),0)</f>
        <v>0</v>
      </c>
      <c r="AG48" s="304">
        <f>ROUND(((B48/CE61)*AG61),0)</f>
        <v>65584</v>
      </c>
      <c r="AH48" s="304">
        <f>ROUND(((B48/CE61)*AH61),0)</f>
        <v>0</v>
      </c>
      <c r="AI48" s="304">
        <f>ROUND(((B48/CE61)*AI61),0)</f>
        <v>57897</v>
      </c>
      <c r="AJ48" s="304">
        <f>ROUND(((B48/CE61)*AJ61),0)</f>
        <v>0</v>
      </c>
      <c r="AK48" s="304">
        <f>ROUND(((B48/CE61)*AK61),0)</f>
        <v>2440</v>
      </c>
      <c r="AL48" s="304">
        <f>ROUND(((B48/CE61)*AL61),0)</f>
        <v>0</v>
      </c>
      <c r="AM48" s="304">
        <f>ROUND(((B48/CE61)*AM61),0)</f>
        <v>0</v>
      </c>
      <c r="AN48" s="304">
        <f>ROUND(((B48/CE61)*AN61),0)</f>
        <v>0</v>
      </c>
      <c r="AO48" s="304">
        <f>ROUND(((B48/CE61)*AO61),0)</f>
        <v>0</v>
      </c>
      <c r="AP48" s="304">
        <f>ROUND(((B48/CE61)*AP61),0)</f>
        <v>0</v>
      </c>
      <c r="AQ48" s="304">
        <f>ROUND(((B48/CE61)*AQ61),0)</f>
        <v>0</v>
      </c>
      <c r="AR48" s="304">
        <f>ROUND(((B48/CE61)*AR61),0)</f>
        <v>0</v>
      </c>
      <c r="AS48" s="304">
        <f>ROUND(((B48/CE61)*AS61),0)</f>
        <v>0</v>
      </c>
      <c r="AT48" s="304">
        <f>ROUND(((B48/CE61)*AT61),0)</f>
        <v>0</v>
      </c>
      <c r="AU48" s="304">
        <f>ROUND(((B48/CE61)*AU61),0)</f>
        <v>0</v>
      </c>
      <c r="AV48" s="304">
        <f>ROUND(((B48/CE61)*AV61),0)</f>
        <v>18648</v>
      </c>
      <c r="AW48" s="304">
        <f>ROUND(((B48/CE61)*AW61),0)</f>
        <v>0</v>
      </c>
      <c r="AX48" s="304">
        <f>ROUND(((B48/CE61)*AX61),0)</f>
        <v>0</v>
      </c>
      <c r="AY48" s="304">
        <f>ROUND(((B48/CE61)*AY61),0)</f>
        <v>29612</v>
      </c>
      <c r="AZ48" s="304">
        <f>ROUND(((B48/CE61)*AZ61),0)</f>
        <v>0</v>
      </c>
      <c r="BA48" s="304">
        <f>ROUND(((B48/CE61)*BA61),0)</f>
        <v>0</v>
      </c>
      <c r="BB48" s="304">
        <f>ROUND(((B48/CE61)*BB61),0)</f>
        <v>21060</v>
      </c>
      <c r="BC48" s="304">
        <f>ROUND(((B48/CE61)*BC61),0)</f>
        <v>0</v>
      </c>
      <c r="BD48" s="304">
        <f>ROUND(((B48/CE61)*BD61),0)</f>
        <v>15120</v>
      </c>
      <c r="BE48" s="304">
        <f>ROUND(((B48/CE61)*BE61),0)</f>
        <v>29797</v>
      </c>
      <c r="BF48" s="304">
        <f>ROUND(((B48/CE61)*BF61),0)</f>
        <v>25459</v>
      </c>
      <c r="BG48" s="304">
        <f>ROUND(((B48/CE61)*BG61),0)</f>
        <v>1840</v>
      </c>
      <c r="BH48" s="304">
        <f>ROUND(((B48/CE61)*BH61),0)</f>
        <v>15613</v>
      </c>
      <c r="BI48" s="304">
        <f>ROUND(((B48/CE61)*BI61),0)</f>
        <v>0</v>
      </c>
      <c r="BJ48" s="304">
        <f>ROUND(((B48/CE61)*BJ61),0)</f>
        <v>7321</v>
      </c>
      <c r="BK48" s="304">
        <f>ROUND(((B48/CE61)*BK61),0)</f>
        <v>0</v>
      </c>
      <c r="BL48" s="304">
        <f>ROUND(((B48/CE61)*BL61),0)</f>
        <v>4620</v>
      </c>
      <c r="BM48" s="304">
        <f>ROUND(((B48/CE61)*BM61),0)</f>
        <v>22372</v>
      </c>
      <c r="BN48" s="304">
        <f>ROUND(((B48/CE61)*BN61),0)</f>
        <v>36994</v>
      </c>
      <c r="BO48" s="304">
        <f>ROUND(((B48/CE61)*BO61),0)</f>
        <v>0</v>
      </c>
      <c r="BP48" s="304">
        <f>ROUND(((B48/CE61)*BP61),0)</f>
        <v>2004</v>
      </c>
      <c r="BQ48" s="304">
        <f>ROUND(((B48/CE61)*BQ61),0)</f>
        <v>0</v>
      </c>
      <c r="BR48" s="304">
        <f>ROUND(((B48/CE61)*BR61),0)</f>
        <v>10475</v>
      </c>
      <c r="BS48" s="304">
        <f>ROUND(((B48/CE61)*BS61),0)</f>
        <v>0</v>
      </c>
      <c r="BT48" s="304">
        <f>ROUND(((B48/CE61)*BT61),0)</f>
        <v>0</v>
      </c>
      <c r="BU48" s="304">
        <f>ROUND(((B48/CE61)*BU61),0)</f>
        <v>0</v>
      </c>
      <c r="BV48" s="304">
        <f>ROUND(((B48/CE61)*BV61),0)</f>
        <v>21332</v>
      </c>
      <c r="BW48" s="304">
        <f>ROUND(((B48/CE61)*BW61),0)</f>
        <v>4249</v>
      </c>
      <c r="BX48" s="304">
        <f>ROUND(((B48/CE61)*BX61),0)</f>
        <v>14706</v>
      </c>
      <c r="BY48" s="304">
        <f>ROUND(((B48/CE61)*BY61),0)</f>
        <v>30297</v>
      </c>
      <c r="BZ48" s="304">
        <f>ROUND(((B48/CE61)*BZ61),0)</f>
        <v>0</v>
      </c>
      <c r="CA48" s="304">
        <f>ROUND(((B48/CE61)*CA61),0)</f>
        <v>7837</v>
      </c>
      <c r="CB48" s="304">
        <f>ROUND(((B48/CE61)*CB61),0)</f>
        <v>0</v>
      </c>
      <c r="CC48" s="304">
        <f>ROUND(((B48/CE61)*CC61),0)</f>
        <v>0</v>
      </c>
      <c r="CD48" s="304"/>
      <c r="CE48" s="304">
        <f>SUM(C48:CD48)</f>
        <v>1150552</v>
      </c>
    </row>
    <row r="49" spans="1:83" ht="12.65" customHeight="1">
      <c r="A49" s="304" t="s">
        <v>206</v>
      </c>
      <c r="B49" s="304">
        <f>B47+B48</f>
        <v>1845898.3399999999</v>
      </c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</row>
    <row r="50" spans="1:83" ht="12.65" customHeight="1">
      <c r="A50" s="304" t="s">
        <v>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</row>
    <row r="51" spans="1:83" ht="12.65" customHeight="1">
      <c r="A51" s="311" t="s">
        <v>207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4"/>
      <c r="CE51" s="304">
        <f>SUM(C51:CD51)</f>
        <v>0</v>
      </c>
    </row>
    <row r="52" spans="1:83" ht="12.65" customHeight="1">
      <c r="A52" s="311" t="s">
        <v>208</v>
      </c>
      <c r="B52" s="309">
        <v>0</v>
      </c>
      <c r="C52" s="304">
        <f>ROUND((B52/(CE76+CF76)*C76),0)</f>
        <v>0</v>
      </c>
      <c r="D52" s="304">
        <f>ROUND((B52/(CE76+CF76)*D76),0)</f>
        <v>0</v>
      </c>
      <c r="E52" s="304">
        <f>ROUND((B52/(CE76+CF76)*E76),0)</f>
        <v>0</v>
      </c>
      <c r="F52" s="304">
        <f>ROUND((B52/(CE76+CF76)*F76),0)</f>
        <v>0</v>
      </c>
      <c r="G52" s="304">
        <f>ROUND((B52/(CE76+CF76)*G76),0)</f>
        <v>0</v>
      </c>
      <c r="H52" s="304">
        <f>ROUND((B52/(CE76+CF76)*H76),0)</f>
        <v>0</v>
      </c>
      <c r="I52" s="304">
        <f>ROUND((B52/(CE76+CF76)*I76),0)</f>
        <v>0</v>
      </c>
      <c r="J52" s="304">
        <f>ROUND((B52/(CE76+CF76)*J76),0)</f>
        <v>0</v>
      </c>
      <c r="K52" s="304">
        <f>ROUND((B52/(CE76+CF76)*K76),0)</f>
        <v>0</v>
      </c>
      <c r="L52" s="304">
        <f>ROUND((B52/(CE76+CF76)*L76),0)</f>
        <v>0</v>
      </c>
      <c r="M52" s="304">
        <f>ROUND((B52/(CE76+CF76)*M76),0)</f>
        <v>0</v>
      </c>
      <c r="N52" s="304">
        <f>ROUND((B52/(CE76+CF76)*N76),0)</f>
        <v>0</v>
      </c>
      <c r="O52" s="304">
        <f>ROUND((B52/(CE76+CF76)*O76),0)</f>
        <v>0</v>
      </c>
      <c r="P52" s="304">
        <f>ROUND((B52/(CE76+CF76)*P76),0)</f>
        <v>0</v>
      </c>
      <c r="Q52" s="304">
        <f>ROUND((B52/(CE76+CF76)*Q76),0)</f>
        <v>0</v>
      </c>
      <c r="R52" s="304">
        <f>ROUND((B52/(CE76+CF76)*R76),0)</f>
        <v>0</v>
      </c>
      <c r="S52" s="304">
        <f>ROUND((B52/(CE76+CF76)*S76),0)</f>
        <v>0</v>
      </c>
      <c r="T52" s="304">
        <f>ROUND((B52/(CE76+CF76)*T76),0)</f>
        <v>0</v>
      </c>
      <c r="U52" s="304">
        <f>ROUND((B52/(CE76+CF76)*U76),0)</f>
        <v>0</v>
      </c>
      <c r="V52" s="304">
        <f>ROUND((B52/(CE76+CF76)*V76),0)</f>
        <v>0</v>
      </c>
      <c r="W52" s="304">
        <f>ROUND((B52/(CE76+CF76)*W76),0)</f>
        <v>0</v>
      </c>
      <c r="X52" s="304">
        <f>ROUND((B52/(CE76+CF76)*X76),0)</f>
        <v>0</v>
      </c>
      <c r="Y52" s="304">
        <f>ROUND((B52/(CE76+CF76)*Y76),0)</f>
        <v>0</v>
      </c>
      <c r="Z52" s="304">
        <f>ROUND((B52/(CE76+CF76)*Z76),0)</f>
        <v>0</v>
      </c>
      <c r="AA52" s="304">
        <f>ROUND((B52/(CE76+CF76)*AA76),0)</f>
        <v>0</v>
      </c>
      <c r="AB52" s="304">
        <f>ROUND((B52/(CE76+CF76)*AB76),0)</f>
        <v>0</v>
      </c>
      <c r="AC52" s="304">
        <f>ROUND((B52/(CE76+CF76)*AC76),0)</f>
        <v>0</v>
      </c>
      <c r="AD52" s="304">
        <f>ROUND((B52/(CE76+CF76)*AD76),0)</f>
        <v>0</v>
      </c>
      <c r="AE52" s="304">
        <f>ROUND((B52/(CE76+CF76)*AE76),0)</f>
        <v>0</v>
      </c>
      <c r="AF52" s="304">
        <f>ROUND((B52/(CE76+CF76)*AF76),0)</f>
        <v>0</v>
      </c>
      <c r="AG52" s="304">
        <f>ROUND((B52/(CE76+CF76)*AG76),0)</f>
        <v>0</v>
      </c>
      <c r="AH52" s="304">
        <f>ROUND((B52/(CE76+CF76)*AH76),0)</f>
        <v>0</v>
      </c>
      <c r="AI52" s="304">
        <f>ROUND((B52/(CE76+CF76)*AI76),0)</f>
        <v>0</v>
      </c>
      <c r="AJ52" s="304">
        <f>ROUND((B52/(CE76+CF76)*AJ76),0)</f>
        <v>0</v>
      </c>
      <c r="AK52" s="304">
        <f>ROUND((B52/(CE76+CF76)*AK76),0)</f>
        <v>0</v>
      </c>
      <c r="AL52" s="304">
        <f>ROUND((B52/(CE76+CF76)*AL76),0)</f>
        <v>0</v>
      </c>
      <c r="AM52" s="304">
        <f>ROUND((B52/(CE76+CF76)*AM76),0)</f>
        <v>0</v>
      </c>
      <c r="AN52" s="304">
        <f>ROUND((B52/(CE76+CF76)*AN76),0)</f>
        <v>0</v>
      </c>
      <c r="AO52" s="304">
        <f>ROUND((B52/(CE76+CF76)*AO76),0)</f>
        <v>0</v>
      </c>
      <c r="AP52" s="304">
        <f>ROUND((B52/(CE76+CF76)*AP76),0)</f>
        <v>0</v>
      </c>
      <c r="AQ52" s="304">
        <f>ROUND((B52/(CE76+CF76)*AQ76),0)</f>
        <v>0</v>
      </c>
      <c r="AR52" s="304">
        <f>ROUND((B52/(CE76+CF76)*AR76),0)</f>
        <v>0</v>
      </c>
      <c r="AS52" s="304">
        <f>ROUND((B52/(CE76+CF76)*AS76),0)</f>
        <v>0</v>
      </c>
      <c r="AT52" s="304">
        <f>ROUND((B52/(CE76+CF76)*AT76),0)</f>
        <v>0</v>
      </c>
      <c r="AU52" s="304">
        <f>ROUND((B52/(CE76+CF76)*AU76),0)</f>
        <v>0</v>
      </c>
      <c r="AV52" s="304">
        <f>ROUND((B52/(CE76+CF76)*AV76),0)</f>
        <v>0</v>
      </c>
      <c r="AW52" s="304">
        <f>ROUND((B52/(CE76+CF76)*AW76),0)</f>
        <v>0</v>
      </c>
      <c r="AX52" s="304">
        <f>ROUND((B52/(CE76+CF76)*AX76),0)</f>
        <v>0</v>
      </c>
      <c r="AY52" s="304">
        <f>ROUND((B52/(CE76+CF76)*AY76),0)</f>
        <v>0</v>
      </c>
      <c r="AZ52" s="304">
        <f>ROUND((B52/(CE76+CF76)*AZ76),0)</f>
        <v>0</v>
      </c>
      <c r="BA52" s="304">
        <f>ROUND((B52/(CE76+CF76)*BA76),0)</f>
        <v>0</v>
      </c>
      <c r="BB52" s="304">
        <f>ROUND((B52/(CE76+CF76)*BB76),0)</f>
        <v>0</v>
      </c>
      <c r="BC52" s="304">
        <f>ROUND((B52/(CE76+CF76)*BC76),0)</f>
        <v>0</v>
      </c>
      <c r="BD52" s="304">
        <f>ROUND((B52/(CE76+CF76)*BD76),0)</f>
        <v>0</v>
      </c>
      <c r="BE52" s="304">
        <f>ROUND((B52/(CE76+CF76)*BE76),0)</f>
        <v>0</v>
      </c>
      <c r="BF52" s="304">
        <f>ROUND((B52/(CE76+CF76)*BF76),0)</f>
        <v>0</v>
      </c>
      <c r="BG52" s="304">
        <f>ROUND((B52/(CE76+CF76)*BG76),0)</f>
        <v>0</v>
      </c>
      <c r="BH52" s="304">
        <f>ROUND((B52/(CE76+CF76)*BH76),0)</f>
        <v>0</v>
      </c>
      <c r="BI52" s="304">
        <f>ROUND((B52/(CE76+CF76)*BI76),0)</f>
        <v>0</v>
      </c>
      <c r="BJ52" s="304">
        <f>ROUND((B52/(CE76+CF76)*BJ76),0)</f>
        <v>0</v>
      </c>
      <c r="BK52" s="304">
        <f>ROUND((B52/(CE76+CF76)*BK76),0)</f>
        <v>0</v>
      </c>
      <c r="BL52" s="304">
        <f>ROUND((B52/(CE76+CF76)*BL76),0)</f>
        <v>0</v>
      </c>
      <c r="BM52" s="304">
        <f>ROUND((B52/(CE76+CF76)*BM76),0)</f>
        <v>0</v>
      </c>
      <c r="BN52" s="304">
        <f>ROUND((B52/(CE76+CF76)*BN76),0)</f>
        <v>0</v>
      </c>
      <c r="BO52" s="304">
        <f>ROUND((B52/(CE76+CF76)*BO76),0)</f>
        <v>0</v>
      </c>
      <c r="BP52" s="304">
        <f>ROUND((B52/(CE76+CF76)*BP76),0)</f>
        <v>0</v>
      </c>
      <c r="BQ52" s="304">
        <f>ROUND((B52/(CE76+CF76)*BQ76),0)</f>
        <v>0</v>
      </c>
      <c r="BR52" s="304">
        <f>ROUND((B52/(CE76+CF76)*BR76),0)</f>
        <v>0</v>
      </c>
      <c r="BS52" s="304">
        <f>ROUND((B52/(CE76+CF76)*BS76),0)</f>
        <v>0</v>
      </c>
      <c r="BT52" s="304">
        <f>ROUND((B52/(CE76+CF76)*BT76),0)</f>
        <v>0</v>
      </c>
      <c r="BU52" s="304">
        <f>ROUND((B52/(CE76+CF76)*BU76),0)</f>
        <v>0</v>
      </c>
      <c r="BV52" s="304">
        <f>ROUND((B52/(CE76+CF76)*BV76),0)</f>
        <v>0</v>
      </c>
      <c r="BW52" s="304">
        <f>ROUND((B52/(CE76+CF76)*BW76),0)</f>
        <v>0</v>
      </c>
      <c r="BX52" s="304">
        <f>ROUND((B52/(CE76+CF76)*BX76),0)</f>
        <v>0</v>
      </c>
      <c r="BY52" s="304">
        <f>ROUND((B52/(CE76+CF76)*BY76),0)</f>
        <v>0</v>
      </c>
      <c r="BZ52" s="304">
        <f>ROUND((B52/(CE76+CF76)*BZ76),0)</f>
        <v>0</v>
      </c>
      <c r="CA52" s="304">
        <f>ROUND((B52/(CE76+CF76)*CA76),0)</f>
        <v>0</v>
      </c>
      <c r="CB52" s="304">
        <f>ROUND((B52/(CE76+CF76)*CB76),0)</f>
        <v>0</v>
      </c>
      <c r="CC52" s="304">
        <f>ROUND((B52/(CE76+CF76)*CC76),0)</f>
        <v>0</v>
      </c>
      <c r="CD52" s="304"/>
      <c r="CE52" s="304">
        <f>SUM(C52:CD52)</f>
        <v>0</v>
      </c>
    </row>
    <row r="53" spans="1:83" ht="12.65" customHeight="1">
      <c r="A53" s="304" t="s">
        <v>206</v>
      </c>
      <c r="B53" s="304">
        <f>B51+B52</f>
        <v>0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</row>
    <row r="54" spans="1:83" ht="15.75" customHeight="1">
      <c r="A54" s="304"/>
      <c r="B54" s="304"/>
      <c r="C54" s="312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  <c r="CD54" s="304"/>
      <c r="CE54" s="304"/>
    </row>
    <row r="55" spans="1:83" ht="12.65" customHeight="1">
      <c r="A55" s="311" t="s">
        <v>209</v>
      </c>
      <c r="B55" s="304"/>
      <c r="C55" s="305" t="s">
        <v>10</v>
      </c>
      <c r="D55" s="306" t="s">
        <v>11</v>
      </c>
      <c r="E55" s="306" t="s">
        <v>12</v>
      </c>
      <c r="F55" s="306" t="s">
        <v>13</v>
      </c>
      <c r="G55" s="306" t="s">
        <v>14</v>
      </c>
      <c r="H55" s="306" t="s">
        <v>15</v>
      </c>
      <c r="I55" s="306" t="s">
        <v>16</v>
      </c>
      <c r="J55" s="306" t="s">
        <v>17</v>
      </c>
      <c r="K55" s="306" t="s">
        <v>18</v>
      </c>
      <c r="L55" s="306" t="s">
        <v>19</v>
      </c>
      <c r="M55" s="306" t="s">
        <v>20</v>
      </c>
      <c r="N55" s="306" t="s">
        <v>21</v>
      </c>
      <c r="O55" s="306" t="s">
        <v>22</v>
      </c>
      <c r="P55" s="306" t="s">
        <v>23</v>
      </c>
      <c r="Q55" s="306" t="s">
        <v>24</v>
      </c>
      <c r="R55" s="306" t="s">
        <v>25</v>
      </c>
      <c r="S55" s="306" t="s">
        <v>26</v>
      </c>
      <c r="T55" s="313" t="s">
        <v>27</v>
      </c>
      <c r="U55" s="306" t="s">
        <v>28</v>
      </c>
      <c r="V55" s="306" t="s">
        <v>29</v>
      </c>
      <c r="W55" s="306" t="s">
        <v>30</v>
      </c>
      <c r="X55" s="306" t="s">
        <v>31</v>
      </c>
      <c r="Y55" s="306" t="s">
        <v>32</v>
      </c>
      <c r="Z55" s="306" t="s">
        <v>33</v>
      </c>
      <c r="AA55" s="306" t="s">
        <v>34</v>
      </c>
      <c r="AB55" s="306" t="s">
        <v>35</v>
      </c>
      <c r="AC55" s="306" t="s">
        <v>36</v>
      </c>
      <c r="AD55" s="306" t="s">
        <v>37</v>
      </c>
      <c r="AE55" s="306" t="s">
        <v>38</v>
      </c>
      <c r="AF55" s="306" t="s">
        <v>39</v>
      </c>
      <c r="AG55" s="306" t="s">
        <v>40</v>
      </c>
      <c r="AH55" s="306" t="s">
        <v>41</v>
      </c>
      <c r="AI55" s="306" t="s">
        <v>42</v>
      </c>
      <c r="AJ55" s="306" t="s">
        <v>43</v>
      </c>
      <c r="AK55" s="306" t="s">
        <v>44</v>
      </c>
      <c r="AL55" s="306" t="s">
        <v>45</v>
      </c>
      <c r="AM55" s="306" t="s">
        <v>46</v>
      </c>
      <c r="AN55" s="306" t="s">
        <v>47</v>
      </c>
      <c r="AO55" s="306" t="s">
        <v>48</v>
      </c>
      <c r="AP55" s="306" t="s">
        <v>49</v>
      </c>
      <c r="AQ55" s="306" t="s">
        <v>50</v>
      </c>
      <c r="AR55" s="306" t="s">
        <v>51</v>
      </c>
      <c r="AS55" s="306" t="s">
        <v>52</v>
      </c>
      <c r="AT55" s="306" t="s">
        <v>53</v>
      </c>
      <c r="AU55" s="306" t="s">
        <v>54</v>
      </c>
      <c r="AV55" s="306" t="s">
        <v>55</v>
      </c>
      <c r="AW55" s="306" t="s">
        <v>56</v>
      </c>
      <c r="AX55" s="306" t="s">
        <v>57</v>
      </c>
      <c r="AY55" s="306" t="s">
        <v>58</v>
      </c>
      <c r="AZ55" s="306" t="s">
        <v>59</v>
      </c>
      <c r="BA55" s="306" t="s">
        <v>60</v>
      </c>
      <c r="BB55" s="306" t="s">
        <v>61</v>
      </c>
      <c r="BC55" s="306" t="s">
        <v>62</v>
      </c>
      <c r="BD55" s="306" t="s">
        <v>63</v>
      </c>
      <c r="BE55" s="306" t="s">
        <v>64</v>
      </c>
      <c r="BF55" s="306" t="s">
        <v>65</v>
      </c>
      <c r="BG55" s="306" t="s">
        <v>66</v>
      </c>
      <c r="BH55" s="306" t="s">
        <v>67</v>
      </c>
      <c r="BI55" s="306" t="s">
        <v>68</v>
      </c>
      <c r="BJ55" s="306" t="s">
        <v>69</v>
      </c>
      <c r="BK55" s="306" t="s">
        <v>70</v>
      </c>
      <c r="BL55" s="306" t="s">
        <v>71</v>
      </c>
      <c r="BM55" s="306" t="s">
        <v>72</v>
      </c>
      <c r="BN55" s="306" t="s">
        <v>73</v>
      </c>
      <c r="BO55" s="306" t="s">
        <v>74</v>
      </c>
      <c r="BP55" s="306" t="s">
        <v>75</v>
      </c>
      <c r="BQ55" s="306" t="s">
        <v>76</v>
      </c>
      <c r="BR55" s="306" t="s">
        <v>77</v>
      </c>
      <c r="BS55" s="306" t="s">
        <v>78</v>
      </c>
      <c r="BT55" s="306" t="s">
        <v>79</v>
      </c>
      <c r="BU55" s="306" t="s">
        <v>80</v>
      </c>
      <c r="BV55" s="306" t="s">
        <v>81</v>
      </c>
      <c r="BW55" s="306" t="s">
        <v>82</v>
      </c>
      <c r="BX55" s="306" t="s">
        <v>83</v>
      </c>
      <c r="BY55" s="306" t="s">
        <v>84</v>
      </c>
      <c r="BZ55" s="306" t="s">
        <v>85</v>
      </c>
      <c r="CA55" s="306" t="s">
        <v>86</v>
      </c>
      <c r="CB55" s="306" t="s">
        <v>87</v>
      </c>
      <c r="CC55" s="306" t="s">
        <v>88</v>
      </c>
      <c r="CD55" s="306" t="s">
        <v>89</v>
      </c>
      <c r="CE55" s="306" t="s">
        <v>90</v>
      </c>
    </row>
    <row r="56" spans="1:83" ht="12.65" customHeight="1">
      <c r="A56" s="311" t="s">
        <v>210</v>
      </c>
      <c r="B56" s="304"/>
      <c r="C56" s="305" t="s">
        <v>92</v>
      </c>
      <c r="D56" s="306" t="s">
        <v>93</v>
      </c>
      <c r="E56" s="306" t="s">
        <v>94</v>
      </c>
      <c r="F56" s="306" t="s">
        <v>95</v>
      </c>
      <c r="G56" s="306" t="s">
        <v>96</v>
      </c>
      <c r="H56" s="306" t="s">
        <v>97</v>
      </c>
      <c r="I56" s="306" t="s">
        <v>98</v>
      </c>
      <c r="J56" s="306" t="s">
        <v>99</v>
      </c>
      <c r="K56" s="306" t="s">
        <v>100</v>
      </c>
      <c r="L56" s="306" t="s">
        <v>101</v>
      </c>
      <c r="M56" s="306" t="s">
        <v>102</v>
      </c>
      <c r="N56" s="306" t="s">
        <v>103</v>
      </c>
      <c r="O56" s="306" t="s">
        <v>104</v>
      </c>
      <c r="P56" s="306" t="s">
        <v>105</v>
      </c>
      <c r="Q56" s="306" t="s">
        <v>106</v>
      </c>
      <c r="R56" s="306" t="s">
        <v>107</v>
      </c>
      <c r="S56" s="306" t="s">
        <v>108</v>
      </c>
      <c r="T56" s="306" t="s">
        <v>1194</v>
      </c>
      <c r="U56" s="306" t="s">
        <v>109</v>
      </c>
      <c r="V56" s="306" t="s">
        <v>110</v>
      </c>
      <c r="W56" s="306" t="s">
        <v>111</v>
      </c>
      <c r="X56" s="306" t="s">
        <v>112</v>
      </c>
      <c r="Y56" s="306" t="s">
        <v>113</v>
      </c>
      <c r="Z56" s="306" t="s">
        <v>113</v>
      </c>
      <c r="AA56" s="306" t="s">
        <v>114</v>
      </c>
      <c r="AB56" s="306" t="s">
        <v>115</v>
      </c>
      <c r="AC56" s="306" t="s">
        <v>116</v>
      </c>
      <c r="AD56" s="306" t="s">
        <v>117</v>
      </c>
      <c r="AE56" s="306" t="s">
        <v>96</v>
      </c>
      <c r="AF56" s="306" t="s">
        <v>97</v>
      </c>
      <c r="AG56" s="306" t="s">
        <v>118</v>
      </c>
      <c r="AH56" s="306" t="s">
        <v>119</v>
      </c>
      <c r="AI56" s="306" t="s">
        <v>120</v>
      </c>
      <c r="AJ56" s="306" t="s">
        <v>121</v>
      </c>
      <c r="AK56" s="306" t="s">
        <v>122</v>
      </c>
      <c r="AL56" s="306" t="s">
        <v>123</v>
      </c>
      <c r="AM56" s="306" t="s">
        <v>124</v>
      </c>
      <c r="AN56" s="306" t="s">
        <v>110</v>
      </c>
      <c r="AO56" s="306" t="s">
        <v>125</v>
      </c>
      <c r="AP56" s="306" t="s">
        <v>126</v>
      </c>
      <c r="AQ56" s="306" t="s">
        <v>127</v>
      </c>
      <c r="AR56" s="306" t="s">
        <v>128</v>
      </c>
      <c r="AS56" s="306" t="s">
        <v>129</v>
      </c>
      <c r="AT56" s="306" t="s">
        <v>130</v>
      </c>
      <c r="AU56" s="306" t="s">
        <v>131</v>
      </c>
      <c r="AV56" s="306" t="s">
        <v>132</v>
      </c>
      <c r="AW56" s="306" t="s">
        <v>133</v>
      </c>
      <c r="AX56" s="306" t="s">
        <v>134</v>
      </c>
      <c r="AY56" s="306" t="s">
        <v>135</v>
      </c>
      <c r="AZ56" s="306" t="s">
        <v>136</v>
      </c>
      <c r="BA56" s="306" t="s">
        <v>137</v>
      </c>
      <c r="BB56" s="306" t="s">
        <v>138</v>
      </c>
      <c r="BC56" s="306" t="s">
        <v>108</v>
      </c>
      <c r="BD56" s="306" t="s">
        <v>139</v>
      </c>
      <c r="BE56" s="306" t="s">
        <v>140</v>
      </c>
      <c r="BF56" s="306" t="s">
        <v>141</v>
      </c>
      <c r="BG56" s="306" t="s">
        <v>142</v>
      </c>
      <c r="BH56" s="306" t="s">
        <v>143</v>
      </c>
      <c r="BI56" s="306" t="s">
        <v>144</v>
      </c>
      <c r="BJ56" s="306" t="s">
        <v>145</v>
      </c>
      <c r="BK56" s="306" t="s">
        <v>146</v>
      </c>
      <c r="BL56" s="306" t="s">
        <v>147</v>
      </c>
      <c r="BM56" s="306" t="s">
        <v>132</v>
      </c>
      <c r="BN56" s="306" t="s">
        <v>148</v>
      </c>
      <c r="BO56" s="306" t="s">
        <v>149</v>
      </c>
      <c r="BP56" s="306" t="s">
        <v>150</v>
      </c>
      <c r="BQ56" s="306" t="s">
        <v>151</v>
      </c>
      <c r="BR56" s="306" t="s">
        <v>152</v>
      </c>
      <c r="BS56" s="306" t="s">
        <v>153</v>
      </c>
      <c r="BT56" s="306" t="s">
        <v>154</v>
      </c>
      <c r="BU56" s="306" t="s">
        <v>155</v>
      </c>
      <c r="BV56" s="306" t="s">
        <v>155</v>
      </c>
      <c r="BW56" s="306" t="s">
        <v>155</v>
      </c>
      <c r="BX56" s="306" t="s">
        <v>156</v>
      </c>
      <c r="BY56" s="306" t="s">
        <v>157</v>
      </c>
      <c r="BZ56" s="306" t="s">
        <v>158</v>
      </c>
      <c r="CA56" s="306" t="s">
        <v>159</v>
      </c>
      <c r="CB56" s="306" t="s">
        <v>160</v>
      </c>
      <c r="CC56" s="306" t="s">
        <v>132</v>
      </c>
      <c r="CD56" s="306" t="s">
        <v>211</v>
      </c>
      <c r="CE56" s="306" t="s">
        <v>161</v>
      </c>
    </row>
    <row r="57" spans="1:83" ht="12.65" customHeight="1">
      <c r="A57" s="311" t="s">
        <v>212</v>
      </c>
      <c r="B57" s="304"/>
      <c r="C57" s="305" t="s">
        <v>163</v>
      </c>
      <c r="D57" s="306" t="s">
        <v>163</v>
      </c>
      <c r="E57" s="306" t="s">
        <v>163</v>
      </c>
      <c r="F57" s="306" t="s">
        <v>164</v>
      </c>
      <c r="G57" s="306" t="s">
        <v>165</v>
      </c>
      <c r="H57" s="306" t="s">
        <v>163</v>
      </c>
      <c r="I57" s="306" t="s">
        <v>166</v>
      </c>
      <c r="J57" s="306"/>
      <c r="K57" s="306" t="s">
        <v>157</v>
      </c>
      <c r="L57" s="306" t="s">
        <v>167</v>
      </c>
      <c r="M57" s="306" t="s">
        <v>168</v>
      </c>
      <c r="N57" s="306" t="s">
        <v>169</v>
      </c>
      <c r="O57" s="306" t="s">
        <v>170</v>
      </c>
      <c r="P57" s="306" t="s">
        <v>169</v>
      </c>
      <c r="Q57" s="306" t="s">
        <v>171</v>
      </c>
      <c r="R57" s="306"/>
      <c r="S57" s="306" t="s">
        <v>169</v>
      </c>
      <c r="T57" s="306" t="s">
        <v>172</v>
      </c>
      <c r="U57" s="306"/>
      <c r="V57" s="306" t="s">
        <v>173</v>
      </c>
      <c r="W57" s="306" t="s">
        <v>174</v>
      </c>
      <c r="X57" s="306" t="s">
        <v>175</v>
      </c>
      <c r="Y57" s="306" t="s">
        <v>176</v>
      </c>
      <c r="Z57" s="306" t="s">
        <v>177</v>
      </c>
      <c r="AA57" s="306" t="s">
        <v>178</v>
      </c>
      <c r="AB57" s="306"/>
      <c r="AC57" s="306" t="s">
        <v>172</v>
      </c>
      <c r="AD57" s="306"/>
      <c r="AE57" s="306" t="s">
        <v>172</v>
      </c>
      <c r="AF57" s="306" t="s">
        <v>179</v>
      </c>
      <c r="AG57" s="306" t="s">
        <v>171</v>
      </c>
      <c r="AH57" s="306"/>
      <c r="AI57" s="306" t="s">
        <v>180</v>
      </c>
      <c r="AJ57" s="306"/>
      <c r="AK57" s="306" t="s">
        <v>172</v>
      </c>
      <c r="AL57" s="306" t="s">
        <v>172</v>
      </c>
      <c r="AM57" s="306" t="s">
        <v>172</v>
      </c>
      <c r="AN57" s="306" t="s">
        <v>181</v>
      </c>
      <c r="AO57" s="306" t="s">
        <v>182</v>
      </c>
      <c r="AP57" s="306" t="s">
        <v>121</v>
      </c>
      <c r="AQ57" s="306" t="s">
        <v>183</v>
      </c>
      <c r="AR57" s="306" t="s">
        <v>169</v>
      </c>
      <c r="AS57" s="306"/>
      <c r="AT57" s="306" t="s">
        <v>184</v>
      </c>
      <c r="AU57" s="306" t="s">
        <v>185</v>
      </c>
      <c r="AV57" s="306" t="s">
        <v>186</v>
      </c>
      <c r="AW57" s="306" t="s">
        <v>187</v>
      </c>
      <c r="AX57" s="306" t="s">
        <v>188</v>
      </c>
      <c r="AY57" s="306"/>
      <c r="AZ57" s="306"/>
      <c r="BA57" s="306" t="s">
        <v>189</v>
      </c>
      <c r="BB57" s="306" t="s">
        <v>169</v>
      </c>
      <c r="BC57" s="306" t="s">
        <v>183</v>
      </c>
      <c r="BD57" s="306"/>
      <c r="BE57" s="306"/>
      <c r="BF57" s="306"/>
      <c r="BG57" s="306"/>
      <c r="BH57" s="306" t="s">
        <v>190</v>
      </c>
      <c r="BI57" s="306" t="s">
        <v>169</v>
      </c>
      <c r="BJ57" s="306"/>
      <c r="BK57" s="306" t="s">
        <v>191</v>
      </c>
      <c r="BL57" s="306"/>
      <c r="BM57" s="306" t="s">
        <v>192</v>
      </c>
      <c r="BN57" s="306" t="s">
        <v>193</v>
      </c>
      <c r="BO57" s="306" t="s">
        <v>194</v>
      </c>
      <c r="BP57" s="306" t="s">
        <v>195</v>
      </c>
      <c r="BQ57" s="306" t="s">
        <v>196</v>
      </c>
      <c r="BR57" s="306"/>
      <c r="BS57" s="306" t="s">
        <v>197</v>
      </c>
      <c r="BT57" s="306" t="s">
        <v>169</v>
      </c>
      <c r="BU57" s="306" t="s">
        <v>198</v>
      </c>
      <c r="BV57" s="306" t="s">
        <v>199</v>
      </c>
      <c r="BW57" s="306" t="s">
        <v>200</v>
      </c>
      <c r="BX57" s="306" t="s">
        <v>151</v>
      </c>
      <c r="BY57" s="306" t="s">
        <v>193</v>
      </c>
      <c r="BZ57" s="306" t="s">
        <v>152</v>
      </c>
      <c r="CA57" s="306" t="s">
        <v>201</v>
      </c>
      <c r="CB57" s="306" t="s">
        <v>201</v>
      </c>
      <c r="CC57" s="306" t="s">
        <v>202</v>
      </c>
      <c r="CD57" s="306" t="s">
        <v>213</v>
      </c>
      <c r="CE57" s="306" t="s">
        <v>203</v>
      </c>
    </row>
    <row r="58" spans="1:83" ht="12.65" customHeight="1">
      <c r="A58" s="311" t="s">
        <v>214</v>
      </c>
      <c r="B58" s="304"/>
      <c r="C58" s="305" t="s">
        <v>215</v>
      </c>
      <c r="D58" s="306" t="s">
        <v>215</v>
      </c>
      <c r="E58" s="306" t="s">
        <v>215</v>
      </c>
      <c r="F58" s="306" t="s">
        <v>215</v>
      </c>
      <c r="G58" s="306" t="s">
        <v>215</v>
      </c>
      <c r="H58" s="306" t="s">
        <v>215</v>
      </c>
      <c r="I58" s="306" t="s">
        <v>215</v>
      </c>
      <c r="J58" s="306" t="s">
        <v>216</v>
      </c>
      <c r="K58" s="306" t="s">
        <v>215</v>
      </c>
      <c r="L58" s="306" t="s">
        <v>215</v>
      </c>
      <c r="M58" s="306" t="s">
        <v>215</v>
      </c>
      <c r="N58" s="306" t="s">
        <v>215</v>
      </c>
      <c r="O58" s="306" t="s">
        <v>217</v>
      </c>
      <c r="P58" s="306" t="s">
        <v>218</v>
      </c>
      <c r="Q58" s="306" t="s">
        <v>219</v>
      </c>
      <c r="R58" s="307" t="s">
        <v>220</v>
      </c>
      <c r="S58" s="314" t="s">
        <v>221</v>
      </c>
      <c r="T58" s="314" t="s">
        <v>221</v>
      </c>
      <c r="U58" s="306" t="s">
        <v>222</v>
      </c>
      <c r="V58" s="306" t="s">
        <v>222</v>
      </c>
      <c r="W58" s="306" t="s">
        <v>223</v>
      </c>
      <c r="X58" s="306" t="s">
        <v>224</v>
      </c>
      <c r="Y58" s="306" t="s">
        <v>225</v>
      </c>
      <c r="Z58" s="306" t="s">
        <v>225</v>
      </c>
      <c r="AA58" s="306" t="s">
        <v>225</v>
      </c>
      <c r="AB58" s="314" t="s">
        <v>221</v>
      </c>
      <c r="AC58" s="306" t="s">
        <v>226</v>
      </c>
      <c r="AD58" s="306" t="s">
        <v>227</v>
      </c>
      <c r="AE58" s="306" t="s">
        <v>226</v>
      </c>
      <c r="AF58" s="306" t="s">
        <v>228</v>
      </c>
      <c r="AG58" s="306" t="s">
        <v>228</v>
      </c>
      <c r="AH58" s="306" t="s">
        <v>229</v>
      </c>
      <c r="AI58" s="306" t="s">
        <v>230</v>
      </c>
      <c r="AJ58" s="306" t="s">
        <v>228</v>
      </c>
      <c r="AK58" s="306" t="s">
        <v>226</v>
      </c>
      <c r="AL58" s="306" t="s">
        <v>226</v>
      </c>
      <c r="AM58" s="306" t="s">
        <v>226</v>
      </c>
      <c r="AN58" s="306" t="s">
        <v>217</v>
      </c>
      <c r="AO58" s="306" t="s">
        <v>227</v>
      </c>
      <c r="AP58" s="306" t="s">
        <v>228</v>
      </c>
      <c r="AQ58" s="306" t="s">
        <v>229</v>
      </c>
      <c r="AR58" s="306" t="s">
        <v>228</v>
      </c>
      <c r="AS58" s="306" t="s">
        <v>226</v>
      </c>
      <c r="AT58" s="306" t="s">
        <v>1212</v>
      </c>
      <c r="AU58" s="306" t="s">
        <v>228</v>
      </c>
      <c r="AV58" s="314" t="s">
        <v>221</v>
      </c>
      <c r="AW58" s="314" t="s">
        <v>221</v>
      </c>
      <c r="AX58" s="314" t="s">
        <v>221</v>
      </c>
      <c r="AY58" s="306" t="s">
        <v>231</v>
      </c>
      <c r="AZ58" s="306" t="s">
        <v>231</v>
      </c>
      <c r="BA58" s="314" t="s">
        <v>221</v>
      </c>
      <c r="BB58" s="314" t="s">
        <v>221</v>
      </c>
      <c r="BC58" s="314" t="s">
        <v>221</v>
      </c>
      <c r="BD58" s="314" t="s">
        <v>221</v>
      </c>
      <c r="BE58" s="306" t="s">
        <v>232</v>
      </c>
      <c r="BF58" s="314" t="s">
        <v>221</v>
      </c>
      <c r="BG58" s="314" t="s">
        <v>221</v>
      </c>
      <c r="BH58" s="314" t="s">
        <v>221</v>
      </c>
      <c r="BI58" s="314" t="s">
        <v>221</v>
      </c>
      <c r="BJ58" s="314" t="s">
        <v>221</v>
      </c>
      <c r="BK58" s="314" t="s">
        <v>221</v>
      </c>
      <c r="BL58" s="314" t="s">
        <v>221</v>
      </c>
      <c r="BM58" s="314" t="s">
        <v>221</v>
      </c>
      <c r="BN58" s="314" t="s">
        <v>221</v>
      </c>
      <c r="BO58" s="314" t="s">
        <v>221</v>
      </c>
      <c r="BP58" s="314" t="s">
        <v>221</v>
      </c>
      <c r="BQ58" s="314" t="s">
        <v>221</v>
      </c>
      <c r="BR58" s="314" t="s">
        <v>221</v>
      </c>
      <c r="BS58" s="314" t="s">
        <v>221</v>
      </c>
      <c r="BT58" s="314" t="s">
        <v>221</v>
      </c>
      <c r="BU58" s="314" t="s">
        <v>221</v>
      </c>
      <c r="BV58" s="314" t="s">
        <v>221</v>
      </c>
      <c r="BW58" s="314" t="s">
        <v>221</v>
      </c>
      <c r="BX58" s="314" t="s">
        <v>221</v>
      </c>
      <c r="BY58" s="314" t="s">
        <v>221</v>
      </c>
      <c r="BZ58" s="314" t="s">
        <v>221</v>
      </c>
      <c r="CA58" s="314" t="s">
        <v>221</v>
      </c>
      <c r="CB58" s="314" t="s">
        <v>221</v>
      </c>
      <c r="CC58" s="314" t="s">
        <v>221</v>
      </c>
      <c r="CD58" s="314" t="s">
        <v>221</v>
      </c>
      <c r="CE58" s="314" t="s">
        <v>221</v>
      </c>
    </row>
    <row r="59" spans="1:83" ht="12.65" customHeight="1">
      <c r="A59" s="311" t="s">
        <v>233</v>
      </c>
      <c r="B59" s="304"/>
      <c r="C59" s="309">
        <v>1382</v>
      </c>
      <c r="D59" s="309"/>
      <c r="E59" s="309">
        <v>1194</v>
      </c>
      <c r="F59" s="309"/>
      <c r="G59" s="309"/>
      <c r="H59" s="309"/>
      <c r="I59" s="309"/>
      <c r="J59" s="309">
        <v>233</v>
      </c>
      <c r="K59" s="309"/>
      <c r="L59" s="309"/>
      <c r="M59" s="309"/>
      <c r="N59" s="309"/>
      <c r="O59" s="309">
        <f>311+7396</f>
        <v>7707</v>
      </c>
      <c r="P59" s="315">
        <v>80002</v>
      </c>
      <c r="Q59" s="315">
        <v>70645</v>
      </c>
      <c r="R59" s="315">
        <v>94279</v>
      </c>
      <c r="S59" s="246"/>
      <c r="T59" s="246"/>
      <c r="U59" s="316">
        <f>51316+3007+583</f>
        <v>54906</v>
      </c>
      <c r="V59" s="315"/>
      <c r="W59" s="315">
        <v>133</v>
      </c>
      <c r="X59" s="315">
        <f>1596+226+2316</f>
        <v>4138</v>
      </c>
      <c r="Y59" s="315">
        <f>1604+703+2722+830+250+282</f>
        <v>6391</v>
      </c>
      <c r="Z59" s="315">
        <f>3703</f>
        <v>3703</v>
      </c>
      <c r="AA59" s="315">
        <f>312</f>
        <v>312</v>
      </c>
      <c r="AB59" s="246"/>
      <c r="AC59" s="315">
        <f>345</f>
        <v>345</v>
      </c>
      <c r="AD59" s="315"/>
      <c r="AE59" s="315">
        <f>4743</f>
        <v>4743</v>
      </c>
      <c r="AF59" s="315"/>
      <c r="AG59" s="315">
        <f>3556</f>
        <v>3556</v>
      </c>
      <c r="AH59" s="315"/>
      <c r="AI59" s="315">
        <f>128+1839</f>
        <v>1967</v>
      </c>
      <c r="AJ59" s="315"/>
      <c r="AK59" s="315">
        <f>183+774</f>
        <v>957</v>
      </c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246"/>
      <c r="AW59" s="246"/>
      <c r="AX59" s="246"/>
      <c r="AY59" s="315">
        <v>9270</v>
      </c>
      <c r="AZ59" s="315"/>
      <c r="BA59" s="246"/>
      <c r="BB59" s="246"/>
      <c r="BC59" s="246"/>
      <c r="BD59" s="246"/>
      <c r="BE59" s="315">
        <v>155374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314"/>
      <c r="CE59" s="304"/>
    </row>
    <row r="60" spans="1:83" ht="12.65" customHeight="1">
      <c r="A60" s="317" t="s">
        <v>234</v>
      </c>
      <c r="B60" s="304"/>
      <c r="C60" s="318">
        <v>52.08</v>
      </c>
      <c r="D60" s="319"/>
      <c r="E60" s="319">
        <v>37.32</v>
      </c>
      <c r="F60" s="320"/>
      <c r="G60" s="319"/>
      <c r="H60" s="319"/>
      <c r="I60" s="319"/>
      <c r="J60" s="320"/>
      <c r="K60" s="319"/>
      <c r="L60" s="319"/>
      <c r="M60" s="319"/>
      <c r="N60" s="319"/>
      <c r="O60" s="319">
        <f>23.44+4.21</f>
        <v>27.650000000000002</v>
      </c>
      <c r="P60" s="321">
        <v>17.760000000000002</v>
      </c>
      <c r="Q60" s="321">
        <v>6.22</v>
      </c>
      <c r="R60" s="321">
        <v>1.88</v>
      </c>
      <c r="S60" s="321">
        <f>10.16</f>
        <v>10.16</v>
      </c>
      <c r="T60" s="321"/>
      <c r="U60" s="321">
        <v>18.62</v>
      </c>
      <c r="V60" s="321"/>
      <c r="W60" s="321">
        <v>1.37</v>
      </c>
      <c r="X60" s="321">
        <f>2.31+3</f>
        <v>5.3100000000000005</v>
      </c>
      <c r="Y60" s="321">
        <f>3.33+0.93+9.97+3.71+1.32+11.85</f>
        <v>31.11</v>
      </c>
      <c r="Z60" s="321">
        <f>6.13</f>
        <v>6.13</v>
      </c>
      <c r="AA60" s="321">
        <f>1.46</f>
        <v>1.46</v>
      </c>
      <c r="AB60" s="321">
        <f>0.96</f>
        <v>0.96</v>
      </c>
      <c r="AC60" s="321">
        <f>1.99+9.81</f>
        <v>11.8</v>
      </c>
      <c r="AD60" s="321"/>
      <c r="AE60" s="321">
        <f>8.09</f>
        <v>8.09</v>
      </c>
      <c r="AF60" s="321"/>
      <c r="AG60" s="321">
        <f>21.77</f>
        <v>21.77</v>
      </c>
      <c r="AH60" s="321"/>
      <c r="AI60" s="321">
        <f>2.5+16.39</f>
        <v>18.89</v>
      </c>
      <c r="AJ60" s="321"/>
      <c r="AK60" s="321">
        <f>0.27+0.67</f>
        <v>0.94000000000000006</v>
      </c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>
        <f>4.81+25.45</f>
        <v>30.259999999999998</v>
      </c>
      <c r="AW60" s="321"/>
      <c r="AX60" s="321"/>
      <c r="AY60" s="321">
        <f>18.18</f>
        <v>18.18</v>
      </c>
      <c r="AZ60" s="321"/>
      <c r="BA60" s="321"/>
      <c r="BB60" s="321">
        <f>1.41+5.78</f>
        <v>7.19</v>
      </c>
      <c r="BC60" s="321"/>
      <c r="BD60" s="321"/>
      <c r="BE60" s="321">
        <f>7.49+6.79</f>
        <v>14.280000000000001</v>
      </c>
      <c r="BF60" s="321">
        <f>19.75</f>
        <v>19.75</v>
      </c>
      <c r="BG60" s="321">
        <f>1.38</f>
        <v>1.38</v>
      </c>
      <c r="BH60" s="321">
        <v>5.44</v>
      </c>
      <c r="BI60" s="321"/>
      <c r="BJ60" s="321">
        <f>4.43</f>
        <v>4.43</v>
      </c>
      <c r="BK60" s="321"/>
      <c r="BL60" s="321">
        <f>3.04</f>
        <v>3.04</v>
      </c>
      <c r="BM60" s="321">
        <f>16.42</f>
        <v>16.420000000000002</v>
      </c>
      <c r="BN60" s="321">
        <f>5.49+1.02+8.2</f>
        <v>14.709999999999999</v>
      </c>
      <c r="BO60" s="321"/>
      <c r="BP60" s="321">
        <f>1.07</f>
        <v>1.07</v>
      </c>
      <c r="BQ60" s="321"/>
      <c r="BR60" s="321">
        <f>4.25+0.5</f>
        <v>4.75</v>
      </c>
      <c r="BS60" s="321"/>
      <c r="BT60" s="321"/>
      <c r="BU60" s="321"/>
      <c r="BV60" s="321">
        <f>11.21</f>
        <v>11.21</v>
      </c>
      <c r="BW60" s="321">
        <v>1.22</v>
      </c>
      <c r="BX60" s="321">
        <f>3.36</f>
        <v>3.36</v>
      </c>
      <c r="BY60" s="321">
        <f>2.07</f>
        <v>2.0699999999999998</v>
      </c>
      <c r="BZ60" s="321"/>
      <c r="CA60" s="321">
        <v>1.87</v>
      </c>
      <c r="CB60" s="321"/>
      <c r="CC60" s="321"/>
      <c r="CD60" s="314" t="s">
        <v>221</v>
      </c>
      <c r="CE60" s="322">
        <f t="shared" ref="CE60:CE70" si="0">SUM(C60:CD60)</f>
        <v>440.15000000000009</v>
      </c>
    </row>
    <row r="61" spans="1:83" ht="12.65" customHeight="1">
      <c r="A61" s="311" t="s">
        <v>235</v>
      </c>
      <c r="B61" s="304"/>
      <c r="C61" s="309">
        <v>1316573</v>
      </c>
      <c r="D61" s="309"/>
      <c r="E61" s="309">
        <v>821747</v>
      </c>
      <c r="F61" s="315"/>
      <c r="G61" s="309"/>
      <c r="H61" s="309"/>
      <c r="I61" s="315"/>
      <c r="J61" s="315"/>
      <c r="K61" s="315"/>
      <c r="L61" s="315"/>
      <c r="M61" s="309"/>
      <c r="N61" s="309"/>
      <c r="O61" s="309">
        <f>678290+54156</f>
        <v>732446</v>
      </c>
      <c r="P61" s="315">
        <v>314186</v>
      </c>
      <c r="Q61" s="315">
        <v>232451</v>
      </c>
      <c r="R61" s="315">
        <v>43139</v>
      </c>
      <c r="S61" s="315">
        <f>135411</f>
        <v>135411</v>
      </c>
      <c r="T61" s="315"/>
      <c r="U61" s="315">
        <v>362025</v>
      </c>
      <c r="V61" s="315"/>
      <c r="W61" s="315">
        <v>41587</v>
      </c>
      <c r="X61" s="315">
        <f>53807+68527</f>
        <v>122334</v>
      </c>
      <c r="Y61" s="315">
        <f>64309+15622+231903+97244+38018+282625</f>
        <v>729721</v>
      </c>
      <c r="Z61" s="315">
        <f>145493</f>
        <v>145493</v>
      </c>
      <c r="AA61" s="315">
        <f>49619</f>
        <v>49619</v>
      </c>
      <c r="AB61" s="315">
        <f>302010+29466</f>
        <v>331476</v>
      </c>
      <c r="AC61" s="315">
        <f>51275+236025</f>
        <v>287300</v>
      </c>
      <c r="AD61" s="315"/>
      <c r="AE61" s="315">
        <f>162853</f>
        <v>162853</v>
      </c>
      <c r="AF61" s="315"/>
      <c r="AG61" s="315">
        <f>541982</f>
        <v>541982</v>
      </c>
      <c r="AH61" s="315"/>
      <c r="AI61" s="315">
        <f>83562+394892</f>
        <v>478454</v>
      </c>
      <c r="AJ61" s="315"/>
      <c r="AK61" s="315">
        <f>20163</f>
        <v>20163</v>
      </c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>
        <f>116901+37207</f>
        <v>154108</v>
      </c>
      <c r="AW61" s="315"/>
      <c r="AX61" s="315"/>
      <c r="AY61" s="315">
        <f>244709</f>
        <v>244709</v>
      </c>
      <c r="AZ61" s="315"/>
      <c r="BA61" s="315"/>
      <c r="BB61" s="315">
        <f>52603+121436</f>
        <v>174039</v>
      </c>
      <c r="BC61" s="315"/>
      <c r="BD61" s="315">
        <v>124947</v>
      </c>
      <c r="BE61" s="315">
        <f>153548+92695</f>
        <v>246243</v>
      </c>
      <c r="BF61" s="315">
        <f>210395</f>
        <v>210395</v>
      </c>
      <c r="BG61" s="315">
        <f>15206</f>
        <v>15206</v>
      </c>
      <c r="BH61" s="315">
        <f>129029</f>
        <v>129029</v>
      </c>
      <c r="BI61" s="315"/>
      <c r="BJ61" s="315">
        <f>60497</f>
        <v>60497</v>
      </c>
      <c r="BK61" s="315"/>
      <c r="BL61" s="315">
        <f>38182</f>
        <v>38182</v>
      </c>
      <c r="BM61" s="315">
        <f>184879</f>
        <v>184879</v>
      </c>
      <c r="BN61" s="315">
        <f>112894+36868+155952</f>
        <v>305714</v>
      </c>
      <c r="BO61" s="315"/>
      <c r="BP61" s="315">
        <f>16562</f>
        <v>16562</v>
      </c>
      <c r="BQ61" s="315"/>
      <c r="BR61" s="315">
        <f>80799+5766</f>
        <v>86565</v>
      </c>
      <c r="BS61" s="315"/>
      <c r="BT61" s="315"/>
      <c r="BU61" s="315"/>
      <c r="BV61" s="315">
        <v>176289</v>
      </c>
      <c r="BW61" s="315">
        <f>35115</f>
        <v>35115</v>
      </c>
      <c r="BX61" s="315">
        <f>121531</f>
        <v>121531</v>
      </c>
      <c r="BY61" s="315">
        <f>187268+63102</f>
        <v>250370</v>
      </c>
      <c r="BZ61" s="315"/>
      <c r="CA61" s="315">
        <v>64761</v>
      </c>
      <c r="CB61" s="315"/>
      <c r="CC61" s="315"/>
      <c r="CD61" s="314" t="s">
        <v>221</v>
      </c>
      <c r="CE61" s="304">
        <f t="shared" si="0"/>
        <v>9508101</v>
      </c>
    </row>
    <row r="62" spans="1:83" ht="12.65" customHeight="1">
      <c r="A62" s="311" t="s">
        <v>3</v>
      </c>
      <c r="B62" s="304"/>
      <c r="C62" s="304">
        <f t="shared" ref="C62:AH62" si="1">ROUND(C47+C48,0)</f>
        <v>256727</v>
      </c>
      <c r="D62" s="304">
        <f t="shared" si="1"/>
        <v>0</v>
      </c>
      <c r="E62" s="304">
        <f t="shared" si="1"/>
        <v>159468</v>
      </c>
      <c r="F62" s="304">
        <f t="shared" si="1"/>
        <v>0</v>
      </c>
      <c r="G62" s="304">
        <f t="shared" si="1"/>
        <v>0</v>
      </c>
      <c r="H62" s="304">
        <f t="shared" si="1"/>
        <v>0</v>
      </c>
      <c r="I62" s="304">
        <f t="shared" si="1"/>
        <v>0</v>
      </c>
      <c r="J62" s="304">
        <f t="shared" si="1"/>
        <v>0</v>
      </c>
      <c r="K62" s="304">
        <f t="shared" si="1"/>
        <v>0</v>
      </c>
      <c r="L62" s="304">
        <f t="shared" si="1"/>
        <v>0</v>
      </c>
      <c r="M62" s="304">
        <f t="shared" si="1"/>
        <v>0</v>
      </c>
      <c r="N62" s="304">
        <f t="shared" si="1"/>
        <v>0</v>
      </c>
      <c r="O62" s="304">
        <f t="shared" si="1"/>
        <v>143063</v>
      </c>
      <c r="P62" s="304">
        <f t="shared" si="1"/>
        <v>61215</v>
      </c>
      <c r="Q62" s="304">
        <f t="shared" si="1"/>
        <v>45657</v>
      </c>
      <c r="R62" s="304">
        <f t="shared" si="1"/>
        <v>8318</v>
      </c>
      <c r="S62" s="304">
        <f t="shared" si="1"/>
        <v>26435</v>
      </c>
      <c r="T62" s="304">
        <f t="shared" si="1"/>
        <v>0</v>
      </c>
      <c r="U62" s="304">
        <f t="shared" si="1"/>
        <v>72325</v>
      </c>
      <c r="V62" s="304">
        <f t="shared" si="1"/>
        <v>0</v>
      </c>
      <c r="W62" s="304">
        <f t="shared" si="1"/>
        <v>8033</v>
      </c>
      <c r="X62" s="304">
        <f t="shared" si="1"/>
        <v>23832</v>
      </c>
      <c r="Y62" s="304">
        <f t="shared" si="1"/>
        <v>142348</v>
      </c>
      <c r="Z62" s="304">
        <f t="shared" si="1"/>
        <v>28230</v>
      </c>
      <c r="AA62" s="304">
        <f t="shared" si="1"/>
        <v>9758</v>
      </c>
      <c r="AB62" s="304">
        <f t="shared" si="1"/>
        <v>67064</v>
      </c>
      <c r="AC62" s="304">
        <f t="shared" si="1"/>
        <v>56040</v>
      </c>
      <c r="AD62" s="304">
        <f t="shared" si="1"/>
        <v>0</v>
      </c>
      <c r="AE62" s="304">
        <f t="shared" si="1"/>
        <v>31717</v>
      </c>
      <c r="AF62" s="304">
        <f t="shared" si="1"/>
        <v>0</v>
      </c>
      <c r="AG62" s="304">
        <f t="shared" si="1"/>
        <v>105876</v>
      </c>
      <c r="AH62" s="304">
        <f t="shared" si="1"/>
        <v>0</v>
      </c>
      <c r="AI62" s="304">
        <f t="shared" ref="AI62:BN62" si="2">ROUND(AI47+AI48,0)</f>
        <v>92794</v>
      </c>
      <c r="AJ62" s="304">
        <f t="shared" si="2"/>
        <v>0</v>
      </c>
      <c r="AK62" s="304">
        <f t="shared" si="2"/>
        <v>3979</v>
      </c>
      <c r="AL62" s="304">
        <f t="shared" si="2"/>
        <v>0</v>
      </c>
      <c r="AM62" s="304">
        <f t="shared" si="2"/>
        <v>0</v>
      </c>
      <c r="AN62" s="304">
        <f t="shared" si="2"/>
        <v>0</v>
      </c>
      <c r="AO62" s="304">
        <f t="shared" si="2"/>
        <v>0</v>
      </c>
      <c r="AP62" s="304">
        <f t="shared" si="2"/>
        <v>0</v>
      </c>
      <c r="AQ62" s="304">
        <f t="shared" si="2"/>
        <v>0</v>
      </c>
      <c r="AR62" s="304">
        <f t="shared" si="2"/>
        <v>0</v>
      </c>
      <c r="AS62" s="304">
        <f t="shared" si="2"/>
        <v>0</v>
      </c>
      <c r="AT62" s="304">
        <f t="shared" si="2"/>
        <v>0</v>
      </c>
      <c r="AU62" s="304">
        <f t="shared" si="2"/>
        <v>0</v>
      </c>
      <c r="AV62" s="304">
        <f t="shared" si="2"/>
        <v>28015</v>
      </c>
      <c r="AW62" s="304">
        <f t="shared" si="2"/>
        <v>0</v>
      </c>
      <c r="AX62" s="304">
        <f t="shared" si="2"/>
        <v>0</v>
      </c>
      <c r="AY62" s="304">
        <f t="shared" si="2"/>
        <v>48157</v>
      </c>
      <c r="AZ62" s="304">
        <f t="shared" si="2"/>
        <v>0</v>
      </c>
      <c r="BA62" s="304">
        <f t="shared" si="2"/>
        <v>0</v>
      </c>
      <c r="BB62" s="304">
        <f t="shared" si="2"/>
        <v>36844</v>
      </c>
      <c r="BC62" s="304">
        <f t="shared" si="2"/>
        <v>0</v>
      </c>
      <c r="BD62" s="304">
        <f t="shared" si="2"/>
        <v>24247</v>
      </c>
      <c r="BE62" s="304">
        <f t="shared" si="2"/>
        <v>47748</v>
      </c>
      <c r="BF62" s="304">
        <f t="shared" si="2"/>
        <v>40875</v>
      </c>
      <c r="BG62" s="304">
        <f t="shared" si="2"/>
        <v>3015</v>
      </c>
      <c r="BH62" s="304">
        <f t="shared" si="2"/>
        <v>25545</v>
      </c>
      <c r="BI62" s="304">
        <f t="shared" si="2"/>
        <v>0</v>
      </c>
      <c r="BJ62" s="304">
        <f t="shared" si="2"/>
        <v>11365</v>
      </c>
      <c r="BK62" s="304">
        <f t="shared" si="2"/>
        <v>0</v>
      </c>
      <c r="BL62" s="304">
        <f t="shared" si="2"/>
        <v>7392</v>
      </c>
      <c r="BM62" s="304">
        <f t="shared" si="2"/>
        <v>35946</v>
      </c>
      <c r="BN62" s="304">
        <f t="shared" si="2"/>
        <v>54959</v>
      </c>
      <c r="BO62" s="304">
        <f t="shared" ref="BO62:CC62" si="3">ROUND(BO47+BO48,0)</f>
        <v>0</v>
      </c>
      <c r="BP62" s="304">
        <f t="shared" si="3"/>
        <v>3249</v>
      </c>
      <c r="BQ62" s="304">
        <f t="shared" si="3"/>
        <v>0</v>
      </c>
      <c r="BR62" s="304">
        <f t="shared" si="3"/>
        <v>1158841</v>
      </c>
      <c r="BS62" s="304">
        <f t="shared" si="3"/>
        <v>0</v>
      </c>
      <c r="BT62" s="304">
        <f t="shared" si="3"/>
        <v>0</v>
      </c>
      <c r="BU62" s="304">
        <f t="shared" si="3"/>
        <v>0</v>
      </c>
      <c r="BV62" s="304">
        <f t="shared" si="3"/>
        <v>35315</v>
      </c>
      <c r="BW62" s="304">
        <f t="shared" si="3"/>
        <v>6893</v>
      </c>
      <c r="BX62" s="304">
        <f t="shared" si="3"/>
        <v>23661</v>
      </c>
      <c r="BY62" s="304">
        <f t="shared" si="3"/>
        <v>48831</v>
      </c>
      <c r="BZ62" s="304">
        <f t="shared" si="3"/>
        <v>0</v>
      </c>
      <c r="CA62" s="304">
        <f t="shared" si="3"/>
        <v>12671</v>
      </c>
      <c r="CB62" s="304">
        <f t="shared" si="3"/>
        <v>0</v>
      </c>
      <c r="CC62" s="304">
        <f t="shared" si="3"/>
        <v>0</v>
      </c>
      <c r="CD62" s="314" t="s">
        <v>221</v>
      </c>
      <c r="CE62" s="304">
        <f t="shared" si="0"/>
        <v>2996448</v>
      </c>
    </row>
    <row r="63" spans="1:83" ht="12.65" customHeight="1">
      <c r="A63" s="311" t="s">
        <v>236</v>
      </c>
      <c r="B63" s="304"/>
      <c r="C63" s="309">
        <v>129300</v>
      </c>
      <c r="D63" s="309"/>
      <c r="E63" s="309"/>
      <c r="F63" s="315"/>
      <c r="G63" s="309"/>
      <c r="H63" s="309"/>
      <c r="I63" s="315"/>
      <c r="J63" s="315">
        <f>165337</f>
        <v>165337</v>
      </c>
      <c r="K63" s="315"/>
      <c r="L63" s="315"/>
      <c r="M63" s="309"/>
      <c r="N63" s="309"/>
      <c r="O63" s="309">
        <v>20884</v>
      </c>
      <c r="P63" s="315">
        <v>90063</v>
      </c>
      <c r="Q63" s="315"/>
      <c r="R63" s="315">
        <v>286749</v>
      </c>
      <c r="S63" s="315"/>
      <c r="T63" s="315"/>
      <c r="U63" s="315">
        <f>7452</f>
        <v>7452</v>
      </c>
      <c r="V63" s="315"/>
      <c r="W63" s="315"/>
      <c r="X63" s="315"/>
      <c r="Y63" s="315">
        <f>-1000+500+59766</f>
        <v>59266</v>
      </c>
      <c r="Z63" s="315"/>
      <c r="AA63" s="315"/>
      <c r="AB63" s="315"/>
      <c r="AC63" s="315">
        <f>8127</f>
        <v>8127</v>
      </c>
      <c r="AD63" s="315"/>
      <c r="AE63" s="315"/>
      <c r="AF63" s="315"/>
      <c r="AG63" s="315">
        <f>954</f>
        <v>954</v>
      </c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>
        <f>536982+6228</f>
        <v>543210</v>
      </c>
      <c r="AW63" s="315"/>
      <c r="AX63" s="315"/>
      <c r="AY63" s="315"/>
      <c r="AZ63" s="315"/>
      <c r="BA63" s="315"/>
      <c r="BB63" s="315">
        <f>13749</f>
        <v>13749</v>
      </c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>
        <f>13950</f>
        <v>13950</v>
      </c>
      <c r="BY63" s="315"/>
      <c r="BZ63" s="315"/>
      <c r="CA63" s="315"/>
      <c r="CB63" s="315"/>
      <c r="CC63" s="315"/>
      <c r="CD63" s="314" t="s">
        <v>221</v>
      </c>
      <c r="CE63" s="304">
        <f t="shared" si="0"/>
        <v>1339041</v>
      </c>
    </row>
    <row r="64" spans="1:83" ht="12.65" customHeight="1">
      <c r="A64" s="311" t="s">
        <v>237</v>
      </c>
      <c r="B64" s="304"/>
      <c r="C64" s="309">
        <v>55397</v>
      </c>
      <c r="D64" s="309"/>
      <c r="E64" s="315">
        <v>43008</v>
      </c>
      <c r="F64" s="315"/>
      <c r="G64" s="309"/>
      <c r="H64" s="309"/>
      <c r="I64" s="315"/>
      <c r="J64" s="315">
        <v>4493</v>
      </c>
      <c r="K64" s="315"/>
      <c r="L64" s="315"/>
      <c r="M64" s="309"/>
      <c r="N64" s="309"/>
      <c r="O64" s="309">
        <v>41534</v>
      </c>
      <c r="P64" s="315">
        <v>466385</v>
      </c>
      <c r="Q64" s="315">
        <v>14868</v>
      </c>
      <c r="R64" s="315">
        <v>57316</v>
      </c>
      <c r="S64" s="315">
        <f>100655</f>
        <v>100655</v>
      </c>
      <c r="T64" s="315"/>
      <c r="U64" s="315">
        <f>111556+91482</f>
        <v>203038</v>
      </c>
      <c r="V64" s="315"/>
      <c r="W64" s="315">
        <v>-1962</v>
      </c>
      <c r="X64" s="315">
        <f>3452+12489</f>
        <v>15941</v>
      </c>
      <c r="Y64" s="315">
        <f>1207+38030-30385+4539+109-25127</f>
        <v>-11627</v>
      </c>
      <c r="Z64" s="315">
        <f>1024</f>
        <v>1024</v>
      </c>
      <c r="AA64" s="315">
        <f>20720</f>
        <v>20720</v>
      </c>
      <c r="AB64" s="315">
        <f>666788-2</f>
        <v>666786</v>
      </c>
      <c r="AC64" s="315">
        <f>-112+34403</f>
        <v>34291</v>
      </c>
      <c r="AD64" s="315"/>
      <c r="AE64" s="315">
        <f>1987</f>
        <v>1987</v>
      </c>
      <c r="AF64" s="315"/>
      <c r="AG64" s="315">
        <f>53749</f>
        <v>53749</v>
      </c>
      <c r="AH64" s="315"/>
      <c r="AI64" s="315">
        <f>13417+78525</f>
        <v>91942</v>
      </c>
      <c r="AJ64" s="315"/>
      <c r="AK64" s="315">
        <f>1343</f>
        <v>1343</v>
      </c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>
        <f>10900</f>
        <v>10900</v>
      </c>
      <c r="AW64" s="315"/>
      <c r="AX64" s="315"/>
      <c r="AY64" s="315">
        <f>147508</f>
        <v>147508</v>
      </c>
      <c r="AZ64" s="315"/>
      <c r="BA64" s="315"/>
      <c r="BB64" s="315">
        <f>124+2497</f>
        <v>2621</v>
      </c>
      <c r="BC64" s="315"/>
      <c r="BD64" s="315">
        <f>1355667+824069-4566-269388</f>
        <v>1905782</v>
      </c>
      <c r="BE64" s="315">
        <f>1873+4383</f>
        <v>6256</v>
      </c>
      <c r="BF64" s="315">
        <f>24819</f>
        <v>24819</v>
      </c>
      <c r="BG64" s="315"/>
      <c r="BH64" s="315">
        <f>17403</f>
        <v>17403</v>
      </c>
      <c r="BI64" s="315"/>
      <c r="BJ64" s="315">
        <f>1051</f>
        <v>1051</v>
      </c>
      <c r="BK64" s="315"/>
      <c r="BL64" s="315"/>
      <c r="BM64" s="315">
        <f>5248</f>
        <v>5248</v>
      </c>
      <c r="BN64" s="315">
        <f>1701+64040</f>
        <v>65741</v>
      </c>
      <c r="BO64" s="315"/>
      <c r="BP64" s="315">
        <f>255</f>
        <v>255</v>
      </c>
      <c r="BQ64" s="315"/>
      <c r="BR64" s="315">
        <f>936</f>
        <v>936</v>
      </c>
      <c r="BS64" s="315"/>
      <c r="BT64" s="315"/>
      <c r="BU64" s="315"/>
      <c r="BV64" s="315">
        <f>1532</f>
        <v>1532</v>
      </c>
      <c r="BW64" s="315">
        <f>252</f>
        <v>252</v>
      </c>
      <c r="BX64" s="315">
        <f>9</f>
        <v>9</v>
      </c>
      <c r="BY64" s="315">
        <v>5186</v>
      </c>
      <c r="BZ64" s="315"/>
      <c r="CA64" s="315">
        <v>693</v>
      </c>
      <c r="CB64" s="315"/>
      <c r="CC64" s="315"/>
      <c r="CD64" s="314" t="s">
        <v>221</v>
      </c>
      <c r="CE64" s="304">
        <f t="shared" si="0"/>
        <v>4057080</v>
      </c>
    </row>
    <row r="65" spans="1:84" ht="12.65" customHeight="1">
      <c r="A65" s="311" t="s">
        <v>238</v>
      </c>
      <c r="B65" s="304"/>
      <c r="C65" s="309"/>
      <c r="D65" s="309"/>
      <c r="E65" s="309"/>
      <c r="F65" s="309"/>
      <c r="G65" s="309"/>
      <c r="H65" s="309"/>
      <c r="I65" s="315"/>
      <c r="J65" s="309"/>
      <c r="K65" s="315"/>
      <c r="L65" s="315"/>
      <c r="M65" s="309"/>
      <c r="N65" s="309"/>
      <c r="O65" s="309"/>
      <c r="P65" s="315"/>
      <c r="Q65" s="315"/>
      <c r="R65" s="315"/>
      <c r="S65" s="315"/>
      <c r="T65" s="315"/>
      <c r="U65" s="315"/>
      <c r="V65" s="315"/>
      <c r="W65" s="315"/>
      <c r="X65" s="315">
        <f>1087</f>
        <v>1087</v>
      </c>
      <c r="Y65" s="315"/>
      <c r="Z65" s="315"/>
      <c r="AA65" s="315"/>
      <c r="AB65" s="315"/>
      <c r="AC65" s="315"/>
      <c r="AD65" s="315"/>
      <c r="AE65" s="315">
        <f>692</f>
        <v>692</v>
      </c>
      <c r="AF65" s="315"/>
      <c r="AG65" s="315"/>
      <c r="AH65" s="315"/>
      <c r="AI65" s="315"/>
      <c r="AJ65" s="315"/>
      <c r="AK65" s="315">
        <f>52</f>
        <v>52</v>
      </c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>
        <f>165</f>
        <v>165</v>
      </c>
      <c r="AW65" s="315"/>
      <c r="AX65" s="315"/>
      <c r="AY65" s="315"/>
      <c r="AZ65" s="315"/>
      <c r="BA65" s="315"/>
      <c r="BB65" s="315"/>
      <c r="BC65" s="315"/>
      <c r="BD65" s="315"/>
      <c r="BE65" s="315">
        <f>189920</f>
        <v>189920</v>
      </c>
      <c r="BF65" s="315"/>
      <c r="BG65" s="315">
        <f>56776</f>
        <v>56776</v>
      </c>
      <c r="BH65" s="315"/>
      <c r="BI65" s="315"/>
      <c r="BJ65" s="315"/>
      <c r="BK65" s="315"/>
      <c r="BL65" s="315"/>
      <c r="BM65" s="315"/>
      <c r="BN65" s="315">
        <f>90</f>
        <v>90</v>
      </c>
      <c r="BO65" s="315"/>
      <c r="BP65" s="315"/>
      <c r="BQ65" s="315"/>
      <c r="BR65" s="315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315"/>
      <c r="CD65" s="314" t="s">
        <v>221</v>
      </c>
      <c r="CE65" s="304">
        <f t="shared" si="0"/>
        <v>248782</v>
      </c>
    </row>
    <row r="66" spans="1:84" ht="12.65" customHeight="1">
      <c r="A66" s="311" t="s">
        <v>239</v>
      </c>
      <c r="B66" s="304"/>
      <c r="C66" s="309">
        <v>15692</v>
      </c>
      <c r="D66" s="309"/>
      <c r="E66" s="309">
        <v>9864</v>
      </c>
      <c r="F66" s="309"/>
      <c r="G66" s="309"/>
      <c r="H66" s="309"/>
      <c r="I66" s="309"/>
      <c r="J66" s="309">
        <f>18372</f>
        <v>18372</v>
      </c>
      <c r="K66" s="315"/>
      <c r="L66" s="315"/>
      <c r="M66" s="309"/>
      <c r="N66" s="309"/>
      <c r="O66" s="315">
        <f>412</f>
        <v>412</v>
      </c>
      <c r="P66" s="315">
        <f>69829</f>
        <v>69829</v>
      </c>
      <c r="Q66" s="315">
        <v>80</v>
      </c>
      <c r="R66" s="315">
        <v>16</v>
      </c>
      <c r="S66" s="309">
        <f>377442</f>
        <v>377442</v>
      </c>
      <c r="T66" s="309"/>
      <c r="U66" s="315">
        <f>687+104655</f>
        <v>105342</v>
      </c>
      <c r="V66" s="315"/>
      <c r="W66" s="315"/>
      <c r="X66" s="315">
        <f>103237+14539</f>
        <v>117776</v>
      </c>
      <c r="Y66" s="315">
        <f>2410+352-31+27795+83063</f>
        <v>113589</v>
      </c>
      <c r="Z66" s="315">
        <f>124728</f>
        <v>124728</v>
      </c>
      <c r="AA66" s="315">
        <f>6858</f>
        <v>6858</v>
      </c>
      <c r="AB66" s="315">
        <f>24853+35</f>
        <v>24888</v>
      </c>
      <c r="AC66" s="315">
        <f>1297+5354</f>
        <v>6651</v>
      </c>
      <c r="AD66" s="315"/>
      <c r="AE66" s="315">
        <f>3123</f>
        <v>3123</v>
      </c>
      <c r="AF66" s="315"/>
      <c r="AG66" s="315">
        <f>9914</f>
        <v>9914</v>
      </c>
      <c r="AH66" s="315"/>
      <c r="AI66" s="315">
        <f>271</f>
        <v>271</v>
      </c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>
        <f>227016-37766</f>
        <v>189250</v>
      </c>
      <c r="AW66" s="315"/>
      <c r="AX66" s="315"/>
      <c r="AY66" s="315">
        <f>889</f>
        <v>889</v>
      </c>
      <c r="AZ66" s="315"/>
      <c r="BA66" s="315"/>
      <c r="BB66" s="315">
        <f>1181</f>
        <v>1181</v>
      </c>
      <c r="BC66" s="315"/>
      <c r="BD66" s="315">
        <v>469</v>
      </c>
      <c r="BE66" s="315">
        <f>68442</f>
        <v>68442</v>
      </c>
      <c r="BF66" s="315">
        <f>39138+99867</f>
        <v>139005</v>
      </c>
      <c r="BG66" s="315">
        <f>854</f>
        <v>854</v>
      </c>
      <c r="BH66" s="315">
        <f>446582</f>
        <v>446582</v>
      </c>
      <c r="BI66" s="315"/>
      <c r="BJ66" s="315">
        <v>-5000</v>
      </c>
      <c r="BK66" s="315">
        <f>419129</f>
        <v>419129</v>
      </c>
      <c r="BL66" s="315"/>
      <c r="BM66" s="315">
        <f>10154</f>
        <v>10154</v>
      </c>
      <c r="BN66" s="315">
        <f>150780+114330+54374</f>
        <v>319484</v>
      </c>
      <c r="BO66" s="315"/>
      <c r="BP66" s="315">
        <f>3401</f>
        <v>3401</v>
      </c>
      <c r="BQ66" s="315"/>
      <c r="BR66" s="315">
        <f>44171</f>
        <v>44171</v>
      </c>
      <c r="BS66" s="315"/>
      <c r="BT66" s="315"/>
      <c r="BU66" s="315"/>
      <c r="BV66" s="315">
        <f>53038</f>
        <v>53038</v>
      </c>
      <c r="BW66" s="315">
        <f>17425</f>
        <v>17425</v>
      </c>
      <c r="BX66" s="315">
        <f>44021</f>
        <v>44021</v>
      </c>
      <c r="BY66" s="315">
        <f>57</f>
        <v>57</v>
      </c>
      <c r="BZ66" s="315"/>
      <c r="CA66" s="315">
        <v>1000</v>
      </c>
      <c r="CB66" s="315"/>
      <c r="CC66" s="315"/>
      <c r="CD66" s="314" t="s">
        <v>221</v>
      </c>
      <c r="CE66" s="304">
        <f t="shared" si="0"/>
        <v>2758399</v>
      </c>
    </row>
    <row r="67" spans="1:84" ht="12.65" customHeight="1">
      <c r="A67" s="311" t="s">
        <v>6</v>
      </c>
      <c r="B67" s="304"/>
      <c r="C67" s="304">
        <f t="shared" ref="C67:AH67" si="4">ROUND(C51+C52,0)</f>
        <v>0</v>
      </c>
      <c r="D67" s="304">
        <f t="shared" si="4"/>
        <v>0</v>
      </c>
      <c r="E67" s="304">
        <f t="shared" si="4"/>
        <v>0</v>
      </c>
      <c r="F67" s="304">
        <f t="shared" si="4"/>
        <v>0</v>
      </c>
      <c r="G67" s="304">
        <f t="shared" si="4"/>
        <v>0</v>
      </c>
      <c r="H67" s="304">
        <f t="shared" si="4"/>
        <v>0</v>
      </c>
      <c r="I67" s="304">
        <f t="shared" si="4"/>
        <v>0</v>
      </c>
      <c r="J67" s="304">
        <f t="shared" si="4"/>
        <v>0</v>
      </c>
      <c r="K67" s="304">
        <f t="shared" si="4"/>
        <v>0</v>
      </c>
      <c r="L67" s="304">
        <f t="shared" si="4"/>
        <v>0</v>
      </c>
      <c r="M67" s="304">
        <f t="shared" si="4"/>
        <v>0</v>
      </c>
      <c r="N67" s="304">
        <f t="shared" si="4"/>
        <v>0</v>
      </c>
      <c r="O67" s="304">
        <f t="shared" si="4"/>
        <v>0</v>
      </c>
      <c r="P67" s="304">
        <f t="shared" si="4"/>
        <v>0</v>
      </c>
      <c r="Q67" s="304">
        <f t="shared" si="4"/>
        <v>0</v>
      </c>
      <c r="R67" s="304">
        <f t="shared" si="4"/>
        <v>0</v>
      </c>
      <c r="S67" s="304">
        <f t="shared" si="4"/>
        <v>0</v>
      </c>
      <c r="T67" s="304">
        <f t="shared" si="4"/>
        <v>0</v>
      </c>
      <c r="U67" s="304">
        <f t="shared" si="4"/>
        <v>0</v>
      </c>
      <c r="V67" s="304">
        <f t="shared" si="4"/>
        <v>0</v>
      </c>
      <c r="W67" s="304">
        <f t="shared" si="4"/>
        <v>0</v>
      </c>
      <c r="X67" s="304">
        <f t="shared" si="4"/>
        <v>0</v>
      </c>
      <c r="Y67" s="304">
        <f t="shared" si="4"/>
        <v>0</v>
      </c>
      <c r="Z67" s="304">
        <f t="shared" si="4"/>
        <v>0</v>
      </c>
      <c r="AA67" s="304">
        <f t="shared" si="4"/>
        <v>0</v>
      </c>
      <c r="AB67" s="304">
        <f t="shared" si="4"/>
        <v>0</v>
      </c>
      <c r="AC67" s="304">
        <f t="shared" si="4"/>
        <v>0</v>
      </c>
      <c r="AD67" s="304">
        <f t="shared" si="4"/>
        <v>0</v>
      </c>
      <c r="AE67" s="304">
        <f t="shared" si="4"/>
        <v>0</v>
      </c>
      <c r="AF67" s="304">
        <f t="shared" si="4"/>
        <v>0</v>
      </c>
      <c r="AG67" s="304">
        <f t="shared" si="4"/>
        <v>0</v>
      </c>
      <c r="AH67" s="304">
        <f t="shared" si="4"/>
        <v>0</v>
      </c>
      <c r="AI67" s="304">
        <f t="shared" ref="AI67:BN67" si="5">ROUND(AI51+AI52,0)</f>
        <v>0</v>
      </c>
      <c r="AJ67" s="304">
        <f t="shared" si="5"/>
        <v>0</v>
      </c>
      <c r="AK67" s="304">
        <f t="shared" si="5"/>
        <v>0</v>
      </c>
      <c r="AL67" s="304">
        <f t="shared" si="5"/>
        <v>0</v>
      </c>
      <c r="AM67" s="304">
        <f t="shared" si="5"/>
        <v>0</v>
      </c>
      <c r="AN67" s="304">
        <f t="shared" si="5"/>
        <v>0</v>
      </c>
      <c r="AO67" s="304">
        <f t="shared" si="5"/>
        <v>0</v>
      </c>
      <c r="AP67" s="304">
        <f t="shared" si="5"/>
        <v>0</v>
      </c>
      <c r="AQ67" s="304">
        <f t="shared" si="5"/>
        <v>0</v>
      </c>
      <c r="AR67" s="304">
        <f t="shared" si="5"/>
        <v>0</v>
      </c>
      <c r="AS67" s="304">
        <f t="shared" si="5"/>
        <v>0</v>
      </c>
      <c r="AT67" s="304">
        <f t="shared" si="5"/>
        <v>0</v>
      </c>
      <c r="AU67" s="304">
        <f t="shared" si="5"/>
        <v>0</v>
      </c>
      <c r="AV67" s="304">
        <f t="shared" si="5"/>
        <v>0</v>
      </c>
      <c r="AW67" s="304">
        <f t="shared" si="5"/>
        <v>0</v>
      </c>
      <c r="AX67" s="304">
        <f t="shared" si="5"/>
        <v>0</v>
      </c>
      <c r="AY67" s="304">
        <f t="shared" si="5"/>
        <v>0</v>
      </c>
      <c r="AZ67" s="304">
        <f t="shared" si="5"/>
        <v>0</v>
      </c>
      <c r="BA67" s="304">
        <f t="shared" si="5"/>
        <v>0</v>
      </c>
      <c r="BB67" s="304">
        <f t="shared" si="5"/>
        <v>0</v>
      </c>
      <c r="BC67" s="304">
        <f t="shared" si="5"/>
        <v>0</v>
      </c>
      <c r="BD67" s="304">
        <f t="shared" si="5"/>
        <v>0</v>
      </c>
      <c r="BE67" s="304">
        <f t="shared" si="5"/>
        <v>0</v>
      </c>
      <c r="BF67" s="304">
        <f t="shared" si="5"/>
        <v>0</v>
      </c>
      <c r="BG67" s="304">
        <f t="shared" si="5"/>
        <v>0</v>
      </c>
      <c r="BH67" s="304">
        <f t="shared" si="5"/>
        <v>0</v>
      </c>
      <c r="BI67" s="304">
        <f t="shared" si="5"/>
        <v>0</v>
      </c>
      <c r="BJ67" s="304">
        <f t="shared" si="5"/>
        <v>0</v>
      </c>
      <c r="BK67" s="304">
        <f t="shared" si="5"/>
        <v>0</v>
      </c>
      <c r="BL67" s="304">
        <f t="shared" si="5"/>
        <v>0</v>
      </c>
      <c r="BM67" s="304">
        <f t="shared" si="5"/>
        <v>0</v>
      </c>
      <c r="BN67" s="304">
        <f t="shared" si="5"/>
        <v>0</v>
      </c>
      <c r="BO67" s="304">
        <f t="shared" ref="BO67:CC67" si="6">ROUND(BO51+BO52,0)</f>
        <v>0</v>
      </c>
      <c r="BP67" s="304">
        <f t="shared" si="6"/>
        <v>0</v>
      </c>
      <c r="BQ67" s="304">
        <f t="shared" si="6"/>
        <v>0</v>
      </c>
      <c r="BR67" s="304">
        <f t="shared" si="6"/>
        <v>0</v>
      </c>
      <c r="BS67" s="304">
        <f t="shared" si="6"/>
        <v>0</v>
      </c>
      <c r="BT67" s="304">
        <f t="shared" si="6"/>
        <v>0</v>
      </c>
      <c r="BU67" s="304">
        <f t="shared" si="6"/>
        <v>0</v>
      </c>
      <c r="BV67" s="304">
        <f t="shared" si="6"/>
        <v>0</v>
      </c>
      <c r="BW67" s="304">
        <f t="shared" si="6"/>
        <v>0</v>
      </c>
      <c r="BX67" s="304">
        <f t="shared" si="6"/>
        <v>0</v>
      </c>
      <c r="BY67" s="304">
        <f t="shared" si="6"/>
        <v>0</v>
      </c>
      <c r="BZ67" s="304">
        <f t="shared" si="6"/>
        <v>0</v>
      </c>
      <c r="CA67" s="304">
        <f t="shared" si="6"/>
        <v>0</v>
      </c>
      <c r="CB67" s="304">
        <f t="shared" si="6"/>
        <v>0</v>
      </c>
      <c r="CC67" s="304">
        <f t="shared" si="6"/>
        <v>0</v>
      </c>
      <c r="CD67" s="314" t="s">
        <v>221</v>
      </c>
      <c r="CE67" s="304">
        <f t="shared" si="0"/>
        <v>0</v>
      </c>
    </row>
    <row r="68" spans="1:84" ht="12.65" customHeight="1">
      <c r="A68" s="311" t="s">
        <v>240</v>
      </c>
      <c r="B68" s="304"/>
      <c r="C68" s="309">
        <f>8674</f>
        <v>8674</v>
      </c>
      <c r="D68" s="309"/>
      <c r="E68" s="309">
        <v>13324</v>
      </c>
      <c r="F68" s="309"/>
      <c r="G68" s="309"/>
      <c r="H68" s="309"/>
      <c r="I68" s="309"/>
      <c r="J68" s="309"/>
      <c r="K68" s="315"/>
      <c r="L68" s="315"/>
      <c r="M68" s="309"/>
      <c r="N68" s="309"/>
      <c r="O68" s="309">
        <v>25</v>
      </c>
      <c r="P68" s="315">
        <f>79627</f>
        <v>79627</v>
      </c>
      <c r="Q68" s="315"/>
      <c r="R68" s="315">
        <f>32123</f>
        <v>32123</v>
      </c>
      <c r="S68" s="315">
        <f>2505</f>
        <v>2505</v>
      </c>
      <c r="T68" s="315"/>
      <c r="U68" s="315">
        <f>55770</f>
        <v>55770</v>
      </c>
      <c r="V68" s="315"/>
      <c r="W68" s="315"/>
      <c r="X68" s="315">
        <f>153842</f>
        <v>153842</v>
      </c>
      <c r="Y68" s="315">
        <f>63+594+12+25</f>
        <v>694</v>
      </c>
      <c r="Z68" s="315">
        <f>232</f>
        <v>232</v>
      </c>
      <c r="AA68" s="315"/>
      <c r="AB68" s="315">
        <v>69256</v>
      </c>
      <c r="AC68" s="315">
        <f>44698</f>
        <v>44698</v>
      </c>
      <c r="AD68" s="315"/>
      <c r="AE68" s="315">
        <f>22444</f>
        <v>22444</v>
      </c>
      <c r="AF68" s="315"/>
      <c r="AG68" s="315">
        <f>1089</f>
        <v>1089</v>
      </c>
      <c r="AH68" s="315"/>
      <c r="AI68" s="315">
        <f>1</f>
        <v>1</v>
      </c>
      <c r="AJ68" s="315"/>
      <c r="AK68" s="315">
        <f>1</f>
        <v>1</v>
      </c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>
        <f>3531+80</f>
        <v>3611</v>
      </c>
      <c r="AW68" s="315"/>
      <c r="AX68" s="315"/>
      <c r="AY68" s="315"/>
      <c r="AZ68" s="315"/>
      <c r="BA68" s="315"/>
      <c r="BB68" s="315">
        <f>12</f>
        <v>12</v>
      </c>
      <c r="BC68" s="315"/>
      <c r="BD68" s="315">
        <v>919</v>
      </c>
      <c r="BE68" s="315">
        <f>386</f>
        <v>386</v>
      </c>
      <c r="BF68" s="315"/>
      <c r="BG68" s="315"/>
      <c r="BH68" s="315"/>
      <c r="BI68" s="315"/>
      <c r="BJ68" s="315">
        <f>7</f>
        <v>7</v>
      </c>
      <c r="BK68" s="315"/>
      <c r="BL68" s="315"/>
      <c r="BM68" s="315"/>
      <c r="BN68" s="315">
        <f>92194+27614+1908</f>
        <v>121716</v>
      </c>
      <c r="BO68" s="315"/>
      <c r="BP68" s="315"/>
      <c r="BQ68" s="315"/>
      <c r="BR68" s="315"/>
      <c r="BS68" s="315"/>
      <c r="BT68" s="315"/>
      <c r="BU68" s="315"/>
      <c r="BV68" s="315">
        <f>10243</f>
        <v>10243</v>
      </c>
      <c r="BW68" s="315">
        <f>128</f>
        <v>128</v>
      </c>
      <c r="BX68" s="315"/>
      <c r="BY68" s="315">
        <v>119</v>
      </c>
      <c r="BZ68" s="315"/>
      <c r="CA68" s="315"/>
      <c r="CB68" s="315"/>
      <c r="CC68" s="315"/>
      <c r="CD68" s="314" t="s">
        <v>221</v>
      </c>
      <c r="CE68" s="304">
        <f t="shared" si="0"/>
        <v>621446</v>
      </c>
    </row>
    <row r="69" spans="1:84" ht="12.65" customHeight="1">
      <c r="A69" s="311" t="s">
        <v>241</v>
      </c>
      <c r="B69" s="304"/>
      <c r="C69" s="309">
        <f>27005+13698+5272+68+145+1990</f>
        <v>48178</v>
      </c>
      <c r="D69" s="309"/>
      <c r="E69" s="315">
        <f>3658+4249+815+398+1204</f>
        <v>10324</v>
      </c>
      <c r="F69" s="315"/>
      <c r="G69" s="309"/>
      <c r="H69" s="309"/>
      <c r="I69" s="315"/>
      <c r="J69" s="315">
        <f>178+179</f>
        <v>357</v>
      </c>
      <c r="K69" s="315"/>
      <c r="L69" s="315"/>
      <c r="M69" s="309"/>
      <c r="N69" s="309"/>
      <c r="O69" s="309">
        <f>45422+14661+11+142</f>
        <v>60236</v>
      </c>
      <c r="P69" s="315">
        <f>323512+131291+1271+2470</f>
        <v>458544</v>
      </c>
      <c r="Q69" s="315">
        <f>863</f>
        <v>863</v>
      </c>
      <c r="R69" s="316">
        <f>685+1726</f>
        <v>2411</v>
      </c>
      <c r="S69" s="315">
        <f>21971+141054+3011-16449</f>
        <v>149587</v>
      </c>
      <c r="T69" s="309"/>
      <c r="U69" s="315">
        <f>19789+13185+1583+1755+1391</f>
        <v>37703</v>
      </c>
      <c r="V69" s="315"/>
      <c r="W69" s="309">
        <f>22321+13</f>
        <v>22334</v>
      </c>
      <c r="X69" s="315">
        <f>22808+5+1680+44557+120</f>
        <v>69170</v>
      </c>
      <c r="Y69" s="315">
        <f>580+11+2745+20557+30+65488+71792+666+6927+2770+16112+16+1943+76+290627+49023+761</f>
        <v>530124</v>
      </c>
      <c r="Z69" s="315">
        <f>63588+190+6063</f>
        <v>69841</v>
      </c>
      <c r="AA69" s="315">
        <f>6214+64+8169</f>
        <v>14447</v>
      </c>
      <c r="AB69" s="315">
        <f>7236+1782+6010+7743</f>
        <v>22771</v>
      </c>
      <c r="AC69" s="315">
        <f>148+349+164</f>
        <v>661</v>
      </c>
      <c r="AD69" s="315"/>
      <c r="AE69" s="315">
        <f>5872+460+146-3895+547</f>
        <v>3130</v>
      </c>
      <c r="AF69" s="315"/>
      <c r="AG69" s="315">
        <f>276931+8433+465+625+145</f>
        <v>286599</v>
      </c>
      <c r="AH69" s="315"/>
      <c r="AI69" s="315">
        <f>18259+27+1345+1770+171</f>
        <v>21572</v>
      </c>
      <c r="AJ69" s="315"/>
      <c r="AK69" s="315">
        <f>11085+35</f>
        <v>11120</v>
      </c>
      <c r="AL69" s="315"/>
      <c r="AM69" s="315"/>
      <c r="AN69" s="315"/>
      <c r="AO69" s="309"/>
      <c r="AP69" s="315"/>
      <c r="AQ69" s="309"/>
      <c r="AR69" s="309"/>
      <c r="AS69" s="309"/>
      <c r="AT69" s="309"/>
      <c r="AU69" s="315"/>
      <c r="AV69" s="315">
        <f>4519+433</f>
        <v>4952</v>
      </c>
      <c r="AW69" s="315"/>
      <c r="AX69" s="315"/>
      <c r="AY69" s="315">
        <f>8763+515+539</f>
        <v>9817</v>
      </c>
      <c r="AZ69" s="315"/>
      <c r="BA69" s="315"/>
      <c r="BB69" s="315">
        <f>40672+16726+8139+3189</f>
        <v>68726</v>
      </c>
      <c r="BC69" s="315"/>
      <c r="BD69" s="315">
        <f>558+45073+278+28+14+444+3300</f>
        <v>49695</v>
      </c>
      <c r="BE69" s="315">
        <f>3699+197122+596+64+1144+270+104</f>
        <v>202999</v>
      </c>
      <c r="BF69" s="315">
        <f>1263+547</f>
        <v>1810</v>
      </c>
      <c r="BG69" s="315"/>
      <c r="BH69" s="316">
        <f>30150+9702+35150</f>
        <v>75002</v>
      </c>
      <c r="BI69" s="315"/>
      <c r="BJ69" s="315">
        <f>38639+164+14+466-2586</f>
        <v>36697</v>
      </c>
      <c r="BK69" s="315"/>
      <c r="BL69" s="315"/>
      <c r="BM69" s="315">
        <f>458+7+58142+1698</f>
        <v>60305</v>
      </c>
      <c r="BN69" s="315">
        <f>111932+30661+1250+2055+48505+58316+296394+10432+1008+129098+16725+85</f>
        <v>706461</v>
      </c>
      <c r="BO69" s="315"/>
      <c r="BP69" s="315">
        <f>45156+241+178+424</f>
        <v>45999</v>
      </c>
      <c r="BQ69" s="315"/>
      <c r="BR69" s="315">
        <f>17793+4+4+4554+25002</f>
        <v>47357</v>
      </c>
      <c r="BS69" s="315"/>
      <c r="BT69" s="315"/>
      <c r="BU69" s="315"/>
      <c r="BV69" s="315">
        <f>615+800+603</f>
        <v>2018</v>
      </c>
      <c r="BW69" s="315">
        <f>72-2064</f>
        <v>-1992</v>
      </c>
      <c r="BX69" s="315">
        <f>18584+132</f>
        <v>18716</v>
      </c>
      <c r="BY69" s="315">
        <v>-50</v>
      </c>
      <c r="BZ69" s="315"/>
      <c r="CA69" s="315">
        <f>7874+12148</f>
        <v>20022</v>
      </c>
      <c r="CB69" s="315"/>
      <c r="CC69" s="315"/>
      <c r="CD69" s="323"/>
      <c r="CE69" s="304">
        <f t="shared" si="0"/>
        <v>3168506</v>
      </c>
    </row>
    <row r="70" spans="1:84" ht="12.65" customHeight="1">
      <c r="A70" s="311" t="s">
        <v>242</v>
      </c>
      <c r="B70" s="304"/>
      <c r="C70" s="309"/>
      <c r="D70" s="309"/>
      <c r="E70" s="309"/>
      <c r="F70" s="315"/>
      <c r="G70" s="309"/>
      <c r="H70" s="309"/>
      <c r="I70" s="309"/>
      <c r="J70" s="315"/>
      <c r="K70" s="315"/>
      <c r="L70" s="315"/>
      <c r="M70" s="309"/>
      <c r="N70" s="309"/>
      <c r="O70" s="309"/>
      <c r="P70" s="309"/>
      <c r="Q70" s="309"/>
      <c r="R70" s="309"/>
      <c r="S70" s="309"/>
      <c r="T70" s="309"/>
      <c r="U70" s="315"/>
      <c r="V70" s="309"/>
      <c r="W70" s="309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15"/>
      <c r="BZ70" s="315"/>
      <c r="CA70" s="315"/>
      <c r="CB70" s="315"/>
      <c r="CC70" s="315"/>
      <c r="CD70" s="323"/>
      <c r="CE70" s="304">
        <f t="shared" si="0"/>
        <v>0</v>
      </c>
    </row>
    <row r="71" spans="1:84" ht="12.65" customHeight="1">
      <c r="A71" s="311" t="s">
        <v>243</v>
      </c>
      <c r="B71" s="304"/>
      <c r="C71" s="304">
        <f>SUM(C61:C68)+C69-C70</f>
        <v>1830541</v>
      </c>
      <c r="D71" s="304">
        <f t="shared" ref="D71:AI71" si="7">SUM(D61:D69)-D70</f>
        <v>0</v>
      </c>
      <c r="E71" s="304">
        <f t="shared" si="7"/>
        <v>1057735</v>
      </c>
      <c r="F71" s="304">
        <f t="shared" si="7"/>
        <v>0</v>
      </c>
      <c r="G71" s="304">
        <f t="shared" si="7"/>
        <v>0</v>
      </c>
      <c r="H71" s="304">
        <f t="shared" si="7"/>
        <v>0</v>
      </c>
      <c r="I71" s="304">
        <f t="shared" si="7"/>
        <v>0</v>
      </c>
      <c r="J71" s="304">
        <f t="shared" si="7"/>
        <v>188559</v>
      </c>
      <c r="K71" s="304">
        <f t="shared" si="7"/>
        <v>0</v>
      </c>
      <c r="L71" s="304">
        <f t="shared" si="7"/>
        <v>0</v>
      </c>
      <c r="M71" s="304">
        <f t="shared" si="7"/>
        <v>0</v>
      </c>
      <c r="N71" s="304">
        <f t="shared" si="7"/>
        <v>0</v>
      </c>
      <c r="O71" s="304">
        <f t="shared" si="7"/>
        <v>998600</v>
      </c>
      <c r="P71" s="304">
        <f t="shared" si="7"/>
        <v>1539849</v>
      </c>
      <c r="Q71" s="304">
        <f t="shared" si="7"/>
        <v>293919</v>
      </c>
      <c r="R71" s="304">
        <f t="shared" si="7"/>
        <v>430072</v>
      </c>
      <c r="S71" s="304">
        <f t="shared" si="7"/>
        <v>792035</v>
      </c>
      <c r="T71" s="304">
        <f t="shared" si="7"/>
        <v>0</v>
      </c>
      <c r="U71" s="304">
        <f t="shared" si="7"/>
        <v>843655</v>
      </c>
      <c r="V71" s="304">
        <f t="shared" si="7"/>
        <v>0</v>
      </c>
      <c r="W71" s="304">
        <f t="shared" si="7"/>
        <v>69992</v>
      </c>
      <c r="X71" s="304">
        <f t="shared" si="7"/>
        <v>503982</v>
      </c>
      <c r="Y71" s="304">
        <f t="shared" si="7"/>
        <v>1564115</v>
      </c>
      <c r="Z71" s="304">
        <f t="shared" si="7"/>
        <v>369548</v>
      </c>
      <c r="AA71" s="304">
        <f t="shared" si="7"/>
        <v>101402</v>
      </c>
      <c r="AB71" s="304">
        <f t="shared" si="7"/>
        <v>1182241</v>
      </c>
      <c r="AC71" s="304">
        <f t="shared" si="7"/>
        <v>437768</v>
      </c>
      <c r="AD71" s="304">
        <f t="shared" si="7"/>
        <v>0</v>
      </c>
      <c r="AE71" s="304">
        <f t="shared" si="7"/>
        <v>225946</v>
      </c>
      <c r="AF71" s="304">
        <f t="shared" si="7"/>
        <v>0</v>
      </c>
      <c r="AG71" s="304">
        <f t="shared" si="7"/>
        <v>1000163</v>
      </c>
      <c r="AH71" s="304">
        <f t="shared" si="7"/>
        <v>0</v>
      </c>
      <c r="AI71" s="304">
        <f t="shared" si="7"/>
        <v>685034</v>
      </c>
      <c r="AJ71" s="304">
        <f t="shared" ref="AJ71:BO71" si="8">SUM(AJ61:AJ69)-AJ70</f>
        <v>0</v>
      </c>
      <c r="AK71" s="304">
        <f t="shared" si="8"/>
        <v>36658</v>
      </c>
      <c r="AL71" s="304">
        <f t="shared" si="8"/>
        <v>0</v>
      </c>
      <c r="AM71" s="304">
        <f t="shared" si="8"/>
        <v>0</v>
      </c>
      <c r="AN71" s="304">
        <f t="shared" si="8"/>
        <v>0</v>
      </c>
      <c r="AO71" s="304">
        <f t="shared" si="8"/>
        <v>0</v>
      </c>
      <c r="AP71" s="304">
        <f t="shared" si="8"/>
        <v>0</v>
      </c>
      <c r="AQ71" s="304">
        <f t="shared" si="8"/>
        <v>0</v>
      </c>
      <c r="AR71" s="304">
        <f t="shared" si="8"/>
        <v>0</v>
      </c>
      <c r="AS71" s="304">
        <f t="shared" si="8"/>
        <v>0</v>
      </c>
      <c r="AT71" s="304">
        <f t="shared" si="8"/>
        <v>0</v>
      </c>
      <c r="AU71" s="304">
        <f t="shared" si="8"/>
        <v>0</v>
      </c>
      <c r="AV71" s="304">
        <f t="shared" si="8"/>
        <v>934211</v>
      </c>
      <c r="AW71" s="304">
        <f t="shared" si="8"/>
        <v>0</v>
      </c>
      <c r="AX71" s="304">
        <f t="shared" si="8"/>
        <v>0</v>
      </c>
      <c r="AY71" s="304">
        <f t="shared" si="8"/>
        <v>451080</v>
      </c>
      <c r="AZ71" s="304">
        <f t="shared" si="8"/>
        <v>0</v>
      </c>
      <c r="BA71" s="304">
        <f t="shared" si="8"/>
        <v>0</v>
      </c>
      <c r="BB71" s="304">
        <f t="shared" si="8"/>
        <v>297172</v>
      </c>
      <c r="BC71" s="304">
        <f t="shared" si="8"/>
        <v>0</v>
      </c>
      <c r="BD71" s="304">
        <f t="shared" si="8"/>
        <v>2106059</v>
      </c>
      <c r="BE71" s="304">
        <f t="shared" si="8"/>
        <v>761994</v>
      </c>
      <c r="BF71" s="304">
        <f t="shared" si="8"/>
        <v>416904</v>
      </c>
      <c r="BG71" s="304">
        <f t="shared" si="8"/>
        <v>75851</v>
      </c>
      <c r="BH71" s="304">
        <f t="shared" si="8"/>
        <v>693561</v>
      </c>
      <c r="BI71" s="304">
        <f t="shared" si="8"/>
        <v>0</v>
      </c>
      <c r="BJ71" s="304">
        <f t="shared" si="8"/>
        <v>104617</v>
      </c>
      <c r="BK71" s="304">
        <f t="shared" si="8"/>
        <v>419129</v>
      </c>
      <c r="BL71" s="304">
        <f t="shared" si="8"/>
        <v>45574</v>
      </c>
      <c r="BM71" s="304">
        <f t="shared" si="8"/>
        <v>296532</v>
      </c>
      <c r="BN71" s="304">
        <f t="shared" si="8"/>
        <v>1574165</v>
      </c>
      <c r="BO71" s="304">
        <f t="shared" si="8"/>
        <v>0</v>
      </c>
      <c r="BP71" s="304">
        <f t="shared" ref="BP71:CC71" si="9">SUM(BP61:BP69)-BP70</f>
        <v>69466</v>
      </c>
      <c r="BQ71" s="304">
        <f t="shared" si="9"/>
        <v>0</v>
      </c>
      <c r="BR71" s="304">
        <f t="shared" si="9"/>
        <v>1337870</v>
      </c>
      <c r="BS71" s="304">
        <f t="shared" si="9"/>
        <v>0</v>
      </c>
      <c r="BT71" s="304">
        <f t="shared" si="9"/>
        <v>0</v>
      </c>
      <c r="BU71" s="304">
        <f t="shared" si="9"/>
        <v>0</v>
      </c>
      <c r="BV71" s="304">
        <f t="shared" si="9"/>
        <v>278435</v>
      </c>
      <c r="BW71" s="304">
        <f t="shared" si="9"/>
        <v>57821</v>
      </c>
      <c r="BX71" s="304">
        <f t="shared" si="9"/>
        <v>221888</v>
      </c>
      <c r="BY71" s="304">
        <f t="shared" si="9"/>
        <v>304513</v>
      </c>
      <c r="BZ71" s="304">
        <f t="shared" si="9"/>
        <v>0</v>
      </c>
      <c r="CA71" s="304">
        <f t="shared" si="9"/>
        <v>99147</v>
      </c>
      <c r="CB71" s="304">
        <f t="shared" si="9"/>
        <v>0</v>
      </c>
      <c r="CC71" s="304">
        <f t="shared" si="9"/>
        <v>0</v>
      </c>
      <c r="CD71" s="310">
        <f>CD69-CD70</f>
        <v>0</v>
      </c>
      <c r="CE71" s="304">
        <f>SUM(CE61:CE69)-CE70</f>
        <v>24697803</v>
      </c>
    </row>
    <row r="72" spans="1:84" ht="12.65" customHeight="1">
      <c r="A72" s="311" t="s">
        <v>244</v>
      </c>
      <c r="B72" s="304"/>
      <c r="C72" s="314" t="s">
        <v>221</v>
      </c>
      <c r="D72" s="314" t="s">
        <v>221</v>
      </c>
      <c r="E72" s="314" t="s">
        <v>221</v>
      </c>
      <c r="F72" s="314" t="s">
        <v>221</v>
      </c>
      <c r="G72" s="314" t="s">
        <v>221</v>
      </c>
      <c r="H72" s="314" t="s">
        <v>221</v>
      </c>
      <c r="I72" s="314" t="s">
        <v>221</v>
      </c>
      <c r="J72" s="314" t="s">
        <v>221</v>
      </c>
      <c r="K72" s="251" t="s">
        <v>221</v>
      </c>
      <c r="L72" s="314" t="s">
        <v>221</v>
      </c>
      <c r="M72" s="314" t="s">
        <v>221</v>
      </c>
      <c r="N72" s="314" t="s">
        <v>221</v>
      </c>
      <c r="O72" s="314" t="s">
        <v>221</v>
      </c>
      <c r="P72" s="314" t="s">
        <v>221</v>
      </c>
      <c r="Q72" s="314" t="s">
        <v>221</v>
      </c>
      <c r="R72" s="314" t="s">
        <v>221</v>
      </c>
      <c r="S72" s="314" t="s">
        <v>221</v>
      </c>
      <c r="T72" s="314" t="s">
        <v>221</v>
      </c>
      <c r="U72" s="314" t="s">
        <v>221</v>
      </c>
      <c r="V72" s="314" t="s">
        <v>221</v>
      </c>
      <c r="W72" s="314" t="s">
        <v>221</v>
      </c>
      <c r="X72" s="314" t="s">
        <v>221</v>
      </c>
      <c r="Y72" s="314" t="s">
        <v>221</v>
      </c>
      <c r="Z72" s="314" t="s">
        <v>221</v>
      </c>
      <c r="AA72" s="314" t="s">
        <v>221</v>
      </c>
      <c r="AB72" s="314" t="s">
        <v>221</v>
      </c>
      <c r="AC72" s="314" t="s">
        <v>221</v>
      </c>
      <c r="AD72" s="314" t="s">
        <v>221</v>
      </c>
      <c r="AE72" s="314" t="s">
        <v>221</v>
      </c>
      <c r="AF72" s="314" t="s">
        <v>221</v>
      </c>
      <c r="AG72" s="314" t="s">
        <v>221</v>
      </c>
      <c r="AH72" s="314" t="s">
        <v>221</v>
      </c>
      <c r="AI72" s="314" t="s">
        <v>221</v>
      </c>
      <c r="AJ72" s="314" t="s">
        <v>221</v>
      </c>
      <c r="AK72" s="314" t="s">
        <v>221</v>
      </c>
      <c r="AL72" s="314" t="s">
        <v>221</v>
      </c>
      <c r="AM72" s="314" t="s">
        <v>221</v>
      </c>
      <c r="AN72" s="314" t="s">
        <v>221</v>
      </c>
      <c r="AO72" s="314" t="s">
        <v>221</v>
      </c>
      <c r="AP72" s="314" t="s">
        <v>221</v>
      </c>
      <c r="AQ72" s="314" t="s">
        <v>221</v>
      </c>
      <c r="AR72" s="314" t="s">
        <v>221</v>
      </c>
      <c r="AS72" s="314" t="s">
        <v>221</v>
      </c>
      <c r="AT72" s="314" t="s">
        <v>221</v>
      </c>
      <c r="AU72" s="314" t="s">
        <v>221</v>
      </c>
      <c r="AV72" s="314" t="s">
        <v>221</v>
      </c>
      <c r="AW72" s="314" t="s">
        <v>221</v>
      </c>
      <c r="AX72" s="314" t="s">
        <v>221</v>
      </c>
      <c r="AY72" s="314" t="s">
        <v>221</v>
      </c>
      <c r="AZ72" s="314" t="s">
        <v>221</v>
      </c>
      <c r="BA72" s="314" t="s">
        <v>221</v>
      </c>
      <c r="BB72" s="314" t="s">
        <v>221</v>
      </c>
      <c r="BC72" s="314" t="s">
        <v>221</v>
      </c>
      <c r="BD72" s="314" t="s">
        <v>221</v>
      </c>
      <c r="BE72" s="314" t="s">
        <v>221</v>
      </c>
      <c r="BF72" s="314" t="s">
        <v>221</v>
      </c>
      <c r="BG72" s="314" t="s">
        <v>221</v>
      </c>
      <c r="BH72" s="314" t="s">
        <v>221</v>
      </c>
      <c r="BI72" s="314" t="s">
        <v>221</v>
      </c>
      <c r="BJ72" s="314" t="s">
        <v>221</v>
      </c>
      <c r="BK72" s="314" t="s">
        <v>221</v>
      </c>
      <c r="BL72" s="314" t="s">
        <v>221</v>
      </c>
      <c r="BM72" s="314" t="s">
        <v>221</v>
      </c>
      <c r="BN72" s="314" t="s">
        <v>221</v>
      </c>
      <c r="BO72" s="314" t="s">
        <v>221</v>
      </c>
      <c r="BP72" s="314" t="s">
        <v>221</v>
      </c>
      <c r="BQ72" s="314" t="s">
        <v>221</v>
      </c>
      <c r="BR72" s="314" t="s">
        <v>221</v>
      </c>
      <c r="BS72" s="314" t="s">
        <v>221</v>
      </c>
      <c r="BT72" s="314" t="s">
        <v>221</v>
      </c>
      <c r="BU72" s="314" t="s">
        <v>221</v>
      </c>
      <c r="BV72" s="314" t="s">
        <v>221</v>
      </c>
      <c r="BW72" s="314" t="s">
        <v>221</v>
      </c>
      <c r="BX72" s="314" t="s">
        <v>221</v>
      </c>
      <c r="BY72" s="314" t="s">
        <v>221</v>
      </c>
      <c r="BZ72" s="314" t="s">
        <v>221</v>
      </c>
      <c r="CA72" s="314" t="s">
        <v>221</v>
      </c>
      <c r="CB72" s="314" t="s">
        <v>221</v>
      </c>
      <c r="CC72" s="314" t="s">
        <v>221</v>
      </c>
      <c r="CD72" s="314" t="s">
        <v>221</v>
      </c>
      <c r="CE72" s="323"/>
    </row>
    <row r="73" spans="1:84" ht="12.65" customHeight="1">
      <c r="A73" s="311" t="s">
        <v>245</v>
      </c>
      <c r="B73" s="304"/>
      <c r="C73" s="309">
        <v>7591322</v>
      </c>
      <c r="D73" s="309"/>
      <c r="E73" s="315">
        <v>3146150</v>
      </c>
      <c r="F73" s="315"/>
      <c r="G73" s="309"/>
      <c r="H73" s="309"/>
      <c r="I73" s="315"/>
      <c r="J73" s="315">
        <f>849567+720</f>
        <v>850287</v>
      </c>
      <c r="K73" s="315"/>
      <c r="L73" s="315"/>
      <c r="M73" s="309"/>
      <c r="N73" s="309"/>
      <c r="O73" s="309">
        <v>5044465</v>
      </c>
      <c r="P73" s="315">
        <v>6655965</v>
      </c>
      <c r="Q73" s="315">
        <v>1797350</v>
      </c>
      <c r="R73" s="315">
        <v>1159690</v>
      </c>
      <c r="S73" s="315"/>
      <c r="T73" s="315"/>
      <c r="U73" s="315">
        <f>4778631+218597+559886</f>
        <v>5557114</v>
      </c>
      <c r="V73" s="315"/>
      <c r="W73" s="315">
        <v>324702</v>
      </c>
      <c r="X73" s="315">
        <f>2827150+2826</f>
        <v>2829976</v>
      </c>
      <c r="Y73" s="315">
        <f>621316+631581+175+1090839+109870+1622964</f>
        <v>4076745</v>
      </c>
      <c r="Z73" s="315">
        <f>29791</f>
        <v>29791</v>
      </c>
      <c r="AA73" s="315">
        <f>214324</f>
        <v>214324</v>
      </c>
      <c r="AB73" s="315">
        <f>2821939+236</f>
        <v>2822175</v>
      </c>
      <c r="AC73" s="315">
        <f>1008+1489743</f>
        <v>1490751</v>
      </c>
      <c r="AD73" s="315"/>
      <c r="AE73" s="315">
        <f>365644</f>
        <v>365644</v>
      </c>
      <c r="AF73" s="315"/>
      <c r="AG73" s="315">
        <f>2335409</f>
        <v>2335409</v>
      </c>
      <c r="AH73" s="315"/>
      <c r="AI73" s="315">
        <f>310315+43672</f>
        <v>353987</v>
      </c>
      <c r="AJ73" s="315"/>
      <c r="AK73" s="315">
        <f>27882+69958</f>
        <v>97840</v>
      </c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>
        <f>8633+7129619+48384</f>
        <v>7186636</v>
      </c>
      <c r="AW73" s="314" t="s">
        <v>221</v>
      </c>
      <c r="AX73" s="314" t="s">
        <v>221</v>
      </c>
      <c r="AY73" s="314" t="s">
        <v>221</v>
      </c>
      <c r="AZ73" s="314" t="s">
        <v>221</v>
      </c>
      <c r="BA73" s="314" t="s">
        <v>221</v>
      </c>
      <c r="BB73" s="314" t="s">
        <v>221</v>
      </c>
      <c r="BC73" s="314" t="s">
        <v>221</v>
      </c>
      <c r="BD73" s="314" t="s">
        <v>221</v>
      </c>
      <c r="BE73" s="314" t="s">
        <v>221</v>
      </c>
      <c r="BF73" s="314" t="s">
        <v>221</v>
      </c>
      <c r="BG73" s="314" t="s">
        <v>221</v>
      </c>
      <c r="BH73" s="314" t="s">
        <v>221</v>
      </c>
      <c r="BI73" s="314" t="s">
        <v>221</v>
      </c>
      <c r="BJ73" s="314" t="s">
        <v>221</v>
      </c>
      <c r="BK73" s="314" t="s">
        <v>221</v>
      </c>
      <c r="BL73" s="314" t="s">
        <v>221</v>
      </c>
      <c r="BM73" s="314" t="s">
        <v>221</v>
      </c>
      <c r="BN73" s="314" t="s">
        <v>221</v>
      </c>
      <c r="BO73" s="314" t="s">
        <v>221</v>
      </c>
      <c r="BP73" s="314" t="s">
        <v>221</v>
      </c>
      <c r="BQ73" s="314" t="s">
        <v>221</v>
      </c>
      <c r="BR73" s="314" t="s">
        <v>221</v>
      </c>
      <c r="BS73" s="314" t="s">
        <v>221</v>
      </c>
      <c r="BT73" s="314" t="s">
        <v>221</v>
      </c>
      <c r="BU73" s="314" t="s">
        <v>221</v>
      </c>
      <c r="BV73" s="314" t="s">
        <v>221</v>
      </c>
      <c r="BW73" s="314" t="s">
        <v>221</v>
      </c>
      <c r="BX73" s="314" t="s">
        <v>221</v>
      </c>
      <c r="BY73" s="314" t="s">
        <v>221</v>
      </c>
      <c r="BZ73" s="314" t="s">
        <v>221</v>
      </c>
      <c r="CA73" s="314" t="s">
        <v>221</v>
      </c>
      <c r="CB73" s="314" t="s">
        <v>221</v>
      </c>
      <c r="CC73" s="314" t="s">
        <v>221</v>
      </c>
      <c r="CD73" s="314" t="s">
        <v>221</v>
      </c>
      <c r="CE73" s="304">
        <f t="shared" ref="CE73:CE80" si="10">SUM(C73:CD73)</f>
        <v>53930323</v>
      </c>
    </row>
    <row r="74" spans="1:84" ht="12.65" customHeight="1">
      <c r="A74" s="311" t="s">
        <v>246</v>
      </c>
      <c r="B74" s="304"/>
      <c r="C74" s="309">
        <v>472696</v>
      </c>
      <c r="D74" s="309"/>
      <c r="E74" s="315">
        <v>278975</v>
      </c>
      <c r="F74" s="315"/>
      <c r="G74" s="309"/>
      <c r="H74" s="309"/>
      <c r="I74" s="309"/>
      <c r="J74" s="315">
        <v>1386</v>
      </c>
      <c r="K74" s="315"/>
      <c r="L74" s="315"/>
      <c r="M74" s="309"/>
      <c r="N74" s="309"/>
      <c r="O74" s="309">
        <v>263311</v>
      </c>
      <c r="P74" s="315">
        <v>12417191</v>
      </c>
      <c r="Q74" s="315">
        <v>4172461</v>
      </c>
      <c r="R74" s="315">
        <v>2393504</v>
      </c>
      <c r="S74" s="315"/>
      <c r="T74" s="315"/>
      <c r="U74" s="315">
        <f>5055617+517799+218703</f>
        <v>5792119</v>
      </c>
      <c r="V74" s="315"/>
      <c r="W74" s="315">
        <v>622480</v>
      </c>
      <c r="X74" s="315">
        <f>7341219+1588076+7621014</f>
        <v>16550309</v>
      </c>
      <c r="Y74" s="315">
        <f>1736563+1556060+1709612+1470789+395928+1797850</f>
        <v>8666802</v>
      </c>
      <c r="Z74" s="315">
        <f>9898409</f>
        <v>9898409</v>
      </c>
      <c r="AA74" s="315">
        <f>719151</f>
        <v>719151</v>
      </c>
      <c r="AB74" s="315">
        <f>1864645+200364</f>
        <v>2065009</v>
      </c>
      <c r="AC74" s="315">
        <f>150395+967102</f>
        <v>1117497</v>
      </c>
      <c r="AD74" s="315"/>
      <c r="AE74" s="315">
        <f>573771</f>
        <v>573771</v>
      </c>
      <c r="AF74" s="315"/>
      <c r="AG74" s="315">
        <f>9352011</f>
        <v>9352011</v>
      </c>
      <c r="AH74" s="315"/>
      <c r="AI74" s="315">
        <f>530012+1369204</f>
        <v>1899216</v>
      </c>
      <c r="AJ74" s="315"/>
      <c r="AK74" s="315">
        <f>63329+103344</f>
        <v>166673</v>
      </c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>
        <f>2186372+7739776</f>
        <v>9926148</v>
      </c>
      <c r="AW74" s="314" t="s">
        <v>221</v>
      </c>
      <c r="AX74" s="314" t="s">
        <v>221</v>
      </c>
      <c r="AY74" s="314" t="s">
        <v>221</v>
      </c>
      <c r="AZ74" s="314" t="s">
        <v>221</v>
      </c>
      <c r="BA74" s="314" t="s">
        <v>221</v>
      </c>
      <c r="BB74" s="314" t="s">
        <v>221</v>
      </c>
      <c r="BC74" s="314" t="s">
        <v>221</v>
      </c>
      <c r="BD74" s="314" t="s">
        <v>221</v>
      </c>
      <c r="BE74" s="314" t="s">
        <v>221</v>
      </c>
      <c r="BF74" s="314" t="s">
        <v>221</v>
      </c>
      <c r="BG74" s="314" t="s">
        <v>221</v>
      </c>
      <c r="BH74" s="314" t="s">
        <v>221</v>
      </c>
      <c r="BI74" s="314" t="s">
        <v>221</v>
      </c>
      <c r="BJ74" s="314" t="s">
        <v>221</v>
      </c>
      <c r="BK74" s="314" t="s">
        <v>221</v>
      </c>
      <c r="BL74" s="314" t="s">
        <v>221</v>
      </c>
      <c r="BM74" s="314" t="s">
        <v>221</v>
      </c>
      <c r="BN74" s="314" t="s">
        <v>221</v>
      </c>
      <c r="BO74" s="314" t="s">
        <v>221</v>
      </c>
      <c r="BP74" s="314" t="s">
        <v>221</v>
      </c>
      <c r="BQ74" s="314" t="s">
        <v>221</v>
      </c>
      <c r="BR74" s="314" t="s">
        <v>221</v>
      </c>
      <c r="BS74" s="314" t="s">
        <v>221</v>
      </c>
      <c r="BT74" s="314" t="s">
        <v>221</v>
      </c>
      <c r="BU74" s="314" t="s">
        <v>221</v>
      </c>
      <c r="BV74" s="314" t="s">
        <v>221</v>
      </c>
      <c r="BW74" s="314" t="s">
        <v>221</v>
      </c>
      <c r="BX74" s="314" t="s">
        <v>221</v>
      </c>
      <c r="BY74" s="314" t="s">
        <v>221</v>
      </c>
      <c r="BZ74" s="314" t="s">
        <v>221</v>
      </c>
      <c r="CA74" s="314" t="s">
        <v>221</v>
      </c>
      <c r="CB74" s="314" t="s">
        <v>221</v>
      </c>
      <c r="CC74" s="314" t="s">
        <v>221</v>
      </c>
      <c r="CD74" s="314" t="s">
        <v>221</v>
      </c>
      <c r="CE74" s="304">
        <f t="shared" si="10"/>
        <v>87349119</v>
      </c>
    </row>
    <row r="75" spans="1:84" ht="12.65" customHeight="1">
      <c r="A75" s="311" t="s">
        <v>247</v>
      </c>
      <c r="B75" s="304"/>
      <c r="C75" s="304">
        <f t="shared" ref="C75:AV75" si="11">SUM(C73:C74)</f>
        <v>8064018</v>
      </c>
      <c r="D75" s="304">
        <f t="shared" si="11"/>
        <v>0</v>
      </c>
      <c r="E75" s="304">
        <f t="shared" si="11"/>
        <v>3425125</v>
      </c>
      <c r="F75" s="304">
        <f t="shared" si="11"/>
        <v>0</v>
      </c>
      <c r="G75" s="304">
        <f t="shared" si="11"/>
        <v>0</v>
      </c>
      <c r="H75" s="304">
        <f t="shared" si="11"/>
        <v>0</v>
      </c>
      <c r="I75" s="304">
        <f t="shared" si="11"/>
        <v>0</v>
      </c>
      <c r="J75" s="304">
        <f t="shared" si="11"/>
        <v>851673</v>
      </c>
      <c r="K75" s="304">
        <f t="shared" si="11"/>
        <v>0</v>
      </c>
      <c r="L75" s="304">
        <f t="shared" si="11"/>
        <v>0</v>
      </c>
      <c r="M75" s="304">
        <f t="shared" si="11"/>
        <v>0</v>
      </c>
      <c r="N75" s="304">
        <f t="shared" si="11"/>
        <v>0</v>
      </c>
      <c r="O75" s="304">
        <f t="shared" si="11"/>
        <v>5307776</v>
      </c>
      <c r="P75" s="304">
        <f t="shared" si="11"/>
        <v>19073156</v>
      </c>
      <c r="Q75" s="304">
        <f t="shared" si="11"/>
        <v>5969811</v>
      </c>
      <c r="R75" s="304">
        <f t="shared" si="11"/>
        <v>3553194</v>
      </c>
      <c r="S75" s="304">
        <f t="shared" si="11"/>
        <v>0</v>
      </c>
      <c r="T75" s="304">
        <f t="shared" si="11"/>
        <v>0</v>
      </c>
      <c r="U75" s="304">
        <f t="shared" si="11"/>
        <v>11349233</v>
      </c>
      <c r="V75" s="304">
        <f t="shared" si="11"/>
        <v>0</v>
      </c>
      <c r="W75" s="304">
        <f t="shared" si="11"/>
        <v>947182</v>
      </c>
      <c r="X75" s="304">
        <f t="shared" si="11"/>
        <v>19380285</v>
      </c>
      <c r="Y75" s="304">
        <f t="shared" si="11"/>
        <v>12743547</v>
      </c>
      <c r="Z75" s="304">
        <f t="shared" si="11"/>
        <v>9928200</v>
      </c>
      <c r="AA75" s="304">
        <f t="shared" si="11"/>
        <v>933475</v>
      </c>
      <c r="AB75" s="304">
        <f t="shared" si="11"/>
        <v>4887184</v>
      </c>
      <c r="AC75" s="304">
        <f t="shared" si="11"/>
        <v>2608248</v>
      </c>
      <c r="AD75" s="304">
        <f t="shared" si="11"/>
        <v>0</v>
      </c>
      <c r="AE75" s="304">
        <f t="shared" si="11"/>
        <v>939415</v>
      </c>
      <c r="AF75" s="304">
        <f t="shared" si="11"/>
        <v>0</v>
      </c>
      <c r="AG75" s="304">
        <f t="shared" si="11"/>
        <v>11687420</v>
      </c>
      <c r="AH75" s="304">
        <f t="shared" si="11"/>
        <v>0</v>
      </c>
      <c r="AI75" s="304">
        <f t="shared" si="11"/>
        <v>2253203</v>
      </c>
      <c r="AJ75" s="304">
        <f t="shared" si="11"/>
        <v>0</v>
      </c>
      <c r="AK75" s="304">
        <f t="shared" si="11"/>
        <v>264513</v>
      </c>
      <c r="AL75" s="304">
        <f t="shared" si="11"/>
        <v>0</v>
      </c>
      <c r="AM75" s="304">
        <f t="shared" si="11"/>
        <v>0</v>
      </c>
      <c r="AN75" s="304">
        <f t="shared" si="11"/>
        <v>0</v>
      </c>
      <c r="AO75" s="304">
        <f t="shared" si="11"/>
        <v>0</v>
      </c>
      <c r="AP75" s="304">
        <f t="shared" si="11"/>
        <v>0</v>
      </c>
      <c r="AQ75" s="304">
        <f t="shared" si="11"/>
        <v>0</v>
      </c>
      <c r="AR75" s="304">
        <f t="shared" si="11"/>
        <v>0</v>
      </c>
      <c r="AS75" s="304">
        <f t="shared" si="11"/>
        <v>0</v>
      </c>
      <c r="AT75" s="304">
        <f t="shared" si="11"/>
        <v>0</v>
      </c>
      <c r="AU75" s="304">
        <f t="shared" si="11"/>
        <v>0</v>
      </c>
      <c r="AV75" s="304">
        <f t="shared" si="11"/>
        <v>17112784</v>
      </c>
      <c r="AW75" s="314" t="s">
        <v>221</v>
      </c>
      <c r="AX75" s="314" t="s">
        <v>221</v>
      </c>
      <c r="AY75" s="314" t="s">
        <v>221</v>
      </c>
      <c r="AZ75" s="314" t="s">
        <v>221</v>
      </c>
      <c r="BA75" s="314" t="s">
        <v>221</v>
      </c>
      <c r="BB75" s="314" t="s">
        <v>221</v>
      </c>
      <c r="BC75" s="314" t="s">
        <v>221</v>
      </c>
      <c r="BD75" s="314" t="s">
        <v>221</v>
      </c>
      <c r="BE75" s="314" t="s">
        <v>221</v>
      </c>
      <c r="BF75" s="314" t="s">
        <v>221</v>
      </c>
      <c r="BG75" s="314" t="s">
        <v>221</v>
      </c>
      <c r="BH75" s="314" t="s">
        <v>221</v>
      </c>
      <c r="BI75" s="314" t="s">
        <v>221</v>
      </c>
      <c r="BJ75" s="314" t="s">
        <v>221</v>
      </c>
      <c r="BK75" s="314" t="s">
        <v>221</v>
      </c>
      <c r="BL75" s="314" t="s">
        <v>221</v>
      </c>
      <c r="BM75" s="314" t="s">
        <v>221</v>
      </c>
      <c r="BN75" s="314" t="s">
        <v>221</v>
      </c>
      <c r="BO75" s="314" t="s">
        <v>221</v>
      </c>
      <c r="BP75" s="314" t="s">
        <v>221</v>
      </c>
      <c r="BQ75" s="314" t="s">
        <v>221</v>
      </c>
      <c r="BR75" s="314" t="s">
        <v>221</v>
      </c>
      <c r="BS75" s="314" t="s">
        <v>221</v>
      </c>
      <c r="BT75" s="314" t="s">
        <v>221</v>
      </c>
      <c r="BU75" s="314" t="s">
        <v>221</v>
      </c>
      <c r="BV75" s="314" t="s">
        <v>221</v>
      </c>
      <c r="BW75" s="314" t="s">
        <v>221</v>
      </c>
      <c r="BX75" s="314" t="s">
        <v>221</v>
      </c>
      <c r="BY75" s="314" t="s">
        <v>221</v>
      </c>
      <c r="BZ75" s="314" t="s">
        <v>221</v>
      </c>
      <c r="CA75" s="314" t="s">
        <v>221</v>
      </c>
      <c r="CB75" s="314" t="s">
        <v>221</v>
      </c>
      <c r="CC75" s="314" t="s">
        <v>221</v>
      </c>
      <c r="CD75" s="314" t="s">
        <v>221</v>
      </c>
      <c r="CE75" s="304">
        <f t="shared" si="10"/>
        <v>141279442</v>
      </c>
    </row>
    <row r="76" spans="1:84" ht="12.65" customHeight="1">
      <c r="A76" s="311" t="s">
        <v>248</v>
      </c>
      <c r="B76" s="304"/>
      <c r="C76" s="309">
        <v>8412</v>
      </c>
      <c r="D76" s="309"/>
      <c r="E76" s="315">
        <v>11950</v>
      </c>
      <c r="F76" s="315"/>
      <c r="G76" s="309"/>
      <c r="H76" s="309"/>
      <c r="I76" s="315"/>
      <c r="J76" s="315">
        <v>713</v>
      </c>
      <c r="K76" s="315"/>
      <c r="L76" s="315"/>
      <c r="M76" s="315"/>
      <c r="N76" s="315"/>
      <c r="O76" s="315">
        <v>22555</v>
      </c>
      <c r="P76" s="315">
        <v>2259</v>
      </c>
      <c r="Q76" s="315">
        <v>2872</v>
      </c>
      <c r="R76" s="315">
        <v>343</v>
      </c>
      <c r="S76" s="315">
        <v>2887</v>
      </c>
      <c r="T76" s="315"/>
      <c r="U76" s="315">
        <v>2744</v>
      </c>
      <c r="V76" s="315"/>
      <c r="W76" s="315">
        <v>882</v>
      </c>
      <c r="X76" s="315">
        <v>5984</v>
      </c>
      <c r="Y76" s="315">
        <v>14061</v>
      </c>
      <c r="Z76" s="315">
        <v>5034</v>
      </c>
      <c r="AA76" s="315">
        <v>364</v>
      </c>
      <c r="AB76" s="315">
        <v>1258</v>
      </c>
      <c r="AC76" s="315">
        <v>4235</v>
      </c>
      <c r="AD76" s="315"/>
      <c r="AE76" s="315">
        <v>4213</v>
      </c>
      <c r="AF76" s="315"/>
      <c r="AG76" s="315">
        <v>4248</v>
      </c>
      <c r="AH76" s="315"/>
      <c r="AI76" s="315">
        <v>4979</v>
      </c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>
        <v>5479</v>
      </c>
      <c r="AZ76" s="315"/>
      <c r="BA76" s="315"/>
      <c r="BB76" s="315">
        <v>740</v>
      </c>
      <c r="BC76" s="315"/>
      <c r="BD76" s="315">
        <v>2565</v>
      </c>
      <c r="BE76" s="315">
        <v>27038</v>
      </c>
      <c r="BF76" s="315">
        <v>2289</v>
      </c>
      <c r="BG76" s="315">
        <v>337</v>
      </c>
      <c r="BH76" s="315">
        <v>752</v>
      </c>
      <c r="BI76" s="315"/>
      <c r="BJ76" s="315">
        <v>1635</v>
      </c>
      <c r="BK76" s="315"/>
      <c r="BL76" s="315">
        <v>1801</v>
      </c>
      <c r="BM76" s="315"/>
      <c r="BN76" s="315">
        <v>3875</v>
      </c>
      <c r="BO76" s="315"/>
      <c r="BP76" s="315">
        <v>729</v>
      </c>
      <c r="BQ76" s="315"/>
      <c r="BR76" s="315">
        <v>1013</v>
      </c>
      <c r="BS76" s="315">
        <v>286</v>
      </c>
      <c r="BT76" s="315"/>
      <c r="BU76" s="315">
        <v>3355</v>
      </c>
      <c r="BV76" s="315"/>
      <c r="BW76" s="315"/>
      <c r="BX76" s="315">
        <v>83</v>
      </c>
      <c r="BY76" s="315">
        <v>1165</v>
      </c>
      <c r="BZ76" s="315"/>
      <c r="CA76" s="315">
        <v>2239</v>
      </c>
      <c r="CB76" s="315"/>
      <c r="CC76" s="315"/>
      <c r="CD76" s="314" t="s">
        <v>221</v>
      </c>
      <c r="CE76" s="304">
        <f t="shared" si="10"/>
        <v>155374</v>
      </c>
      <c r="CF76" s="304">
        <f>BE59-CE76</f>
        <v>0</v>
      </c>
    </row>
    <row r="77" spans="1:84" ht="12.65" customHeight="1">
      <c r="A77" s="311" t="s">
        <v>249</v>
      </c>
      <c r="B77" s="304"/>
      <c r="C77" s="309">
        <v>920.34</v>
      </c>
      <c r="D77" s="309"/>
      <c r="E77" s="309">
        <v>3544.88</v>
      </c>
      <c r="F77" s="309"/>
      <c r="G77" s="309"/>
      <c r="H77" s="309"/>
      <c r="I77" s="309"/>
      <c r="J77" s="309">
        <v>688.66</v>
      </c>
      <c r="K77" s="309"/>
      <c r="L77" s="309"/>
      <c r="M77" s="309"/>
      <c r="N77" s="309"/>
      <c r="O77" s="309">
        <v>4116.12</v>
      </c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14" t="s">
        <v>221</v>
      </c>
      <c r="AY77" s="314" t="s">
        <v>221</v>
      </c>
      <c r="AZ77" s="309"/>
      <c r="BA77" s="309"/>
      <c r="BB77" s="309"/>
      <c r="BC77" s="309"/>
      <c r="BD77" s="314" t="s">
        <v>221</v>
      </c>
      <c r="BE77" s="314" t="s">
        <v>221</v>
      </c>
      <c r="BF77" s="309"/>
      <c r="BG77" s="314" t="s">
        <v>221</v>
      </c>
      <c r="BH77" s="309"/>
      <c r="BI77" s="309"/>
      <c r="BJ77" s="314" t="s">
        <v>221</v>
      </c>
      <c r="BK77" s="309"/>
      <c r="BL77" s="309"/>
      <c r="BM77" s="309"/>
      <c r="BN77" s="314" t="s">
        <v>221</v>
      </c>
      <c r="BO77" s="314" t="s">
        <v>221</v>
      </c>
      <c r="BP77" s="314" t="s">
        <v>221</v>
      </c>
      <c r="BQ77" s="314" t="s">
        <v>221</v>
      </c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14" t="s">
        <v>221</v>
      </c>
      <c r="CD77" s="314" t="s">
        <v>221</v>
      </c>
      <c r="CE77" s="304">
        <f t="shared" si="10"/>
        <v>9270</v>
      </c>
      <c r="CF77" s="304">
        <f>AY59-CE77</f>
        <v>0</v>
      </c>
    </row>
    <row r="78" spans="1:84" ht="12.65" customHeight="1">
      <c r="A78" s="311" t="s">
        <v>250</v>
      </c>
      <c r="B78" s="304"/>
      <c r="C78" s="309">
        <v>550</v>
      </c>
      <c r="D78" s="309"/>
      <c r="E78" s="309">
        <v>781</v>
      </c>
      <c r="F78" s="309"/>
      <c r="G78" s="309"/>
      <c r="H78" s="309"/>
      <c r="I78" s="309"/>
      <c r="J78" s="309">
        <v>47</v>
      </c>
      <c r="K78" s="309"/>
      <c r="L78" s="309"/>
      <c r="M78" s="309"/>
      <c r="N78" s="309"/>
      <c r="O78" s="309">
        <v>1474</v>
      </c>
      <c r="P78" s="309">
        <v>148</v>
      </c>
      <c r="Q78" s="309">
        <v>188</v>
      </c>
      <c r="R78" s="309">
        <v>22</v>
      </c>
      <c r="S78" s="309">
        <v>189</v>
      </c>
      <c r="T78" s="309"/>
      <c r="U78" s="309">
        <v>179</v>
      </c>
      <c r="V78" s="309"/>
      <c r="W78" s="309">
        <v>58</v>
      </c>
      <c r="X78" s="309">
        <v>391</v>
      </c>
      <c r="Y78" s="309">
        <v>919</v>
      </c>
      <c r="Z78" s="309">
        <v>329</v>
      </c>
      <c r="AA78" s="309">
        <v>24</v>
      </c>
      <c r="AB78" s="309">
        <v>82</v>
      </c>
      <c r="AC78" s="309">
        <v>277</v>
      </c>
      <c r="AD78" s="309"/>
      <c r="AE78" s="309">
        <v>275</v>
      </c>
      <c r="AF78" s="309"/>
      <c r="AG78" s="309">
        <v>278</v>
      </c>
      <c r="AH78" s="309"/>
      <c r="AI78" s="309">
        <v>325</v>
      </c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>
        <v>2941</v>
      </c>
      <c r="AW78" s="309"/>
      <c r="AX78" s="314" t="s">
        <v>221</v>
      </c>
      <c r="AY78" s="314" t="s">
        <v>221</v>
      </c>
      <c r="AZ78" s="314" t="s">
        <v>221</v>
      </c>
      <c r="BA78" s="309"/>
      <c r="BB78" s="309">
        <v>48</v>
      </c>
      <c r="BC78" s="309"/>
      <c r="BD78" s="314" t="s">
        <v>221</v>
      </c>
      <c r="BE78" s="314" t="s">
        <v>221</v>
      </c>
      <c r="BF78" s="314" t="s">
        <v>221</v>
      </c>
      <c r="BG78" s="314" t="s">
        <v>221</v>
      </c>
      <c r="BH78" s="309">
        <v>49</v>
      </c>
      <c r="BI78" s="309"/>
      <c r="BJ78" s="314" t="s">
        <v>221</v>
      </c>
      <c r="BK78" s="309"/>
      <c r="BL78" s="309">
        <v>118</v>
      </c>
      <c r="BM78" s="309"/>
      <c r="BN78" s="314" t="s">
        <v>221</v>
      </c>
      <c r="BO78" s="314" t="s">
        <v>221</v>
      </c>
      <c r="BP78" s="314" t="s">
        <v>221</v>
      </c>
      <c r="BQ78" s="314" t="s">
        <v>221</v>
      </c>
      <c r="BR78" s="314" t="s">
        <v>221</v>
      </c>
      <c r="BS78" s="309">
        <v>19</v>
      </c>
      <c r="BT78" s="309"/>
      <c r="BU78" s="309"/>
      <c r="BV78" s="309">
        <v>219</v>
      </c>
      <c r="BW78" s="309"/>
      <c r="BX78" s="309">
        <v>5</v>
      </c>
      <c r="BY78" s="309">
        <v>76</v>
      </c>
      <c r="BZ78" s="309"/>
      <c r="CA78" s="309">
        <v>146</v>
      </c>
      <c r="CB78" s="309"/>
      <c r="CC78" s="314" t="s">
        <v>221</v>
      </c>
      <c r="CD78" s="314" t="s">
        <v>221</v>
      </c>
      <c r="CE78" s="304">
        <f t="shared" si="10"/>
        <v>10157</v>
      </c>
      <c r="CF78" s="304"/>
    </row>
    <row r="79" spans="1:84" ht="12.65" customHeight="1">
      <c r="A79" s="311" t="s">
        <v>251</v>
      </c>
      <c r="B79" s="304"/>
      <c r="C79" s="324">
        <v>17681</v>
      </c>
      <c r="D79" s="324"/>
      <c r="E79" s="309">
        <v>32648</v>
      </c>
      <c r="F79" s="309"/>
      <c r="G79" s="309"/>
      <c r="H79" s="309"/>
      <c r="I79" s="309"/>
      <c r="J79" s="309">
        <v>117</v>
      </c>
      <c r="K79" s="309"/>
      <c r="L79" s="309"/>
      <c r="M79" s="309"/>
      <c r="N79" s="309"/>
      <c r="O79" s="309">
        <v>14424</v>
      </c>
      <c r="P79" s="309">
        <v>20636</v>
      </c>
      <c r="Q79" s="309"/>
      <c r="R79" s="309"/>
      <c r="S79" s="309"/>
      <c r="T79" s="309"/>
      <c r="U79" s="309">
        <v>650</v>
      </c>
      <c r="V79" s="309"/>
      <c r="W79" s="309">
        <v>1064</v>
      </c>
      <c r="X79" s="309">
        <v>1599</v>
      </c>
      <c r="Y79" s="309">
        <v>9370</v>
      </c>
      <c r="Z79" s="309"/>
      <c r="AA79" s="309">
        <v>315</v>
      </c>
      <c r="AB79" s="309">
        <v>2886</v>
      </c>
      <c r="AC79" s="309">
        <v>646</v>
      </c>
      <c r="AD79" s="309"/>
      <c r="AE79" s="309">
        <v>1400</v>
      </c>
      <c r="AF79" s="309"/>
      <c r="AG79" s="309">
        <v>11848</v>
      </c>
      <c r="AH79" s="309"/>
      <c r="AI79" s="309">
        <v>8407</v>
      </c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>
        <v>345</v>
      </c>
      <c r="AW79" s="309"/>
      <c r="AX79" s="314" t="s">
        <v>221</v>
      </c>
      <c r="AY79" s="314" t="s">
        <v>221</v>
      </c>
      <c r="AZ79" s="314" t="s">
        <v>221</v>
      </c>
      <c r="BA79" s="314" t="s">
        <v>221</v>
      </c>
      <c r="BB79" s="309"/>
      <c r="BC79" s="309"/>
      <c r="BD79" s="314" t="s">
        <v>221</v>
      </c>
      <c r="BE79" s="314" t="s">
        <v>221</v>
      </c>
      <c r="BF79" s="314" t="s">
        <v>221</v>
      </c>
      <c r="BG79" s="314" t="s">
        <v>221</v>
      </c>
      <c r="BH79" s="309"/>
      <c r="BI79" s="309"/>
      <c r="BJ79" s="314" t="s">
        <v>221</v>
      </c>
      <c r="BK79" s="309"/>
      <c r="BL79" s="309"/>
      <c r="BM79" s="309"/>
      <c r="BN79" s="314" t="s">
        <v>221</v>
      </c>
      <c r="BO79" s="314" t="s">
        <v>221</v>
      </c>
      <c r="BP79" s="314" t="s">
        <v>221</v>
      </c>
      <c r="BQ79" s="314" t="s">
        <v>221</v>
      </c>
      <c r="BR79" s="314" t="s">
        <v>221</v>
      </c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14" t="s">
        <v>221</v>
      </c>
      <c r="CD79" s="314" t="s">
        <v>221</v>
      </c>
      <c r="CE79" s="304">
        <f t="shared" si="10"/>
        <v>124036</v>
      </c>
      <c r="CF79" s="304">
        <f>BA59</f>
        <v>0</v>
      </c>
    </row>
    <row r="80" spans="1:84" ht="21" customHeight="1">
      <c r="A80" s="311" t="s">
        <v>252</v>
      </c>
      <c r="B80" s="304"/>
      <c r="C80" s="319">
        <v>44.38</v>
      </c>
      <c r="D80" s="319"/>
      <c r="E80" s="319">
        <v>31.68</v>
      </c>
      <c r="F80" s="319"/>
      <c r="G80" s="319"/>
      <c r="H80" s="319"/>
      <c r="I80" s="319"/>
      <c r="J80" s="319">
        <v>0</v>
      </c>
      <c r="K80" s="319"/>
      <c r="L80" s="319"/>
      <c r="M80" s="319"/>
      <c r="N80" s="319"/>
      <c r="O80" s="319">
        <v>19.5</v>
      </c>
      <c r="P80" s="319">
        <v>11.66</v>
      </c>
      <c r="Q80" s="319">
        <v>5.38</v>
      </c>
      <c r="R80" s="319">
        <v>1.61</v>
      </c>
      <c r="S80" s="319">
        <v>7.88</v>
      </c>
      <c r="T80" s="319"/>
      <c r="U80" s="319">
        <v>16.97</v>
      </c>
      <c r="V80" s="319"/>
      <c r="W80" s="319">
        <v>1.17</v>
      </c>
      <c r="X80" s="319">
        <v>5.26</v>
      </c>
      <c r="Y80" s="319">
        <v>21.88</v>
      </c>
      <c r="Z80" s="319">
        <v>5.54</v>
      </c>
      <c r="AA80" s="319">
        <v>1.1299999999999999</v>
      </c>
      <c r="AB80" s="319">
        <v>10.87</v>
      </c>
      <c r="AC80" s="319">
        <v>10.07</v>
      </c>
      <c r="AD80" s="319"/>
      <c r="AE80" s="319">
        <v>6.88</v>
      </c>
      <c r="AF80" s="319"/>
      <c r="AG80" s="319">
        <v>16.079999999999998</v>
      </c>
      <c r="AH80" s="319"/>
      <c r="AI80" s="319">
        <v>16.579999999999998</v>
      </c>
      <c r="AJ80" s="319"/>
      <c r="AK80" s="319">
        <v>0.67</v>
      </c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>
        <f>16.86+114.65</f>
        <v>131.51</v>
      </c>
      <c r="AW80" s="314" t="s">
        <v>221</v>
      </c>
      <c r="AX80" s="314" t="s">
        <v>221</v>
      </c>
      <c r="AY80" s="314" t="s">
        <v>221</v>
      </c>
      <c r="AZ80" s="314" t="s">
        <v>221</v>
      </c>
      <c r="BA80" s="314" t="s">
        <v>221</v>
      </c>
      <c r="BB80" s="314" t="s">
        <v>221</v>
      </c>
      <c r="BC80" s="314" t="s">
        <v>221</v>
      </c>
      <c r="BD80" s="314" t="s">
        <v>221</v>
      </c>
      <c r="BE80" s="314" t="s">
        <v>221</v>
      </c>
      <c r="BF80" s="314" t="s">
        <v>221</v>
      </c>
      <c r="BG80" s="314" t="s">
        <v>221</v>
      </c>
      <c r="BH80" s="314" t="s">
        <v>221</v>
      </c>
      <c r="BI80" s="314" t="s">
        <v>221</v>
      </c>
      <c r="BJ80" s="314" t="s">
        <v>221</v>
      </c>
      <c r="BK80" s="314" t="s">
        <v>221</v>
      </c>
      <c r="BL80" s="314" t="s">
        <v>221</v>
      </c>
      <c r="BM80" s="314" t="s">
        <v>221</v>
      </c>
      <c r="BN80" s="314" t="s">
        <v>221</v>
      </c>
      <c r="BO80" s="314" t="s">
        <v>221</v>
      </c>
      <c r="BP80" s="314" t="s">
        <v>221</v>
      </c>
      <c r="BQ80" s="314" t="s">
        <v>221</v>
      </c>
      <c r="BR80" s="314" t="s">
        <v>221</v>
      </c>
      <c r="BS80" s="314" t="s">
        <v>221</v>
      </c>
      <c r="BT80" s="314" t="s">
        <v>221</v>
      </c>
      <c r="BU80" s="325"/>
      <c r="BV80" s="325"/>
      <c r="BW80" s="325"/>
      <c r="BX80" s="325"/>
      <c r="BY80" s="325"/>
      <c r="BZ80" s="325"/>
      <c r="CA80" s="325"/>
      <c r="CB80" s="325"/>
      <c r="CC80" s="314" t="s">
        <v>221</v>
      </c>
      <c r="CD80" s="314" t="s">
        <v>221</v>
      </c>
      <c r="CE80" s="326">
        <f t="shared" si="10"/>
        <v>366.69999999999993</v>
      </c>
      <c r="CF80" s="326"/>
    </row>
    <row r="81" spans="1:5" ht="12.65" customHeight="1">
      <c r="A81" s="327" t="s">
        <v>253</v>
      </c>
      <c r="B81" s="327"/>
      <c r="C81" s="327"/>
      <c r="D81" s="327"/>
      <c r="E81" s="327"/>
    </row>
    <row r="82" spans="1:5" ht="12.65" customHeight="1">
      <c r="A82" s="311" t="s">
        <v>254</v>
      </c>
      <c r="B82" s="328"/>
      <c r="C82" s="329" t="s">
        <v>1282</v>
      </c>
      <c r="D82" s="330"/>
      <c r="E82" s="304"/>
    </row>
    <row r="83" spans="1:5" ht="12.65" customHeight="1">
      <c r="A83" s="304" t="s">
        <v>255</v>
      </c>
      <c r="B83" s="328" t="s">
        <v>256</v>
      </c>
      <c r="C83" s="331">
        <v>197</v>
      </c>
      <c r="D83" s="330"/>
      <c r="E83" s="304"/>
    </row>
    <row r="84" spans="1:5" ht="12.65" customHeight="1">
      <c r="A84" s="304" t="s">
        <v>257</v>
      </c>
      <c r="B84" s="328" t="s">
        <v>256</v>
      </c>
      <c r="C84" s="228" t="s">
        <v>1272</v>
      </c>
      <c r="D84" s="332"/>
      <c r="E84" s="204"/>
    </row>
    <row r="85" spans="1:5" ht="12.65" customHeight="1">
      <c r="A85" s="304" t="s">
        <v>1251</v>
      </c>
      <c r="B85" s="328"/>
      <c r="C85" s="268" t="s">
        <v>1273</v>
      </c>
      <c r="D85" s="332"/>
      <c r="E85" s="204"/>
    </row>
    <row r="86" spans="1:5" ht="12.65" customHeight="1">
      <c r="A86" s="304" t="s">
        <v>1252</v>
      </c>
      <c r="B86" s="328" t="s">
        <v>256</v>
      </c>
      <c r="C86" s="229"/>
      <c r="D86" s="332"/>
      <c r="E86" s="204"/>
    </row>
    <row r="87" spans="1:5" ht="12.65" customHeight="1">
      <c r="A87" s="304" t="s">
        <v>258</v>
      </c>
      <c r="B87" s="328" t="s">
        <v>256</v>
      </c>
      <c r="C87" s="228" t="s">
        <v>1274</v>
      </c>
      <c r="D87" s="332"/>
      <c r="E87" s="204"/>
    </row>
    <row r="88" spans="1:5" ht="12.65" customHeight="1">
      <c r="A88" s="304" t="s">
        <v>259</v>
      </c>
      <c r="B88" s="328" t="s">
        <v>256</v>
      </c>
      <c r="C88" s="228" t="s">
        <v>1275</v>
      </c>
      <c r="D88" s="332"/>
      <c r="E88" s="204"/>
    </row>
    <row r="89" spans="1:5" ht="12.65" customHeight="1">
      <c r="A89" s="304" t="s">
        <v>260</v>
      </c>
      <c r="B89" s="328" t="s">
        <v>256</v>
      </c>
      <c r="C89" s="228" t="s">
        <v>1280</v>
      </c>
      <c r="D89" s="332"/>
      <c r="E89" s="204"/>
    </row>
    <row r="90" spans="1:5" ht="12.65" customHeight="1">
      <c r="A90" s="304" t="s">
        <v>261</v>
      </c>
      <c r="B90" s="328" t="s">
        <v>256</v>
      </c>
      <c r="C90" s="228" t="s">
        <v>1276</v>
      </c>
      <c r="D90" s="332"/>
      <c r="E90" s="204"/>
    </row>
    <row r="91" spans="1:5" ht="12.65" customHeight="1">
      <c r="A91" s="304" t="s">
        <v>262</v>
      </c>
      <c r="B91" s="328" t="s">
        <v>256</v>
      </c>
      <c r="C91" s="228" t="s">
        <v>1277</v>
      </c>
      <c r="D91" s="332"/>
      <c r="E91" s="204"/>
    </row>
    <row r="92" spans="1:5" ht="12.65" customHeight="1">
      <c r="A92" s="304" t="s">
        <v>263</v>
      </c>
      <c r="B92" s="328" t="s">
        <v>256</v>
      </c>
      <c r="C92" s="333" t="s">
        <v>1281</v>
      </c>
      <c r="D92" s="330"/>
      <c r="E92" s="304"/>
    </row>
    <row r="93" spans="1:5" ht="12.65" customHeight="1">
      <c r="A93" s="304" t="s">
        <v>264</v>
      </c>
      <c r="B93" s="328" t="s">
        <v>256</v>
      </c>
      <c r="C93" s="334" t="s">
        <v>1279</v>
      </c>
      <c r="D93" s="330"/>
      <c r="E93" s="304"/>
    </row>
    <row r="94" spans="1:5" ht="12.65" customHeight="1">
      <c r="A94" s="304"/>
      <c r="B94" s="304"/>
      <c r="C94" s="312"/>
      <c r="D94" s="304"/>
      <c r="E94" s="304"/>
    </row>
    <row r="95" spans="1:5" ht="12.65" customHeight="1">
      <c r="A95" s="327" t="s">
        <v>265</v>
      </c>
      <c r="B95" s="327"/>
      <c r="C95" s="327"/>
      <c r="D95" s="327"/>
      <c r="E95" s="327"/>
    </row>
    <row r="96" spans="1:5" ht="12.65" customHeight="1">
      <c r="A96" s="335" t="s">
        <v>266</v>
      </c>
      <c r="B96" s="335"/>
      <c r="C96" s="335"/>
      <c r="D96" s="335"/>
      <c r="E96" s="335"/>
    </row>
    <row r="97" spans="1:5" ht="12.65" customHeight="1">
      <c r="A97" s="304" t="s">
        <v>267</v>
      </c>
      <c r="B97" s="328" t="s">
        <v>256</v>
      </c>
      <c r="C97" s="336">
        <v>0</v>
      </c>
      <c r="D97" s="304"/>
      <c r="E97" s="304"/>
    </row>
    <row r="98" spans="1:5" ht="12.65" customHeight="1">
      <c r="A98" s="304" t="s">
        <v>259</v>
      </c>
      <c r="B98" s="328" t="s">
        <v>256</v>
      </c>
      <c r="C98" s="336">
        <v>0</v>
      </c>
      <c r="D98" s="304"/>
      <c r="E98" s="304"/>
    </row>
    <row r="99" spans="1:5" ht="12.65" customHeight="1">
      <c r="A99" s="304" t="s">
        <v>268</v>
      </c>
      <c r="B99" s="328" t="s">
        <v>256</v>
      </c>
      <c r="C99" s="336">
        <v>0</v>
      </c>
      <c r="D99" s="304"/>
      <c r="E99" s="304"/>
    </row>
    <row r="100" spans="1:5" ht="12.65" customHeight="1">
      <c r="A100" s="335" t="s">
        <v>269</v>
      </c>
      <c r="B100" s="335"/>
      <c r="C100" s="335"/>
      <c r="D100" s="335"/>
      <c r="E100" s="335"/>
    </row>
    <row r="101" spans="1:5" ht="12.65" customHeight="1">
      <c r="A101" s="304" t="s">
        <v>270</v>
      </c>
      <c r="B101" s="328" t="s">
        <v>256</v>
      </c>
      <c r="C101" s="336">
        <v>0</v>
      </c>
      <c r="D101" s="304"/>
      <c r="E101" s="304"/>
    </row>
    <row r="102" spans="1:5" ht="12.65" customHeight="1">
      <c r="A102" s="304" t="s">
        <v>132</v>
      </c>
      <c r="B102" s="328" t="s">
        <v>256</v>
      </c>
      <c r="C102" s="337">
        <v>0</v>
      </c>
      <c r="D102" s="304"/>
      <c r="E102" s="304"/>
    </row>
    <row r="103" spans="1:5" ht="12.65" customHeight="1">
      <c r="A103" s="335" t="s">
        <v>271</v>
      </c>
      <c r="B103" s="335"/>
      <c r="C103" s="335"/>
      <c r="D103" s="335"/>
      <c r="E103" s="335"/>
    </row>
    <row r="104" spans="1:5" ht="12.65" customHeight="1">
      <c r="A104" s="304" t="s">
        <v>272</v>
      </c>
      <c r="B104" s="328" t="s">
        <v>256</v>
      </c>
      <c r="C104" s="336">
        <v>0</v>
      </c>
      <c r="D104" s="304"/>
      <c r="E104" s="304"/>
    </row>
    <row r="105" spans="1:5" ht="12.65" customHeight="1">
      <c r="A105" s="304" t="s">
        <v>273</v>
      </c>
      <c r="B105" s="328" t="s">
        <v>256</v>
      </c>
      <c r="C105" s="336">
        <v>1</v>
      </c>
      <c r="D105" s="304"/>
      <c r="E105" s="304"/>
    </row>
    <row r="106" spans="1:5" ht="12.65" customHeight="1">
      <c r="A106" s="304" t="s">
        <v>274</v>
      </c>
      <c r="B106" s="328" t="s">
        <v>256</v>
      </c>
      <c r="C106" s="336">
        <v>0</v>
      </c>
      <c r="D106" s="304"/>
      <c r="E106" s="304"/>
    </row>
    <row r="107" spans="1:5" ht="21.75" customHeight="1">
      <c r="A107" s="304"/>
      <c r="B107" s="328"/>
      <c r="C107" s="338"/>
      <c r="D107" s="304"/>
      <c r="E107" s="304"/>
    </row>
    <row r="108" spans="1:5" ht="13.5" customHeight="1">
      <c r="A108" s="339" t="s">
        <v>275</v>
      </c>
      <c r="B108" s="327"/>
      <c r="C108" s="327"/>
      <c r="D108" s="327"/>
      <c r="E108" s="327"/>
    </row>
    <row r="109" spans="1:5" ht="13.5" customHeight="1">
      <c r="A109" s="304"/>
      <c r="B109" s="328"/>
      <c r="C109" s="338"/>
      <c r="D109" s="304"/>
      <c r="E109" s="304"/>
    </row>
    <row r="110" spans="1:5" ht="12.65" customHeight="1">
      <c r="A110" s="311" t="s">
        <v>276</v>
      </c>
      <c r="B110" s="304"/>
      <c r="C110" s="305" t="s">
        <v>277</v>
      </c>
      <c r="D110" s="306" t="s">
        <v>215</v>
      </c>
      <c r="E110" s="304"/>
    </row>
    <row r="111" spans="1:5" ht="12.65" customHeight="1">
      <c r="A111" s="304" t="s">
        <v>278</v>
      </c>
      <c r="B111" s="328" t="s">
        <v>256</v>
      </c>
      <c r="C111" s="336">
        <v>844</v>
      </c>
      <c r="D111" s="340">
        <v>2704</v>
      </c>
      <c r="E111" s="304"/>
    </row>
    <row r="112" spans="1:5" ht="12.65" customHeight="1">
      <c r="A112" s="304" t="s">
        <v>279</v>
      </c>
      <c r="B112" s="328" t="s">
        <v>256</v>
      </c>
      <c r="C112" s="336">
        <v>0</v>
      </c>
      <c r="D112" s="340">
        <v>0</v>
      </c>
      <c r="E112" s="304"/>
    </row>
    <row r="113" spans="1:5" ht="12.65" customHeight="1">
      <c r="A113" s="304" t="s">
        <v>280</v>
      </c>
      <c r="B113" s="328" t="s">
        <v>256</v>
      </c>
      <c r="C113" s="336">
        <v>0</v>
      </c>
      <c r="D113" s="340">
        <v>0</v>
      </c>
      <c r="E113" s="304"/>
    </row>
    <row r="114" spans="1:5" ht="12.65" customHeight="1">
      <c r="A114" s="304" t="s">
        <v>281</v>
      </c>
      <c r="B114" s="328" t="s">
        <v>256</v>
      </c>
      <c r="C114" s="336">
        <v>150</v>
      </c>
      <c r="D114" s="340">
        <v>217</v>
      </c>
      <c r="E114" s="304"/>
    </row>
    <row r="115" spans="1:5" ht="12.65" customHeight="1">
      <c r="A115" s="311" t="s">
        <v>282</v>
      </c>
      <c r="B115" s="304"/>
      <c r="C115" s="305" t="s">
        <v>167</v>
      </c>
      <c r="D115" s="304"/>
      <c r="E115" s="304"/>
    </row>
    <row r="116" spans="1:5" ht="12.65" customHeight="1">
      <c r="A116" s="304" t="s">
        <v>283</v>
      </c>
      <c r="B116" s="328" t="s">
        <v>256</v>
      </c>
      <c r="C116" s="336">
        <v>10</v>
      </c>
      <c r="D116" s="304"/>
      <c r="E116" s="304"/>
    </row>
    <row r="117" spans="1:5" ht="12.65" customHeight="1">
      <c r="A117" s="304" t="s">
        <v>284</v>
      </c>
      <c r="B117" s="328" t="s">
        <v>256</v>
      </c>
      <c r="C117" s="336">
        <v>22</v>
      </c>
      <c r="D117" s="304"/>
      <c r="E117" s="304"/>
    </row>
    <row r="118" spans="1:5" ht="12.65" customHeight="1">
      <c r="A118" s="304" t="s">
        <v>1239</v>
      </c>
      <c r="B118" s="328" t="s">
        <v>256</v>
      </c>
      <c r="C118" s="336">
        <v>41</v>
      </c>
      <c r="D118" s="304"/>
      <c r="E118" s="304"/>
    </row>
    <row r="119" spans="1:5" ht="12.65" customHeight="1">
      <c r="A119" s="304" t="s">
        <v>285</v>
      </c>
      <c r="B119" s="328" t="s">
        <v>256</v>
      </c>
      <c r="C119" s="336">
        <v>0</v>
      </c>
      <c r="D119" s="304"/>
      <c r="E119" s="304"/>
    </row>
    <row r="120" spans="1:5" ht="12.65" customHeight="1">
      <c r="A120" s="304" t="s">
        <v>286</v>
      </c>
      <c r="B120" s="328" t="s">
        <v>256</v>
      </c>
      <c r="C120" s="336">
        <v>15</v>
      </c>
      <c r="D120" s="304"/>
      <c r="E120" s="304"/>
    </row>
    <row r="121" spans="1:5" ht="12.65" customHeight="1">
      <c r="A121" s="304" t="s">
        <v>287</v>
      </c>
      <c r="B121" s="328" t="s">
        <v>256</v>
      </c>
      <c r="C121" s="336">
        <v>0</v>
      </c>
      <c r="D121" s="304"/>
      <c r="E121" s="304"/>
    </row>
    <row r="122" spans="1:5" ht="12.65" customHeight="1">
      <c r="A122" s="304" t="s">
        <v>97</v>
      </c>
      <c r="B122" s="328" t="s">
        <v>256</v>
      </c>
      <c r="C122" s="336">
        <v>0</v>
      </c>
      <c r="D122" s="304"/>
      <c r="E122" s="304"/>
    </row>
    <row r="123" spans="1:5" ht="12.65" customHeight="1">
      <c r="A123" s="304" t="s">
        <v>288</v>
      </c>
      <c r="B123" s="328" t="s">
        <v>256</v>
      </c>
      <c r="C123" s="336">
        <v>0</v>
      </c>
      <c r="D123" s="304"/>
      <c r="E123" s="304"/>
    </row>
    <row r="124" spans="1:5" ht="12.65" customHeight="1">
      <c r="A124" s="304" t="s">
        <v>289</v>
      </c>
      <c r="B124" s="328"/>
      <c r="C124" s="336">
        <v>0</v>
      </c>
      <c r="D124" s="304"/>
      <c r="E124" s="304"/>
    </row>
    <row r="125" spans="1:5" ht="12.65" customHeight="1">
      <c r="A125" s="304" t="s">
        <v>280</v>
      </c>
      <c r="B125" s="328" t="s">
        <v>256</v>
      </c>
      <c r="C125" s="336">
        <v>0</v>
      </c>
      <c r="D125" s="304"/>
      <c r="E125" s="304"/>
    </row>
    <row r="126" spans="1:5" ht="12.65" customHeight="1">
      <c r="A126" s="304" t="s">
        <v>290</v>
      </c>
      <c r="B126" s="328" t="s">
        <v>256</v>
      </c>
      <c r="C126" s="336">
        <v>0</v>
      </c>
      <c r="D126" s="304"/>
      <c r="E126" s="304"/>
    </row>
    <row r="127" spans="1:5" ht="12.65" customHeight="1">
      <c r="A127" s="304" t="s">
        <v>291</v>
      </c>
      <c r="B127" s="304"/>
      <c r="C127" s="312"/>
      <c r="D127" s="304"/>
      <c r="E127" s="304">
        <f>SUM(C116:C126)</f>
        <v>88</v>
      </c>
    </row>
    <row r="128" spans="1:5" ht="12.65" customHeight="1">
      <c r="A128" s="304" t="s">
        <v>292</v>
      </c>
      <c r="B128" s="328" t="s">
        <v>256</v>
      </c>
      <c r="C128" s="336">
        <v>107</v>
      </c>
      <c r="D128" s="304"/>
      <c r="E128" s="304"/>
    </row>
    <row r="129" spans="1:6" ht="12.65" customHeight="1">
      <c r="A129" s="304" t="s">
        <v>293</v>
      </c>
      <c r="B129" s="328" t="s">
        <v>256</v>
      </c>
      <c r="C129" s="336">
        <v>7</v>
      </c>
      <c r="D129" s="304"/>
      <c r="E129" s="304"/>
    </row>
    <row r="130" spans="1:6" ht="12.65" customHeight="1">
      <c r="A130" s="304"/>
      <c r="B130" s="304"/>
      <c r="C130" s="312"/>
      <c r="D130" s="304"/>
      <c r="E130" s="304"/>
    </row>
    <row r="131" spans="1:6" ht="12.65" customHeight="1">
      <c r="A131" s="304" t="s">
        <v>294</v>
      </c>
      <c r="B131" s="328" t="s">
        <v>256</v>
      </c>
      <c r="C131" s="336">
        <v>0</v>
      </c>
      <c r="D131" s="304"/>
      <c r="E131" s="304"/>
    </row>
    <row r="132" spans="1:6" ht="12.65" customHeight="1">
      <c r="A132" s="304"/>
      <c r="B132" s="304"/>
      <c r="C132" s="312"/>
      <c r="D132" s="304"/>
      <c r="E132" s="304"/>
    </row>
    <row r="133" spans="1:6" ht="12.65" customHeight="1">
      <c r="A133" s="304"/>
      <c r="B133" s="304"/>
      <c r="C133" s="312"/>
      <c r="D133" s="304"/>
      <c r="E133" s="304"/>
    </row>
    <row r="134" spans="1:6" ht="12.65" customHeight="1">
      <c r="A134" s="304"/>
      <c r="B134" s="304"/>
      <c r="C134" s="312"/>
      <c r="D134" s="304"/>
      <c r="E134" s="304"/>
    </row>
    <row r="135" spans="1:6" ht="18" customHeight="1">
      <c r="A135" s="304"/>
      <c r="B135" s="304"/>
      <c r="C135" s="312"/>
      <c r="D135" s="304"/>
      <c r="E135" s="304"/>
    </row>
    <row r="136" spans="1:6" ht="12.65" customHeight="1">
      <c r="A136" s="327" t="s">
        <v>1240</v>
      </c>
      <c r="B136" s="339"/>
      <c r="C136" s="339"/>
      <c r="D136" s="339"/>
      <c r="E136" s="339"/>
    </row>
    <row r="137" spans="1:6" ht="12.65" customHeight="1">
      <c r="A137" s="341" t="s">
        <v>295</v>
      </c>
      <c r="B137" s="342" t="s">
        <v>296</v>
      </c>
      <c r="C137" s="343" t="s">
        <v>297</v>
      </c>
      <c r="D137" s="342" t="s">
        <v>132</v>
      </c>
      <c r="E137" s="342" t="s">
        <v>203</v>
      </c>
    </row>
    <row r="138" spans="1:6" ht="12.65" customHeight="1">
      <c r="A138" s="304" t="s">
        <v>277</v>
      </c>
      <c r="B138" s="340">
        <v>266</v>
      </c>
      <c r="C138" s="336">
        <v>28</v>
      </c>
      <c r="D138" s="340">
        <f>844-B138-C138</f>
        <v>550</v>
      </c>
      <c r="E138" s="304">
        <f>SUM(B138:D138)</f>
        <v>844</v>
      </c>
    </row>
    <row r="139" spans="1:6" ht="12.65" customHeight="1">
      <c r="A139" s="304" t="s">
        <v>215</v>
      </c>
      <c r="B139" s="340">
        <v>1046</v>
      </c>
      <c r="C139" s="336">
        <v>66</v>
      </c>
      <c r="D139" s="340">
        <f>2704-B139-C139</f>
        <v>1592</v>
      </c>
      <c r="E139" s="304">
        <f>SUM(B139:D139)</f>
        <v>2704</v>
      </c>
    </row>
    <row r="140" spans="1:6" ht="12.65" customHeight="1">
      <c r="A140" s="304" t="s">
        <v>298</v>
      </c>
      <c r="B140" s="340">
        <v>4990</v>
      </c>
      <c r="C140" s="340">
        <v>208</v>
      </c>
      <c r="D140" s="340">
        <f>15947-B140-C140</f>
        <v>10749</v>
      </c>
      <c r="E140" s="304">
        <f>SUM(B140:D140)</f>
        <v>15947</v>
      </c>
    </row>
    <row r="141" spans="1:6" ht="12.65" customHeight="1">
      <c r="A141" s="304" t="s">
        <v>245</v>
      </c>
      <c r="B141" s="340">
        <v>20935567</v>
      </c>
      <c r="C141" s="336">
        <v>1181141</v>
      </c>
      <c r="D141" s="340">
        <f>53881939-B141-C141</f>
        <v>31765231</v>
      </c>
      <c r="E141" s="304">
        <f>SUM(B141:D141)</f>
        <v>53881939</v>
      </c>
      <c r="F141" s="290"/>
    </row>
    <row r="142" spans="1:6" ht="12.65" customHeight="1">
      <c r="A142" s="304" t="s">
        <v>246</v>
      </c>
      <c r="B142" s="340">
        <v>26305831</v>
      </c>
      <c r="C142" s="336">
        <v>1480523</v>
      </c>
      <c r="D142" s="340">
        <f>87349117-B142-C142</f>
        <v>59562763</v>
      </c>
      <c r="E142" s="304">
        <f>SUM(B142:D142)</f>
        <v>87349117</v>
      </c>
      <c r="F142" s="290"/>
    </row>
    <row r="143" spans="1:6" ht="12.65" customHeight="1">
      <c r="A143" s="341" t="s">
        <v>299</v>
      </c>
      <c r="B143" s="342" t="s">
        <v>296</v>
      </c>
      <c r="C143" s="343" t="s">
        <v>297</v>
      </c>
      <c r="D143" s="342" t="s">
        <v>132</v>
      </c>
      <c r="E143" s="342" t="s">
        <v>203</v>
      </c>
    </row>
    <row r="144" spans="1:6" ht="12.65" customHeight="1">
      <c r="A144" s="304" t="s">
        <v>277</v>
      </c>
      <c r="B144" s="340">
        <v>0</v>
      </c>
      <c r="C144" s="340">
        <v>0</v>
      </c>
      <c r="D144" s="340">
        <v>0</v>
      </c>
      <c r="E144" s="304">
        <f>SUM(B144:D144)</f>
        <v>0</v>
      </c>
    </row>
    <row r="145" spans="1:5" ht="12.65" customHeight="1">
      <c r="A145" s="304" t="s">
        <v>215</v>
      </c>
      <c r="B145" s="340">
        <v>0</v>
      </c>
      <c r="C145" s="340">
        <v>0</v>
      </c>
      <c r="D145" s="340">
        <v>0</v>
      </c>
      <c r="E145" s="304">
        <f>SUM(B145:D145)</f>
        <v>0</v>
      </c>
    </row>
    <row r="146" spans="1:5" ht="12.65" customHeight="1">
      <c r="A146" s="304" t="s">
        <v>298</v>
      </c>
      <c r="B146" s="340">
        <v>0</v>
      </c>
      <c r="C146" s="340">
        <v>0</v>
      </c>
      <c r="D146" s="340">
        <v>0</v>
      </c>
      <c r="E146" s="304">
        <f>SUM(B146:D146)</f>
        <v>0</v>
      </c>
    </row>
    <row r="147" spans="1:5" ht="12.65" customHeight="1">
      <c r="A147" s="304" t="s">
        <v>245</v>
      </c>
      <c r="B147" s="340">
        <v>0</v>
      </c>
      <c r="C147" s="340">
        <v>0</v>
      </c>
      <c r="D147" s="340">
        <v>0</v>
      </c>
      <c r="E147" s="304">
        <f>SUM(B147:D147)</f>
        <v>0</v>
      </c>
    </row>
    <row r="148" spans="1:5" ht="12.65" customHeight="1">
      <c r="A148" s="304" t="s">
        <v>246</v>
      </c>
      <c r="B148" s="340">
        <v>0</v>
      </c>
      <c r="C148" s="340">
        <v>0</v>
      </c>
      <c r="D148" s="340">
        <v>0</v>
      </c>
      <c r="E148" s="304">
        <f>SUM(B148:D148)</f>
        <v>0</v>
      </c>
    </row>
    <row r="149" spans="1:5" ht="12.65" customHeight="1">
      <c r="A149" s="341" t="s">
        <v>300</v>
      </c>
      <c r="B149" s="342" t="s">
        <v>296</v>
      </c>
      <c r="C149" s="343" t="s">
        <v>297</v>
      </c>
      <c r="D149" s="342" t="s">
        <v>132</v>
      </c>
      <c r="E149" s="342" t="s">
        <v>203</v>
      </c>
    </row>
    <row r="150" spans="1:5" ht="12.65" customHeight="1">
      <c r="A150" s="304" t="s">
        <v>277</v>
      </c>
      <c r="B150" s="340">
        <v>0</v>
      </c>
      <c r="C150" s="340">
        <v>0</v>
      </c>
      <c r="D150" s="340">
        <v>0</v>
      </c>
      <c r="E150" s="304">
        <f>SUM(B150:D150)</f>
        <v>0</v>
      </c>
    </row>
    <row r="151" spans="1:5" ht="12.65" customHeight="1">
      <c r="A151" s="304" t="s">
        <v>215</v>
      </c>
      <c r="B151" s="340">
        <v>0</v>
      </c>
      <c r="C151" s="340">
        <v>0</v>
      </c>
      <c r="D151" s="340">
        <v>0</v>
      </c>
      <c r="E151" s="304">
        <f>SUM(B151:D151)</f>
        <v>0</v>
      </c>
    </row>
    <row r="152" spans="1:5" ht="12.65" customHeight="1">
      <c r="A152" s="304" t="s">
        <v>298</v>
      </c>
      <c r="B152" s="340">
        <v>0</v>
      </c>
      <c r="C152" s="340">
        <v>0</v>
      </c>
      <c r="D152" s="340">
        <v>0</v>
      </c>
      <c r="E152" s="304">
        <f>SUM(B152:D152)</f>
        <v>0</v>
      </c>
    </row>
    <row r="153" spans="1:5" ht="12.65" customHeight="1">
      <c r="A153" s="304" t="s">
        <v>245</v>
      </c>
      <c r="B153" s="340">
        <v>0</v>
      </c>
      <c r="C153" s="340">
        <v>0</v>
      </c>
      <c r="D153" s="340">
        <v>0</v>
      </c>
      <c r="E153" s="304">
        <f>SUM(B153:D153)</f>
        <v>0</v>
      </c>
    </row>
    <row r="154" spans="1:5" ht="12.65" customHeight="1">
      <c r="A154" s="304" t="s">
        <v>246</v>
      </c>
      <c r="B154" s="340">
        <v>0</v>
      </c>
      <c r="C154" s="340">
        <v>0</v>
      </c>
      <c r="D154" s="340">
        <v>0</v>
      </c>
      <c r="E154" s="304">
        <f>SUM(B154:D154)</f>
        <v>0</v>
      </c>
    </row>
    <row r="155" spans="1:5" ht="12.65" customHeight="1">
      <c r="A155" s="310"/>
      <c r="B155" s="310"/>
      <c r="C155" s="344"/>
      <c r="D155" s="345"/>
      <c r="E155" s="304"/>
    </row>
    <row r="156" spans="1:5" ht="12.65" customHeight="1">
      <c r="A156" s="341" t="s">
        <v>301</v>
      </c>
      <c r="B156" s="342" t="s">
        <v>302</v>
      </c>
      <c r="C156" s="343" t="s">
        <v>303</v>
      </c>
      <c r="D156" s="304"/>
      <c r="E156" s="304"/>
    </row>
    <row r="157" spans="1:5" ht="12.65" customHeight="1">
      <c r="A157" s="310" t="s">
        <v>304</v>
      </c>
      <c r="B157" s="340">
        <v>0</v>
      </c>
      <c r="C157" s="340">
        <v>0</v>
      </c>
      <c r="D157" s="304"/>
      <c r="E157" s="304"/>
    </row>
    <row r="158" spans="1:5" ht="12.65" customHeight="1">
      <c r="A158" s="310"/>
      <c r="B158" s="345"/>
      <c r="C158" s="344"/>
      <c r="D158" s="304"/>
      <c r="E158" s="304"/>
    </row>
    <row r="159" spans="1:5" ht="12.65" customHeight="1">
      <c r="A159" s="310"/>
      <c r="B159" s="310"/>
      <c r="C159" s="344"/>
      <c r="D159" s="345"/>
      <c r="E159" s="304"/>
    </row>
    <row r="160" spans="1:5" ht="12.65" customHeight="1">
      <c r="A160" s="310"/>
      <c r="B160" s="310"/>
      <c r="C160" s="344"/>
      <c r="D160" s="345"/>
      <c r="E160" s="304"/>
    </row>
    <row r="161" spans="1:5" ht="12.65" customHeight="1">
      <c r="A161" s="310"/>
      <c r="B161" s="310"/>
      <c r="C161" s="344"/>
      <c r="D161" s="345"/>
      <c r="E161" s="304"/>
    </row>
    <row r="162" spans="1:5" ht="21.75" customHeight="1">
      <c r="A162" s="310"/>
      <c r="B162" s="310"/>
      <c r="C162" s="344"/>
      <c r="D162" s="345"/>
      <c r="E162" s="304"/>
    </row>
    <row r="163" spans="1:5" ht="11.5" customHeight="1">
      <c r="A163" s="339" t="s">
        <v>305</v>
      </c>
      <c r="B163" s="327"/>
      <c r="C163" s="327"/>
      <c r="D163" s="327"/>
      <c r="E163" s="327"/>
    </row>
    <row r="164" spans="1:5" ht="11.5" customHeight="1">
      <c r="A164" s="335" t="s">
        <v>306</v>
      </c>
      <c r="B164" s="335"/>
      <c r="C164" s="335"/>
      <c r="D164" s="335"/>
      <c r="E164" s="335"/>
    </row>
    <row r="165" spans="1:5" ht="11.5" customHeight="1">
      <c r="A165" s="304" t="s">
        <v>307</v>
      </c>
      <c r="B165" s="328" t="s">
        <v>256</v>
      </c>
      <c r="C165" s="336">
        <f>834009-13335-125329</f>
        <v>695345</v>
      </c>
      <c r="D165" s="304"/>
      <c r="E165" s="304"/>
    </row>
    <row r="166" spans="1:5" ht="11.5" customHeight="1">
      <c r="A166" s="304" t="s">
        <v>308</v>
      </c>
      <c r="B166" s="328" t="s">
        <v>256</v>
      </c>
      <c r="C166" s="336">
        <f>13335+125329</f>
        <v>138664</v>
      </c>
      <c r="D166" s="304"/>
      <c r="E166" s="304"/>
    </row>
    <row r="167" spans="1:5" ht="11.5" customHeight="1">
      <c r="A167" s="310" t="s">
        <v>309</v>
      </c>
      <c r="B167" s="328" t="s">
        <v>256</v>
      </c>
      <c r="C167" s="336">
        <v>135943</v>
      </c>
      <c r="D167" s="304"/>
      <c r="E167" s="304"/>
    </row>
    <row r="168" spans="1:5" ht="11.5" customHeight="1">
      <c r="A168" s="304" t="s">
        <v>310</v>
      </c>
      <c r="B168" s="328" t="s">
        <v>256</v>
      </c>
      <c r="C168" s="336">
        <f>24746+742500</f>
        <v>767246</v>
      </c>
      <c r="D168" s="304"/>
      <c r="E168" s="304"/>
    </row>
    <row r="169" spans="1:5" ht="11.5" customHeight="1">
      <c r="A169" s="304" t="s">
        <v>311</v>
      </c>
      <c r="B169" s="328" t="s">
        <v>256</v>
      </c>
      <c r="C169" s="336">
        <f>7489+6542</f>
        <v>14031</v>
      </c>
      <c r="D169" s="304"/>
      <c r="E169" s="304"/>
    </row>
    <row r="170" spans="1:5" ht="11.5" customHeight="1">
      <c r="A170" s="304" t="s">
        <v>312</v>
      </c>
      <c r="B170" s="328" t="s">
        <v>256</v>
      </c>
      <c r="C170" s="336">
        <v>0</v>
      </c>
      <c r="D170" s="304"/>
      <c r="E170" s="304"/>
    </row>
    <row r="171" spans="1:5" ht="11.5" customHeight="1">
      <c r="A171" s="304" t="s">
        <v>313</v>
      </c>
      <c r="B171" s="328" t="s">
        <v>256</v>
      </c>
      <c r="C171" s="336">
        <v>0</v>
      </c>
      <c r="D171" s="304"/>
      <c r="E171" s="304"/>
    </row>
    <row r="172" spans="1:5" ht="11.5" customHeight="1">
      <c r="A172" s="304" t="s">
        <v>313</v>
      </c>
      <c r="B172" s="328" t="s">
        <v>256</v>
      </c>
      <c r="C172" s="336">
        <f>427+437+1535+830+1445+552+3137+13619+3121-8131+1426+76264+6</f>
        <v>94668</v>
      </c>
      <c r="D172" s="304"/>
      <c r="E172" s="304"/>
    </row>
    <row r="173" spans="1:5" ht="11.5" customHeight="1">
      <c r="A173" s="304" t="s">
        <v>203</v>
      </c>
      <c r="B173" s="304"/>
      <c r="C173" s="312"/>
      <c r="D173" s="304">
        <f>SUM(C165:C172)</f>
        <v>1845897</v>
      </c>
      <c r="E173" s="304"/>
    </row>
    <row r="174" spans="1:5" ht="11.5" customHeight="1">
      <c r="A174" s="335" t="s">
        <v>314</v>
      </c>
      <c r="B174" s="335"/>
      <c r="C174" s="335"/>
      <c r="D174" s="335"/>
      <c r="E174" s="335"/>
    </row>
    <row r="175" spans="1:5" ht="11.5" customHeight="1">
      <c r="A175" s="304" t="s">
        <v>315</v>
      </c>
      <c r="B175" s="328" t="s">
        <v>256</v>
      </c>
      <c r="C175" s="336">
        <f>22242+152432</f>
        <v>174674</v>
      </c>
      <c r="D175" s="304"/>
      <c r="E175" s="304"/>
    </row>
    <row r="176" spans="1:5" ht="11.5" customHeight="1">
      <c r="A176" s="304" t="s">
        <v>316</v>
      </c>
      <c r="B176" s="328" t="s">
        <v>256</v>
      </c>
      <c r="C176" s="336">
        <f>621443-C175</f>
        <v>446769</v>
      </c>
      <c r="D176" s="304"/>
      <c r="E176" s="304"/>
    </row>
    <row r="177" spans="1:5" ht="11.5" customHeight="1">
      <c r="A177" s="304" t="s">
        <v>203</v>
      </c>
      <c r="B177" s="304"/>
      <c r="C177" s="312"/>
      <c r="D177" s="304">
        <f>SUM(C175:C176)</f>
        <v>621443</v>
      </c>
      <c r="E177" s="304"/>
    </row>
    <row r="178" spans="1:5" ht="11.5" customHeight="1">
      <c r="A178" s="335" t="s">
        <v>317</v>
      </c>
      <c r="B178" s="335"/>
      <c r="C178" s="335"/>
      <c r="D178" s="335"/>
      <c r="E178" s="335"/>
    </row>
    <row r="179" spans="1:5" ht="11.5" customHeight="1">
      <c r="A179" s="304" t="s">
        <v>318</v>
      </c>
      <c r="B179" s="328" t="s">
        <v>256</v>
      </c>
      <c r="C179" s="336">
        <v>86601</v>
      </c>
      <c r="D179" s="304"/>
      <c r="E179" s="304"/>
    </row>
    <row r="180" spans="1:5" ht="11.5" customHeight="1">
      <c r="A180" s="304" t="s">
        <v>319</v>
      </c>
      <c r="B180" s="328" t="s">
        <v>256</v>
      </c>
      <c r="C180" s="336">
        <v>25330</v>
      </c>
      <c r="D180" s="304"/>
      <c r="E180" s="304"/>
    </row>
    <row r="181" spans="1:5" ht="11.5" customHeight="1">
      <c r="A181" s="304" t="s">
        <v>203</v>
      </c>
      <c r="B181" s="304"/>
      <c r="C181" s="312"/>
      <c r="D181" s="304">
        <f>SUM(C179:C180)</f>
        <v>111931</v>
      </c>
      <c r="E181" s="304"/>
    </row>
    <row r="182" spans="1:5" ht="11.5" customHeight="1">
      <c r="A182" s="335" t="s">
        <v>320</v>
      </c>
      <c r="B182" s="335"/>
      <c r="C182" s="335"/>
      <c r="D182" s="335"/>
      <c r="E182" s="335"/>
    </row>
    <row r="183" spans="1:5" ht="11.5" customHeight="1">
      <c r="A183" s="304" t="s">
        <v>321</v>
      </c>
      <c r="B183" s="328" t="s">
        <v>256</v>
      </c>
      <c r="C183" s="336">
        <v>0</v>
      </c>
      <c r="D183" s="304"/>
      <c r="E183" s="304"/>
    </row>
    <row r="184" spans="1:5" ht="11.5" customHeight="1">
      <c r="A184" s="304" t="s">
        <v>322</v>
      </c>
      <c r="B184" s="328" t="s">
        <v>256</v>
      </c>
      <c r="C184" s="336">
        <v>185820.6</v>
      </c>
      <c r="D184" s="304"/>
      <c r="E184" s="304"/>
    </row>
    <row r="185" spans="1:5" ht="11.5" customHeight="1">
      <c r="A185" s="304" t="s">
        <v>132</v>
      </c>
      <c r="B185" s="328" t="s">
        <v>256</v>
      </c>
      <c r="C185" s="336">
        <v>976371.27</v>
      </c>
      <c r="D185" s="304"/>
      <c r="E185" s="304"/>
    </row>
    <row r="186" spans="1:5" ht="11.5" customHeight="1">
      <c r="A186" s="304" t="s">
        <v>203</v>
      </c>
      <c r="B186" s="304"/>
      <c r="C186" s="312"/>
      <c r="D186" s="304">
        <f>SUM(C183:C185)</f>
        <v>1162191.8700000001</v>
      </c>
      <c r="E186" s="304"/>
    </row>
    <row r="187" spans="1:5" ht="11.5" customHeight="1">
      <c r="A187" s="335" t="s">
        <v>323</v>
      </c>
      <c r="B187" s="335"/>
      <c r="C187" s="335"/>
      <c r="D187" s="335"/>
      <c r="E187" s="335"/>
    </row>
    <row r="188" spans="1:5" ht="11.5" customHeight="1">
      <c r="A188" s="304" t="s">
        <v>324</v>
      </c>
      <c r="B188" s="328" t="s">
        <v>256</v>
      </c>
      <c r="C188" s="336">
        <v>0</v>
      </c>
      <c r="D188" s="304"/>
      <c r="E188" s="304"/>
    </row>
    <row r="189" spans="1:5" ht="11.5" customHeight="1">
      <c r="A189" s="304" t="s">
        <v>325</v>
      </c>
      <c r="B189" s="328" t="s">
        <v>256</v>
      </c>
      <c r="C189" s="336">
        <v>2513722</v>
      </c>
      <c r="D189" s="304"/>
      <c r="E189" s="304"/>
    </row>
    <row r="190" spans="1:5" ht="11.5" customHeight="1">
      <c r="A190" s="304" t="s">
        <v>203</v>
      </c>
      <c r="B190" s="304"/>
      <c r="C190" s="312"/>
      <c r="D190" s="304">
        <f>SUM(C188:C189)</f>
        <v>2513722</v>
      </c>
      <c r="E190" s="304"/>
    </row>
    <row r="191" spans="1:5" ht="18" customHeight="1">
      <c r="A191" s="304"/>
      <c r="B191" s="304"/>
      <c r="C191" s="312"/>
      <c r="D191" s="304"/>
      <c r="E191" s="304"/>
    </row>
    <row r="192" spans="1:5" ht="12.65" customHeight="1">
      <c r="A192" s="327" t="s">
        <v>326</v>
      </c>
      <c r="B192" s="327"/>
      <c r="C192" s="327"/>
      <c r="D192" s="327"/>
      <c r="E192" s="327"/>
    </row>
    <row r="193" spans="1:8" ht="12.65" customHeight="1">
      <c r="A193" s="339" t="s">
        <v>327</v>
      </c>
      <c r="B193" s="327"/>
      <c r="C193" s="327"/>
      <c r="D193" s="327"/>
      <c r="E193" s="327"/>
    </row>
    <row r="194" spans="1:8" ht="12.65" customHeight="1">
      <c r="A194" s="311"/>
      <c r="B194" s="306" t="s">
        <v>328</v>
      </c>
      <c r="C194" s="305" t="s">
        <v>329</v>
      </c>
      <c r="D194" s="306" t="s">
        <v>330</v>
      </c>
      <c r="E194" s="306" t="s">
        <v>331</v>
      </c>
    </row>
    <row r="195" spans="1:8" ht="12.65" customHeight="1">
      <c r="A195" s="304" t="s">
        <v>332</v>
      </c>
      <c r="B195" s="340">
        <v>3160000</v>
      </c>
      <c r="C195" s="336">
        <v>0</v>
      </c>
      <c r="D195" s="340">
        <v>0</v>
      </c>
      <c r="E195" s="304">
        <f t="shared" ref="E195:E203" si="12">SUM(B195:C195)-D195</f>
        <v>3160000</v>
      </c>
    </row>
    <row r="196" spans="1:8" ht="12.65" customHeight="1">
      <c r="A196" s="304" t="s">
        <v>333</v>
      </c>
      <c r="B196" s="340">
        <v>710000</v>
      </c>
      <c r="C196" s="336">
        <v>0</v>
      </c>
      <c r="D196" s="340">
        <v>0</v>
      </c>
      <c r="E196" s="304">
        <f t="shared" si="12"/>
        <v>710000</v>
      </c>
    </row>
    <row r="197" spans="1:8" ht="12.65" customHeight="1">
      <c r="A197" s="304" t="s">
        <v>334</v>
      </c>
      <c r="B197" s="340">
        <v>38437221</v>
      </c>
      <c r="C197" s="336">
        <v>0</v>
      </c>
      <c r="D197" s="340">
        <v>0</v>
      </c>
      <c r="E197" s="304">
        <f t="shared" si="12"/>
        <v>38437221</v>
      </c>
    </row>
    <row r="198" spans="1:8" ht="12.65" customHeight="1">
      <c r="A198" s="304" t="s">
        <v>335</v>
      </c>
      <c r="B198" s="340">
        <v>0</v>
      </c>
      <c r="C198" s="336">
        <v>0</v>
      </c>
      <c r="D198" s="340">
        <v>0</v>
      </c>
      <c r="E198" s="304">
        <f t="shared" si="12"/>
        <v>0</v>
      </c>
    </row>
    <row r="199" spans="1:8" ht="12.65" customHeight="1">
      <c r="A199" s="304" t="s">
        <v>336</v>
      </c>
      <c r="B199" s="340">
        <v>21305025</v>
      </c>
      <c r="C199" s="336">
        <f>72645-60332</f>
        <v>12313</v>
      </c>
      <c r="D199" s="340">
        <v>0</v>
      </c>
      <c r="E199" s="304">
        <f t="shared" si="12"/>
        <v>21317338</v>
      </c>
    </row>
    <row r="200" spans="1:8" ht="12.65" customHeight="1">
      <c r="A200" s="304" t="s">
        <v>337</v>
      </c>
      <c r="B200" s="340">
        <v>14487532</v>
      </c>
      <c r="C200" s="336">
        <f>-1887407+90191+2004659</f>
        <v>207443</v>
      </c>
      <c r="D200" s="340">
        <v>0</v>
      </c>
      <c r="E200" s="304">
        <f t="shared" si="12"/>
        <v>14694975</v>
      </c>
    </row>
    <row r="201" spans="1:8" ht="12.65" customHeight="1">
      <c r="A201" s="304" t="s">
        <v>338</v>
      </c>
      <c r="B201" s="340">
        <v>7733715</v>
      </c>
      <c r="C201" s="336">
        <f>2066+5392+11290+495723</f>
        <v>514471</v>
      </c>
      <c r="D201" s="340">
        <v>0</v>
      </c>
      <c r="E201" s="304">
        <f t="shared" si="12"/>
        <v>8248186</v>
      </c>
    </row>
    <row r="202" spans="1:8" ht="12.65" customHeight="1">
      <c r="A202" s="304" t="s">
        <v>339</v>
      </c>
      <c r="B202" s="340">
        <v>4521546</v>
      </c>
      <c r="C202" s="336">
        <v>0</v>
      </c>
      <c r="D202" s="340">
        <v>0</v>
      </c>
      <c r="E202" s="304">
        <f t="shared" si="12"/>
        <v>4521546</v>
      </c>
    </row>
    <row r="203" spans="1:8" ht="12.65" customHeight="1">
      <c r="A203" s="304" t="s">
        <v>340</v>
      </c>
      <c r="B203" s="340">
        <v>491978</v>
      </c>
      <c r="C203" s="336">
        <f>2250+365000+107094+16000</f>
        <v>490344</v>
      </c>
      <c r="D203" s="340">
        <v>0</v>
      </c>
      <c r="E203" s="304">
        <f t="shared" si="12"/>
        <v>982322</v>
      </c>
    </row>
    <row r="204" spans="1:8" ht="12.65" customHeight="1">
      <c r="A204" s="304" t="s">
        <v>203</v>
      </c>
      <c r="B204" s="304">
        <f>SUM(B195:B203)</f>
        <v>90847017</v>
      </c>
      <c r="C204" s="312">
        <f>SUM(C195:C203)</f>
        <v>1224571</v>
      </c>
      <c r="D204" s="304">
        <f>SUM(D195:D203)</f>
        <v>0</v>
      </c>
      <c r="E204" s="304">
        <f>SUM(E195:E203)</f>
        <v>92071588</v>
      </c>
    </row>
    <row r="205" spans="1:8" ht="12.65" customHeight="1">
      <c r="A205" s="304"/>
      <c r="B205" s="304"/>
      <c r="C205" s="312"/>
      <c r="D205" s="304"/>
      <c r="E205" s="304"/>
    </row>
    <row r="206" spans="1:8" ht="12.65" customHeight="1">
      <c r="A206" s="339" t="s">
        <v>341</v>
      </c>
      <c r="B206" s="339"/>
      <c r="C206" s="339"/>
      <c r="D206" s="339"/>
      <c r="E206" s="339"/>
    </row>
    <row r="207" spans="1:8" ht="12.65" customHeight="1">
      <c r="A207" s="311"/>
      <c r="B207" s="306" t="s">
        <v>328</v>
      </c>
      <c r="C207" s="305" t="s">
        <v>329</v>
      </c>
      <c r="D207" s="306" t="s">
        <v>330</v>
      </c>
      <c r="E207" s="306" t="s">
        <v>331</v>
      </c>
      <c r="H207"/>
    </row>
    <row r="208" spans="1:8" ht="12.65" customHeight="1">
      <c r="A208" s="304" t="s">
        <v>332</v>
      </c>
      <c r="B208" s="345"/>
      <c r="C208" s="344"/>
      <c r="D208" s="345"/>
      <c r="E208" s="304"/>
      <c r="H208"/>
    </row>
    <row r="209" spans="1:8" ht="12.65" customHeight="1">
      <c r="A209" s="304" t="s">
        <v>333</v>
      </c>
      <c r="B209" s="340">
        <v>414166</v>
      </c>
      <c r="C209" s="336">
        <v>0</v>
      </c>
      <c r="D209" s="340">
        <v>0</v>
      </c>
      <c r="E209" s="304">
        <f t="shared" ref="E209:E216" si="13">SUM(B209:C209)-D209</f>
        <v>414166</v>
      </c>
      <c r="H209"/>
    </row>
    <row r="210" spans="1:8" ht="12.65" customHeight="1">
      <c r="A210" s="304" t="s">
        <v>334</v>
      </c>
      <c r="B210" s="340">
        <v>7719190</v>
      </c>
      <c r="C210" s="336">
        <v>0</v>
      </c>
      <c r="D210" s="340">
        <v>0</v>
      </c>
      <c r="E210" s="304">
        <f t="shared" si="13"/>
        <v>7719190</v>
      </c>
      <c r="H210"/>
    </row>
    <row r="211" spans="1:8" ht="12.65" customHeight="1">
      <c r="A211" s="304" t="s">
        <v>335</v>
      </c>
      <c r="B211" s="340">
        <v>0</v>
      </c>
      <c r="C211" s="336">
        <v>0</v>
      </c>
      <c r="D211" s="340">
        <v>0</v>
      </c>
      <c r="E211" s="304">
        <f t="shared" si="13"/>
        <v>0</v>
      </c>
      <c r="H211"/>
    </row>
    <row r="212" spans="1:8" ht="12.65" customHeight="1">
      <c r="A212" s="304" t="s">
        <v>336</v>
      </c>
      <c r="B212" s="340">
        <v>3539791</v>
      </c>
      <c r="C212" s="336">
        <v>0</v>
      </c>
      <c r="D212" s="340">
        <v>0</v>
      </c>
      <c r="E212" s="304">
        <f t="shared" si="13"/>
        <v>3539791</v>
      </c>
      <c r="H212"/>
    </row>
    <row r="213" spans="1:8" ht="12.65" customHeight="1">
      <c r="A213" s="304" t="s">
        <v>337</v>
      </c>
      <c r="B213" s="340">
        <f>7763943-1</f>
        <v>7763942</v>
      </c>
      <c r="C213" s="336">
        <v>0</v>
      </c>
      <c r="D213" s="340">
        <v>0</v>
      </c>
      <c r="E213" s="304">
        <f t="shared" si="13"/>
        <v>7763942</v>
      </c>
      <c r="H213"/>
    </row>
    <row r="214" spans="1:8" ht="12.65" customHeight="1">
      <c r="A214" s="304" t="s">
        <v>338</v>
      </c>
      <c r="B214" s="340">
        <v>3130334</v>
      </c>
      <c r="C214" s="336">
        <v>0</v>
      </c>
      <c r="D214" s="340">
        <v>0</v>
      </c>
      <c r="E214" s="304">
        <f t="shared" si="13"/>
        <v>3130334</v>
      </c>
      <c r="H214"/>
    </row>
    <row r="215" spans="1:8" ht="12.65" customHeight="1">
      <c r="A215" s="304" t="s">
        <v>339</v>
      </c>
      <c r="B215" s="340">
        <v>1553082</v>
      </c>
      <c r="C215" s="336">
        <v>0</v>
      </c>
      <c r="D215" s="340">
        <v>0</v>
      </c>
      <c r="E215" s="304">
        <f t="shared" si="13"/>
        <v>1553082</v>
      </c>
      <c r="H215"/>
    </row>
    <row r="216" spans="1:8" ht="12.65" customHeight="1">
      <c r="A216" s="304" t="s">
        <v>340</v>
      </c>
      <c r="B216" s="340">
        <v>0</v>
      </c>
      <c r="C216" s="336">
        <v>0</v>
      </c>
      <c r="D216" s="340">
        <v>0</v>
      </c>
      <c r="E216" s="304">
        <f t="shared" si="13"/>
        <v>0</v>
      </c>
      <c r="H216"/>
    </row>
    <row r="217" spans="1:8" ht="12.65" customHeight="1">
      <c r="A217" s="304" t="s">
        <v>203</v>
      </c>
      <c r="B217" s="304">
        <f>SUM(B208:B216)</f>
        <v>24120505</v>
      </c>
      <c r="C217" s="312">
        <f>SUM(C208:C216)</f>
        <v>0</v>
      </c>
      <c r="D217" s="304">
        <f>SUM(D208:D216)</f>
        <v>0</v>
      </c>
      <c r="E217" s="304">
        <f>SUM(E208:E216)</f>
        <v>24120505</v>
      </c>
    </row>
    <row r="218" spans="1:8" ht="21.75" customHeight="1">
      <c r="A218" s="304"/>
      <c r="B218" s="304"/>
      <c r="C218" s="312"/>
      <c r="D218" s="304"/>
      <c r="E218" s="304"/>
    </row>
    <row r="219" spans="1:8" ht="12.65" customHeight="1">
      <c r="A219" s="327" t="s">
        <v>342</v>
      </c>
      <c r="B219" s="327"/>
      <c r="C219" s="327"/>
      <c r="D219" s="327"/>
      <c r="E219" s="327"/>
    </row>
    <row r="220" spans="1:8" ht="12.65" customHeight="1">
      <c r="A220" s="327"/>
      <c r="B220" s="390" t="s">
        <v>1255</v>
      </c>
      <c r="C220" s="390"/>
      <c r="D220" s="327"/>
      <c r="E220" s="327"/>
    </row>
    <row r="221" spans="1:8" ht="12.65" customHeight="1">
      <c r="A221" s="346" t="s">
        <v>1255</v>
      </c>
      <c r="B221" s="327"/>
      <c r="C221" s="336">
        <v>887218</v>
      </c>
      <c r="D221" s="328">
        <f>C221</f>
        <v>887218</v>
      </c>
      <c r="E221" s="327"/>
    </row>
    <row r="222" spans="1:8" ht="12.65" customHeight="1">
      <c r="A222" s="335" t="s">
        <v>343</v>
      </c>
      <c r="B222" s="335"/>
      <c r="C222" s="335"/>
      <c r="D222" s="335"/>
      <c r="E222" s="335"/>
    </row>
    <row r="223" spans="1:8" ht="12.65" customHeight="1">
      <c r="A223" s="304" t="s">
        <v>344</v>
      </c>
      <c r="B223" s="328" t="s">
        <v>256</v>
      </c>
      <c r="C223" s="336">
        <v>40935943</v>
      </c>
      <c r="D223" s="304"/>
      <c r="E223" s="304"/>
    </row>
    <row r="224" spans="1:8" ht="12.65" customHeight="1">
      <c r="A224" s="304" t="s">
        <v>345</v>
      </c>
      <c r="B224" s="328" t="s">
        <v>256</v>
      </c>
      <c r="C224" s="336">
        <v>1664479</v>
      </c>
      <c r="D224" s="304"/>
      <c r="E224" s="304"/>
    </row>
    <row r="225" spans="1:5" ht="12.65" customHeight="1">
      <c r="A225" s="304" t="s">
        <v>346</v>
      </c>
      <c r="B225" s="328" t="s">
        <v>256</v>
      </c>
      <c r="C225" s="336">
        <v>1230332.49</v>
      </c>
      <c r="D225" s="304"/>
      <c r="E225" s="304"/>
    </row>
    <row r="226" spans="1:5" ht="12.65" customHeight="1">
      <c r="A226" s="304" t="s">
        <v>347</v>
      </c>
      <c r="B226" s="328" t="s">
        <v>256</v>
      </c>
      <c r="C226" s="336">
        <v>3838852.55</v>
      </c>
      <c r="D226" s="304"/>
      <c r="E226" s="304"/>
    </row>
    <row r="227" spans="1:5" ht="12.65" customHeight="1">
      <c r="A227" s="304" t="s">
        <v>348</v>
      </c>
      <c r="B227" s="328" t="s">
        <v>256</v>
      </c>
      <c r="C227" s="336">
        <v>0</v>
      </c>
      <c r="D227" s="304"/>
      <c r="E227" s="304"/>
    </row>
    <row r="228" spans="1:5" ht="12.65" customHeight="1">
      <c r="A228" s="304" t="s">
        <v>349</v>
      </c>
      <c r="B228" s="328" t="s">
        <v>256</v>
      </c>
      <c r="C228" s="336">
        <f>261697.04+120450.61+453982.22+5356.33+1659656-24721+67944324+0.1</f>
        <v>70420745.299999997</v>
      </c>
      <c r="D228" s="304"/>
      <c r="E228" s="304"/>
    </row>
    <row r="229" spans="1:5" ht="12.65" customHeight="1">
      <c r="A229" s="304" t="s">
        <v>350</v>
      </c>
      <c r="B229" s="304"/>
      <c r="C229" s="312"/>
      <c r="D229" s="304">
        <f>SUM(C223:C228)</f>
        <v>118090352.34</v>
      </c>
      <c r="E229" s="304"/>
    </row>
    <row r="230" spans="1:5" ht="12.65" customHeight="1">
      <c r="A230" s="335" t="s">
        <v>351</v>
      </c>
      <c r="B230" s="335"/>
      <c r="C230" s="335"/>
      <c r="D230" s="335"/>
      <c r="E230" s="335"/>
    </row>
    <row r="231" spans="1:5" ht="12.65" customHeight="1">
      <c r="A231" s="311" t="s">
        <v>352</v>
      </c>
      <c r="B231" s="328" t="s">
        <v>256</v>
      </c>
      <c r="C231" s="336">
        <v>0</v>
      </c>
      <c r="D231" s="304"/>
      <c r="E231" s="304"/>
    </row>
    <row r="232" spans="1:5" ht="12.65" customHeight="1">
      <c r="A232" s="311"/>
      <c r="B232" s="328"/>
      <c r="C232" s="312"/>
      <c r="D232" s="304"/>
      <c r="E232" s="304"/>
    </row>
    <row r="233" spans="1:5" ht="12.65" customHeight="1">
      <c r="A233" s="311" t="s">
        <v>353</v>
      </c>
      <c r="B233" s="328" t="s">
        <v>256</v>
      </c>
      <c r="C233" s="336">
        <f>-818.4+52557.66+15963.77+8714.23-8448+2956.8</f>
        <v>70926.06</v>
      </c>
      <c r="D233" s="304"/>
      <c r="E233" s="304"/>
    </row>
    <row r="234" spans="1:5" ht="12.65" customHeight="1">
      <c r="A234" s="311" t="s">
        <v>354</v>
      </c>
      <c r="B234" s="328" t="s">
        <v>256</v>
      </c>
      <c r="C234" s="336">
        <f>6569.57+178203.35+2333.72+54962.73+26468.82-7482.05+2618</f>
        <v>263674.14</v>
      </c>
      <c r="D234" s="304"/>
      <c r="E234" s="304"/>
    </row>
    <row r="235" spans="1:5" ht="12.65" customHeight="1">
      <c r="A235" s="304"/>
      <c r="B235" s="304"/>
      <c r="C235" s="312"/>
      <c r="D235" s="304"/>
      <c r="E235" s="304"/>
    </row>
    <row r="236" spans="1:5" ht="12.65" customHeight="1">
      <c r="A236" s="311" t="s">
        <v>355</v>
      </c>
      <c r="B236" s="304"/>
      <c r="C236" s="312"/>
      <c r="D236" s="304">
        <f>SUM(C233:C235)</f>
        <v>334600.2</v>
      </c>
      <c r="E236" s="304"/>
    </row>
    <row r="237" spans="1:5" ht="12.65" customHeight="1">
      <c r="A237" s="335" t="s">
        <v>356</v>
      </c>
      <c r="B237" s="335"/>
      <c r="C237" s="335"/>
      <c r="D237" s="335"/>
      <c r="E237" s="335"/>
    </row>
    <row r="238" spans="1:5" ht="12.65" customHeight="1">
      <c r="A238" s="304" t="s">
        <v>357</v>
      </c>
      <c r="B238" s="328" t="s">
        <v>256</v>
      </c>
      <c r="C238" s="336">
        <v>0</v>
      </c>
      <c r="D238" s="304"/>
      <c r="E238" s="304"/>
    </row>
    <row r="239" spans="1:5" ht="12.65" customHeight="1">
      <c r="A239" s="304" t="s">
        <v>356</v>
      </c>
      <c r="B239" s="328" t="s">
        <v>256</v>
      </c>
      <c r="C239" s="336">
        <v>0</v>
      </c>
      <c r="D239" s="304"/>
      <c r="E239" s="304"/>
    </row>
    <row r="240" spans="1:5" ht="12.65" customHeight="1">
      <c r="A240" s="304" t="s">
        <v>358</v>
      </c>
      <c r="B240" s="304"/>
      <c r="C240" s="312"/>
      <c r="D240" s="304">
        <f>SUM(C238:C239)</f>
        <v>0</v>
      </c>
      <c r="E240" s="304"/>
    </row>
    <row r="241" spans="1:5" ht="12.65" customHeight="1">
      <c r="A241" s="304"/>
      <c r="B241" s="304"/>
      <c r="C241" s="312"/>
      <c r="D241" s="304"/>
      <c r="E241" s="304"/>
    </row>
    <row r="242" spans="1:5" ht="12.65" customHeight="1">
      <c r="A242" s="304" t="s">
        <v>359</v>
      </c>
      <c r="B242" s="304"/>
      <c r="C242" s="312"/>
      <c r="D242" s="304">
        <f>D221+D229+D236+D240</f>
        <v>119312170.54000001</v>
      </c>
      <c r="E242" s="304"/>
    </row>
    <row r="243" spans="1:5" ht="12.65" customHeight="1">
      <c r="A243" s="304"/>
      <c r="B243" s="304"/>
      <c r="C243" s="312"/>
      <c r="D243" s="304"/>
      <c r="E243" s="304"/>
    </row>
    <row r="244" spans="1:5" ht="12.65" customHeight="1">
      <c r="A244" s="304"/>
      <c r="B244" s="304"/>
      <c r="C244" s="312"/>
      <c r="D244" s="304"/>
      <c r="E244" s="304"/>
    </row>
    <row r="245" spans="1:5" ht="12.65" customHeight="1">
      <c r="A245" s="304"/>
      <c r="B245" s="304"/>
      <c r="C245" s="312"/>
      <c r="D245" s="304"/>
      <c r="E245" s="304"/>
    </row>
    <row r="246" spans="1:5" ht="12.65" customHeight="1">
      <c r="A246" s="304"/>
      <c r="B246" s="304"/>
      <c r="C246" s="312"/>
      <c r="D246" s="304"/>
      <c r="E246" s="304"/>
    </row>
    <row r="247" spans="1:5" ht="21.75" customHeight="1">
      <c r="A247" s="304"/>
      <c r="B247" s="304"/>
      <c r="C247" s="312"/>
      <c r="D247" s="304"/>
      <c r="E247" s="304"/>
    </row>
    <row r="248" spans="1:5" ht="12.4" customHeight="1">
      <c r="A248" s="327" t="s">
        <v>360</v>
      </c>
      <c r="B248" s="327"/>
      <c r="C248" s="327"/>
      <c r="D248" s="327"/>
      <c r="E248" s="327"/>
    </row>
    <row r="249" spans="1:5" ht="11.25" customHeight="1">
      <c r="A249" s="335" t="s">
        <v>361</v>
      </c>
      <c r="B249" s="335"/>
      <c r="C249" s="335"/>
      <c r="D249" s="335"/>
      <c r="E249" s="335"/>
    </row>
    <row r="250" spans="1:5" ht="12.4" customHeight="1">
      <c r="A250" s="304" t="s">
        <v>362</v>
      </c>
      <c r="B250" s="328" t="s">
        <v>256</v>
      </c>
      <c r="C250" s="336">
        <v>-1802271</v>
      </c>
      <c r="D250" s="304"/>
      <c r="E250" s="304"/>
    </row>
    <row r="251" spans="1:5" ht="12.4" customHeight="1">
      <c r="A251" s="304" t="s">
        <v>363</v>
      </c>
      <c r="B251" s="328" t="s">
        <v>256</v>
      </c>
      <c r="C251" s="336">
        <v>0</v>
      </c>
      <c r="D251" s="304"/>
      <c r="E251" s="304"/>
    </row>
    <row r="252" spans="1:5" ht="12.4" customHeight="1">
      <c r="A252" s="304" t="s">
        <v>364</v>
      </c>
      <c r="B252" s="328" t="s">
        <v>256</v>
      </c>
      <c r="C252" s="336">
        <v>18451614</v>
      </c>
      <c r="D252" s="304"/>
      <c r="E252" s="304"/>
    </row>
    <row r="253" spans="1:5" ht="12.4" customHeight="1">
      <c r="A253" s="304" t="s">
        <v>365</v>
      </c>
      <c r="B253" s="328" t="s">
        <v>256</v>
      </c>
      <c r="C253" s="336">
        <v>6956002</v>
      </c>
      <c r="D253" s="304"/>
      <c r="E253" s="304"/>
    </row>
    <row r="254" spans="1:5" ht="12.4" customHeight="1">
      <c r="A254" s="304" t="s">
        <v>1241</v>
      </c>
      <c r="B254" s="328" t="s">
        <v>256</v>
      </c>
      <c r="C254" s="336">
        <v>0</v>
      </c>
      <c r="D254" s="304"/>
      <c r="E254" s="304"/>
    </row>
    <row r="255" spans="1:5" ht="12.4" customHeight="1">
      <c r="A255" s="304" t="s">
        <v>366</v>
      </c>
      <c r="B255" s="328" t="s">
        <v>256</v>
      </c>
      <c r="C255" s="336">
        <v>1989218</v>
      </c>
      <c r="D255" s="304"/>
      <c r="E255" s="304"/>
    </row>
    <row r="256" spans="1:5" ht="12.4" customHeight="1">
      <c r="A256" s="304" t="s">
        <v>367</v>
      </c>
      <c r="B256" s="328" t="s">
        <v>256</v>
      </c>
      <c r="C256" s="336">
        <v>39449</v>
      </c>
      <c r="D256" s="304"/>
      <c r="E256" s="304"/>
    </row>
    <row r="257" spans="1:5" ht="12.4" customHeight="1">
      <c r="A257" s="304" t="s">
        <v>368</v>
      </c>
      <c r="B257" s="328" t="s">
        <v>256</v>
      </c>
      <c r="C257" s="336">
        <v>3563517</v>
      </c>
      <c r="D257" s="304"/>
      <c r="E257" s="304"/>
    </row>
    <row r="258" spans="1:5" ht="12.4" customHeight="1">
      <c r="A258" s="304" t="s">
        <v>369</v>
      </c>
      <c r="B258" s="328" t="s">
        <v>256</v>
      </c>
      <c r="C258" s="336">
        <v>976209</v>
      </c>
      <c r="D258" s="304"/>
      <c r="E258" s="304"/>
    </row>
    <row r="259" spans="1:5" ht="12.4" customHeight="1">
      <c r="A259" s="304" t="s">
        <v>370</v>
      </c>
      <c r="B259" s="328" t="s">
        <v>256</v>
      </c>
      <c r="C259" s="336">
        <v>0</v>
      </c>
      <c r="D259" s="304"/>
      <c r="E259" s="304"/>
    </row>
    <row r="260" spans="1:5" ht="12.4" customHeight="1">
      <c r="A260" s="304" t="s">
        <v>371</v>
      </c>
      <c r="B260" s="304"/>
      <c r="C260" s="312"/>
      <c r="D260" s="304">
        <f>SUM(C250:C252)-C253+SUM(C254:C259)</f>
        <v>16261734</v>
      </c>
      <c r="E260" s="304"/>
    </row>
    <row r="261" spans="1:5" ht="11.25" customHeight="1">
      <c r="A261" s="335" t="s">
        <v>372</v>
      </c>
      <c r="B261" s="335"/>
      <c r="C261" s="335"/>
      <c r="D261" s="335"/>
      <c r="E261" s="335"/>
    </row>
    <row r="262" spans="1:5" ht="12.4" customHeight="1">
      <c r="A262" s="304" t="s">
        <v>362</v>
      </c>
      <c r="B262" s="328" t="s">
        <v>256</v>
      </c>
      <c r="C262" s="336">
        <v>0</v>
      </c>
      <c r="D262" s="304"/>
      <c r="E262" s="304"/>
    </row>
    <row r="263" spans="1:5" ht="12.4" customHeight="1">
      <c r="A263" s="304" t="s">
        <v>363</v>
      </c>
      <c r="B263" s="328" t="s">
        <v>256</v>
      </c>
      <c r="C263" s="336">
        <v>0</v>
      </c>
      <c r="D263" s="304"/>
      <c r="E263" s="304"/>
    </row>
    <row r="264" spans="1:5" ht="12.4" customHeight="1">
      <c r="A264" s="304" t="s">
        <v>373</v>
      </c>
      <c r="B264" s="328" t="s">
        <v>256</v>
      </c>
      <c r="C264" s="336">
        <v>0</v>
      </c>
      <c r="D264" s="304"/>
      <c r="E264" s="304"/>
    </row>
    <row r="265" spans="1:5" ht="12.4" customHeight="1">
      <c r="A265" s="304" t="s">
        <v>374</v>
      </c>
      <c r="B265" s="304"/>
      <c r="C265" s="312"/>
      <c r="D265" s="304">
        <f>SUM(C262:C264)</f>
        <v>0</v>
      </c>
      <c r="E265" s="304"/>
    </row>
    <row r="266" spans="1:5" ht="11.25" customHeight="1">
      <c r="A266" s="335" t="s">
        <v>375</v>
      </c>
      <c r="B266" s="335"/>
      <c r="C266" s="335"/>
      <c r="D266" s="335"/>
      <c r="E266" s="335"/>
    </row>
    <row r="267" spans="1:5" ht="12.4" customHeight="1">
      <c r="A267" s="304" t="s">
        <v>332</v>
      </c>
      <c r="B267" s="328" t="s">
        <v>256</v>
      </c>
      <c r="C267" s="336">
        <v>3160000</v>
      </c>
      <c r="D267" s="304"/>
      <c r="E267" s="304"/>
    </row>
    <row r="268" spans="1:5" ht="12.4" customHeight="1">
      <c r="A268" s="304" t="s">
        <v>333</v>
      </c>
      <c r="B268" s="328" t="s">
        <v>256</v>
      </c>
      <c r="C268" s="336">
        <v>710000</v>
      </c>
      <c r="D268" s="304"/>
      <c r="E268" s="304"/>
    </row>
    <row r="269" spans="1:5" ht="12.4" customHeight="1">
      <c r="A269" s="304" t="s">
        <v>334</v>
      </c>
      <c r="B269" s="328" t="s">
        <v>256</v>
      </c>
      <c r="C269" s="336">
        <v>44944891</v>
      </c>
      <c r="D269" s="304"/>
      <c r="E269" s="304"/>
    </row>
    <row r="270" spans="1:5" ht="12.4" customHeight="1">
      <c r="A270" s="304" t="s">
        <v>376</v>
      </c>
      <c r="B270" s="328" t="s">
        <v>256</v>
      </c>
      <c r="C270" s="336">
        <v>21305026</v>
      </c>
      <c r="D270" s="304"/>
      <c r="E270" s="304"/>
    </row>
    <row r="271" spans="1:5" ht="12.4" customHeight="1">
      <c r="A271" s="304" t="s">
        <v>377</v>
      </c>
      <c r="B271" s="328" t="s">
        <v>256</v>
      </c>
      <c r="C271" s="336">
        <v>0</v>
      </c>
      <c r="D271" s="304"/>
      <c r="E271" s="304"/>
    </row>
    <row r="272" spans="1:5" ht="12.4" customHeight="1">
      <c r="A272" s="304" t="s">
        <v>378</v>
      </c>
      <c r="B272" s="328" t="s">
        <v>256</v>
      </c>
      <c r="C272" s="336">
        <v>18964693</v>
      </c>
      <c r="D272" s="304"/>
      <c r="E272" s="304"/>
    </row>
    <row r="273" spans="1:5" ht="12.4" customHeight="1">
      <c r="A273" s="304" t="s">
        <v>339</v>
      </c>
      <c r="B273" s="328" t="s">
        <v>256</v>
      </c>
      <c r="C273" s="336">
        <v>2004656</v>
      </c>
      <c r="D273" s="304"/>
      <c r="E273" s="304"/>
    </row>
    <row r="274" spans="1:5" ht="12.4" customHeight="1">
      <c r="A274" s="304" t="s">
        <v>340</v>
      </c>
      <c r="B274" s="328" t="s">
        <v>256</v>
      </c>
      <c r="C274" s="336">
        <v>982323</v>
      </c>
      <c r="D274" s="304"/>
      <c r="E274" s="304"/>
    </row>
    <row r="275" spans="1:5" ht="12.4" customHeight="1">
      <c r="A275" s="304" t="s">
        <v>379</v>
      </c>
      <c r="B275" s="304"/>
      <c r="C275" s="312"/>
      <c r="D275" s="304">
        <f>SUM(C267:C274)</f>
        <v>92071589</v>
      </c>
      <c r="E275" s="304"/>
    </row>
    <row r="276" spans="1:5" ht="12.65" customHeight="1">
      <c r="A276" s="304" t="s">
        <v>380</v>
      </c>
      <c r="B276" s="328" t="s">
        <v>256</v>
      </c>
      <c r="C276" s="336">
        <v>24120505</v>
      </c>
      <c r="D276" s="304"/>
      <c r="E276" s="304"/>
    </row>
    <row r="277" spans="1:5" ht="12.65" customHeight="1">
      <c r="A277" s="304" t="s">
        <v>381</v>
      </c>
      <c r="B277" s="304"/>
      <c r="C277" s="312"/>
      <c r="D277" s="304">
        <f>D275-C276</f>
        <v>67951084</v>
      </c>
      <c r="E277" s="304"/>
    </row>
    <row r="278" spans="1:5" ht="12.65" customHeight="1">
      <c r="A278" s="335" t="s">
        <v>382</v>
      </c>
      <c r="B278" s="335"/>
      <c r="C278" s="335"/>
      <c r="D278" s="335"/>
      <c r="E278" s="335"/>
    </row>
    <row r="279" spans="1:5" ht="12.65" customHeight="1">
      <c r="A279" s="304" t="s">
        <v>383</v>
      </c>
      <c r="B279" s="328" t="s">
        <v>256</v>
      </c>
      <c r="C279" s="336">
        <v>0</v>
      </c>
      <c r="D279" s="304"/>
      <c r="E279" s="304"/>
    </row>
    <row r="280" spans="1:5" ht="12.65" customHeight="1">
      <c r="A280" s="304" t="s">
        <v>384</v>
      </c>
      <c r="B280" s="328" t="s">
        <v>256</v>
      </c>
      <c r="C280" s="336">
        <v>0</v>
      </c>
      <c r="D280" s="304"/>
      <c r="E280" s="304"/>
    </row>
    <row r="281" spans="1:5" ht="12.65" customHeight="1">
      <c r="A281" s="304" t="s">
        <v>385</v>
      </c>
      <c r="B281" s="328" t="s">
        <v>256</v>
      </c>
      <c r="C281" s="336">
        <v>448809</v>
      </c>
      <c r="D281" s="304"/>
      <c r="E281" s="304"/>
    </row>
    <row r="282" spans="1:5" ht="12.65" customHeight="1">
      <c r="A282" s="304" t="s">
        <v>373</v>
      </c>
      <c r="B282" s="328" t="s">
        <v>256</v>
      </c>
      <c r="C282" s="336">
        <v>1799432</v>
      </c>
      <c r="D282" s="304"/>
      <c r="E282" s="304"/>
    </row>
    <row r="283" spans="1:5" ht="12.65" customHeight="1">
      <c r="A283" s="304" t="s">
        <v>386</v>
      </c>
      <c r="B283" s="304"/>
      <c r="C283" s="312"/>
      <c r="D283" s="304">
        <f>C279-C280+C281+C282</f>
        <v>2248241</v>
      </c>
      <c r="E283" s="304"/>
    </row>
    <row r="284" spans="1:5" ht="12.65" customHeight="1">
      <c r="A284" s="304"/>
      <c r="B284" s="304"/>
      <c r="C284" s="312"/>
      <c r="D284" s="304"/>
      <c r="E284" s="304"/>
    </row>
    <row r="285" spans="1:5" ht="12.65" customHeight="1">
      <c r="A285" s="335" t="s">
        <v>387</v>
      </c>
      <c r="B285" s="335"/>
      <c r="C285" s="335"/>
      <c r="D285" s="335"/>
      <c r="E285" s="335"/>
    </row>
    <row r="286" spans="1:5" ht="12.65" customHeight="1">
      <c r="A286" s="304" t="s">
        <v>388</v>
      </c>
      <c r="B286" s="328" t="s">
        <v>256</v>
      </c>
      <c r="C286" s="336">
        <v>0</v>
      </c>
      <c r="D286" s="304"/>
      <c r="E286" s="304"/>
    </row>
    <row r="287" spans="1:5" ht="12.65" customHeight="1">
      <c r="A287" s="304" t="s">
        <v>389</v>
      </c>
      <c r="B287" s="328" t="s">
        <v>256</v>
      </c>
      <c r="C287" s="336">
        <v>0</v>
      </c>
      <c r="D287" s="304"/>
      <c r="E287" s="304"/>
    </row>
    <row r="288" spans="1:5" ht="12.65" customHeight="1">
      <c r="A288" s="304" t="s">
        <v>390</v>
      </c>
      <c r="B288" s="328" t="s">
        <v>256</v>
      </c>
      <c r="C288" s="336">
        <v>0</v>
      </c>
      <c r="D288" s="304"/>
      <c r="E288" s="304"/>
    </row>
    <row r="289" spans="1:5" ht="12.65" customHeight="1">
      <c r="A289" s="304" t="s">
        <v>391</v>
      </c>
      <c r="B289" s="328" t="s">
        <v>256</v>
      </c>
      <c r="C289" s="336">
        <v>252838</v>
      </c>
      <c r="D289" s="304"/>
      <c r="E289" s="304"/>
    </row>
    <row r="290" spans="1:5" ht="12.65" customHeight="1">
      <c r="A290" s="304" t="s">
        <v>392</v>
      </c>
      <c r="B290" s="304"/>
      <c r="C290" s="312"/>
      <c r="D290" s="304">
        <f>SUM(C286:C289)</f>
        <v>252838</v>
      </c>
      <c r="E290" s="304"/>
    </row>
    <row r="291" spans="1:5" ht="12.65" customHeight="1">
      <c r="A291" s="304"/>
      <c r="B291" s="304"/>
      <c r="C291" s="312"/>
      <c r="D291" s="304"/>
      <c r="E291" s="304"/>
    </row>
    <row r="292" spans="1:5" ht="12.65" customHeight="1">
      <c r="A292" s="304" t="s">
        <v>393</v>
      </c>
      <c r="B292" s="304"/>
      <c r="C292" s="312"/>
      <c r="D292" s="304">
        <f>D260+D265+D277+D283+D290</f>
        <v>86713897</v>
      </c>
      <c r="E292" s="304"/>
    </row>
    <row r="293" spans="1:5" ht="12.65" customHeight="1">
      <c r="A293" s="304"/>
      <c r="B293" s="304"/>
      <c r="C293" s="312"/>
      <c r="D293" s="304"/>
      <c r="E293" s="304"/>
    </row>
    <row r="294" spans="1:5" ht="12.65" customHeight="1">
      <c r="A294" s="304"/>
      <c r="B294" s="304"/>
      <c r="C294" s="312"/>
      <c r="D294" s="304"/>
      <c r="E294" s="304"/>
    </row>
    <row r="295" spans="1:5" ht="12.65" customHeight="1">
      <c r="A295" s="304"/>
      <c r="B295" s="304"/>
      <c r="C295" s="312"/>
      <c r="D295" s="304"/>
      <c r="E295" s="304"/>
    </row>
    <row r="296" spans="1:5" ht="12.65" customHeight="1">
      <c r="A296" s="304"/>
      <c r="B296" s="304"/>
      <c r="C296" s="312"/>
      <c r="D296" s="304"/>
      <c r="E296" s="304"/>
    </row>
    <row r="297" spans="1:5" ht="12.65" customHeight="1">
      <c r="A297" s="304"/>
      <c r="B297" s="304"/>
      <c r="C297" s="312"/>
      <c r="D297" s="304"/>
      <c r="E297" s="304"/>
    </row>
    <row r="298" spans="1:5" ht="12.65" customHeight="1">
      <c r="A298" s="304"/>
      <c r="B298" s="304"/>
      <c r="C298" s="312"/>
      <c r="D298" s="304"/>
      <c r="E298" s="304"/>
    </row>
    <row r="299" spans="1:5" ht="12.65" customHeight="1">
      <c r="A299" s="304"/>
      <c r="B299" s="304"/>
      <c r="C299" s="312"/>
      <c r="D299" s="304"/>
      <c r="E299" s="304"/>
    </row>
    <row r="300" spans="1:5" ht="12.65" customHeight="1">
      <c r="A300" s="304"/>
      <c r="B300" s="304"/>
      <c r="C300" s="312"/>
      <c r="D300" s="304"/>
      <c r="E300" s="304"/>
    </row>
    <row r="301" spans="1:5" ht="20.25" customHeight="1">
      <c r="A301" s="304"/>
      <c r="B301" s="304"/>
      <c r="C301" s="312"/>
      <c r="D301" s="304"/>
      <c r="E301" s="304"/>
    </row>
    <row r="302" spans="1:5" ht="12.65" customHeight="1">
      <c r="A302" s="327" t="s">
        <v>394</v>
      </c>
      <c r="B302" s="327"/>
      <c r="C302" s="327"/>
      <c r="D302" s="327"/>
      <c r="E302" s="327"/>
    </row>
    <row r="303" spans="1:5" ht="14.25" customHeight="1">
      <c r="A303" s="335" t="s">
        <v>395</v>
      </c>
      <c r="B303" s="335"/>
      <c r="C303" s="335"/>
      <c r="D303" s="335"/>
      <c r="E303" s="335"/>
    </row>
    <row r="304" spans="1:5" ht="12.65" customHeight="1">
      <c r="A304" s="304" t="s">
        <v>396</v>
      </c>
      <c r="B304" s="328" t="s">
        <v>256</v>
      </c>
      <c r="C304" s="336">
        <v>0</v>
      </c>
      <c r="D304" s="304"/>
      <c r="E304" s="304"/>
    </row>
    <row r="305" spans="1:5" ht="12.65" customHeight="1">
      <c r="A305" s="304" t="s">
        <v>397</v>
      </c>
      <c r="B305" s="328" t="s">
        <v>256</v>
      </c>
      <c r="C305" s="336">
        <v>4493423</v>
      </c>
      <c r="D305" s="304"/>
      <c r="E305" s="304"/>
    </row>
    <row r="306" spans="1:5" ht="12.65" customHeight="1">
      <c r="A306" s="304" t="s">
        <v>398</v>
      </c>
      <c r="B306" s="328" t="s">
        <v>256</v>
      </c>
      <c r="C306" s="336">
        <v>3528620</v>
      </c>
      <c r="D306" s="304"/>
      <c r="E306" s="304"/>
    </row>
    <row r="307" spans="1:5" ht="12.65" customHeight="1">
      <c r="A307" s="304" t="s">
        <v>399</v>
      </c>
      <c r="B307" s="328" t="s">
        <v>256</v>
      </c>
      <c r="C307" s="336">
        <v>347596</v>
      </c>
      <c r="D307" s="304"/>
      <c r="E307" s="304"/>
    </row>
    <row r="308" spans="1:5" ht="12.65" customHeight="1">
      <c r="A308" s="304" t="s">
        <v>400</v>
      </c>
      <c r="B308" s="328" t="s">
        <v>256</v>
      </c>
      <c r="C308" s="336">
        <v>0</v>
      </c>
      <c r="D308" s="304"/>
      <c r="E308" s="304"/>
    </row>
    <row r="309" spans="1:5" ht="12.65" customHeight="1">
      <c r="A309" s="304" t="s">
        <v>1242</v>
      </c>
      <c r="B309" s="328" t="s">
        <v>256</v>
      </c>
      <c r="C309" s="336">
        <v>0</v>
      </c>
      <c r="D309" s="304"/>
      <c r="E309" s="304"/>
    </row>
    <row r="310" spans="1:5" ht="12.65" customHeight="1">
      <c r="A310" s="304" t="s">
        <v>401</v>
      </c>
      <c r="B310" s="328" t="s">
        <v>256</v>
      </c>
      <c r="C310" s="336">
        <v>0</v>
      </c>
      <c r="D310" s="304"/>
      <c r="E310" s="304"/>
    </row>
    <row r="311" spans="1:5" ht="12.65" customHeight="1">
      <c r="A311" s="304" t="s">
        <v>402</v>
      </c>
      <c r="B311" s="328" t="s">
        <v>256</v>
      </c>
      <c r="C311" s="336">
        <v>0</v>
      </c>
      <c r="D311" s="304"/>
      <c r="E311" s="304"/>
    </row>
    <row r="312" spans="1:5" ht="12.65" customHeight="1">
      <c r="A312" s="304" t="s">
        <v>403</v>
      </c>
      <c r="B312" s="328" t="s">
        <v>256</v>
      </c>
      <c r="C312" s="336">
        <f>455922+19420985</f>
        <v>19876907</v>
      </c>
      <c r="D312" s="304"/>
      <c r="E312" s="304"/>
    </row>
    <row r="313" spans="1:5" ht="12.65" customHeight="1">
      <c r="A313" s="304" t="s">
        <v>404</v>
      </c>
      <c r="B313" s="328" t="s">
        <v>256</v>
      </c>
      <c r="C313" s="336">
        <v>0</v>
      </c>
      <c r="D313" s="304"/>
      <c r="E313" s="304"/>
    </row>
    <row r="314" spans="1:5" ht="12.65" customHeight="1">
      <c r="A314" s="304" t="s">
        <v>405</v>
      </c>
      <c r="B314" s="304"/>
      <c r="C314" s="312"/>
      <c r="D314" s="304">
        <f>SUM(C304:C313)</f>
        <v>28246546</v>
      </c>
      <c r="E314" s="304"/>
    </row>
    <row r="315" spans="1:5" ht="12.65" customHeight="1">
      <c r="A315" s="335" t="s">
        <v>406</v>
      </c>
      <c r="B315" s="335"/>
      <c r="C315" s="335"/>
      <c r="D315" s="335"/>
      <c r="E315" s="335"/>
    </row>
    <row r="316" spans="1:5" ht="12.65" customHeight="1">
      <c r="A316" s="304" t="s">
        <v>407</v>
      </c>
      <c r="B316" s="328" t="s">
        <v>256</v>
      </c>
      <c r="C316" s="336">
        <v>0</v>
      </c>
      <c r="D316" s="304"/>
      <c r="E316" s="304"/>
    </row>
    <row r="317" spans="1:5" ht="12.65" customHeight="1">
      <c r="A317" s="304" t="s">
        <v>408</v>
      </c>
      <c r="B317" s="328" t="s">
        <v>256</v>
      </c>
      <c r="C317" s="336">
        <v>0</v>
      </c>
      <c r="D317" s="304"/>
      <c r="E317" s="304"/>
    </row>
    <row r="318" spans="1:5" ht="12.65" customHeight="1">
      <c r="A318" s="304" t="s">
        <v>409</v>
      </c>
      <c r="B318" s="328" t="s">
        <v>256</v>
      </c>
      <c r="C318" s="336">
        <v>1540456</v>
      </c>
      <c r="D318" s="304"/>
      <c r="E318" s="304"/>
    </row>
    <row r="319" spans="1:5" ht="12.65" customHeight="1">
      <c r="A319" s="304" t="s">
        <v>410</v>
      </c>
      <c r="B319" s="304"/>
      <c r="C319" s="312"/>
      <c r="D319" s="304">
        <f>SUM(C316:C318)</f>
        <v>1540456</v>
      </c>
      <c r="E319" s="304"/>
    </row>
    <row r="320" spans="1:5" ht="12.65" customHeight="1">
      <c r="A320" s="335" t="s">
        <v>411</v>
      </c>
      <c r="B320" s="335"/>
      <c r="C320" s="335"/>
      <c r="D320" s="335"/>
      <c r="E320" s="335"/>
    </row>
    <row r="321" spans="1:5" ht="12.65" customHeight="1">
      <c r="A321" s="304" t="s">
        <v>412</v>
      </c>
      <c r="B321" s="328" t="s">
        <v>256</v>
      </c>
      <c r="C321" s="336">
        <v>0</v>
      </c>
      <c r="D321" s="304"/>
      <c r="E321" s="304"/>
    </row>
    <row r="322" spans="1:5" ht="12.65" customHeight="1">
      <c r="A322" s="304" t="s">
        <v>413</v>
      </c>
      <c r="B322" s="328" t="s">
        <v>256</v>
      </c>
      <c r="C322" s="336">
        <v>0</v>
      </c>
      <c r="D322" s="304"/>
      <c r="E322" s="304"/>
    </row>
    <row r="323" spans="1:5" ht="12.65" customHeight="1">
      <c r="A323" s="304" t="s">
        <v>414</v>
      </c>
      <c r="B323" s="328" t="s">
        <v>256</v>
      </c>
      <c r="C323" s="336">
        <v>0</v>
      </c>
      <c r="D323" s="304"/>
      <c r="E323" s="304"/>
    </row>
    <row r="324" spans="1:5" ht="12.65" customHeight="1">
      <c r="A324" s="311" t="s">
        <v>415</v>
      </c>
      <c r="B324" s="328" t="s">
        <v>256</v>
      </c>
      <c r="C324" s="336">
        <v>113282771</v>
      </c>
      <c r="D324" s="304"/>
      <c r="E324" s="304"/>
    </row>
    <row r="325" spans="1:5" ht="12.65" customHeight="1">
      <c r="A325" s="304" t="s">
        <v>416</v>
      </c>
      <c r="B325" s="328" t="s">
        <v>256</v>
      </c>
      <c r="C325" s="336">
        <v>0</v>
      </c>
      <c r="D325" s="304"/>
      <c r="E325" s="304"/>
    </row>
    <row r="326" spans="1:5" ht="12.65" customHeight="1">
      <c r="A326" s="311" t="s">
        <v>417</v>
      </c>
      <c r="B326" s="328" t="s">
        <v>256</v>
      </c>
      <c r="C326" s="336">
        <v>-31028499</v>
      </c>
      <c r="D326" s="304"/>
      <c r="E326" s="304"/>
    </row>
    <row r="327" spans="1:5" ht="12.65" customHeight="1">
      <c r="A327" s="304" t="s">
        <v>418</v>
      </c>
      <c r="B327" s="328" t="s">
        <v>256</v>
      </c>
      <c r="C327" s="336">
        <v>0</v>
      </c>
      <c r="D327" s="304"/>
      <c r="E327" s="304"/>
    </row>
    <row r="328" spans="1:5" ht="19.5" customHeight="1">
      <c r="A328" s="304" t="s">
        <v>203</v>
      </c>
      <c r="B328" s="304"/>
      <c r="C328" s="312"/>
      <c r="D328" s="304">
        <f>SUM(C321:C327)</f>
        <v>82254272</v>
      </c>
      <c r="E328" s="304"/>
    </row>
    <row r="329" spans="1:5" ht="12.65" customHeight="1">
      <c r="A329" s="304" t="s">
        <v>419</v>
      </c>
      <c r="B329" s="304"/>
      <c r="C329" s="312"/>
      <c r="D329" s="304">
        <f>C313</f>
        <v>0</v>
      </c>
      <c r="E329" s="304"/>
    </row>
    <row r="330" spans="1:5" ht="12.65" customHeight="1">
      <c r="A330" s="304" t="s">
        <v>420</v>
      </c>
      <c r="B330" s="304"/>
      <c r="C330" s="312"/>
      <c r="D330" s="304">
        <f>D328-D329</f>
        <v>82254272</v>
      </c>
      <c r="E330" s="304"/>
    </row>
    <row r="331" spans="1:5" ht="12.65" customHeight="1">
      <c r="A331" s="304"/>
      <c r="B331" s="304"/>
      <c r="C331" s="312"/>
      <c r="D331" s="304"/>
      <c r="E331" s="304"/>
    </row>
    <row r="332" spans="1:5" ht="12.65" customHeight="1">
      <c r="A332" s="304" t="s">
        <v>421</v>
      </c>
      <c r="B332" s="328" t="s">
        <v>256</v>
      </c>
      <c r="C332" s="337">
        <v>0</v>
      </c>
      <c r="D332" s="304"/>
      <c r="E332" s="304"/>
    </row>
    <row r="333" spans="1:5" ht="12.65" customHeight="1">
      <c r="A333" s="304"/>
      <c r="B333" s="328"/>
      <c r="C333" s="347"/>
      <c r="D333" s="304"/>
      <c r="E333" s="304"/>
    </row>
    <row r="334" spans="1:5" ht="12.65" customHeight="1">
      <c r="A334" s="304" t="s">
        <v>1142</v>
      </c>
      <c r="B334" s="328" t="s">
        <v>256</v>
      </c>
      <c r="C334" s="337">
        <v>0</v>
      </c>
      <c r="D334" s="304"/>
      <c r="E334" s="304"/>
    </row>
    <row r="335" spans="1:5" ht="12.65" customHeight="1">
      <c r="A335" s="304" t="s">
        <v>1143</v>
      </c>
      <c r="B335" s="328" t="s">
        <v>256</v>
      </c>
      <c r="C335" s="337">
        <v>0</v>
      </c>
      <c r="D335" s="304"/>
      <c r="E335" s="304"/>
    </row>
    <row r="336" spans="1:5" ht="12.65" customHeight="1">
      <c r="A336" s="304" t="s">
        <v>423</v>
      </c>
      <c r="B336" s="328" t="s">
        <v>256</v>
      </c>
      <c r="C336" s="337">
        <v>0</v>
      </c>
      <c r="D336" s="304"/>
      <c r="E336" s="304"/>
    </row>
    <row r="337" spans="1:5" ht="12.65" customHeight="1">
      <c r="A337" s="304" t="s">
        <v>422</v>
      </c>
      <c r="B337" s="328" t="s">
        <v>256</v>
      </c>
      <c r="C337" s="336">
        <f>-6621088-1507795</f>
        <v>-8128883</v>
      </c>
      <c r="D337" s="304"/>
      <c r="E337" s="304"/>
    </row>
    <row r="338" spans="1:5" ht="12.65" customHeight="1">
      <c r="A338" s="304" t="s">
        <v>1253</v>
      </c>
      <c r="B338" s="328" t="s">
        <v>256</v>
      </c>
      <c r="C338" s="336"/>
      <c r="D338" s="304"/>
      <c r="E338" s="304"/>
    </row>
    <row r="339" spans="1:5" ht="12.65" customHeight="1">
      <c r="A339" s="304" t="s">
        <v>424</v>
      </c>
      <c r="B339" s="304"/>
      <c r="C339" s="312"/>
      <c r="D339" s="304">
        <f>D314+D319+D330+C332+C336+C337</f>
        <v>103912391</v>
      </c>
      <c r="E339" s="304"/>
    </row>
    <row r="340" spans="1:5" ht="12.65" customHeight="1">
      <c r="A340" s="304"/>
      <c r="B340" s="304"/>
      <c r="C340" s="312"/>
      <c r="D340" s="304"/>
      <c r="E340" s="304"/>
    </row>
    <row r="341" spans="1:5" ht="12.65" customHeight="1">
      <c r="A341" s="304" t="s">
        <v>425</v>
      </c>
      <c r="B341" s="304"/>
      <c r="C341" s="312"/>
      <c r="D341" s="304">
        <f>D292</f>
        <v>86713897</v>
      </c>
      <c r="E341" s="304"/>
    </row>
    <row r="342" spans="1:5" ht="12.65" customHeight="1">
      <c r="A342" s="304"/>
      <c r="B342" s="304"/>
      <c r="C342" s="312"/>
      <c r="D342" s="304"/>
      <c r="E342" s="304"/>
    </row>
    <row r="343" spans="1:5" ht="12.65" customHeight="1">
      <c r="A343" s="304"/>
      <c r="B343" s="304"/>
      <c r="C343" s="312"/>
      <c r="D343" s="304"/>
      <c r="E343" s="304"/>
    </row>
    <row r="344" spans="1:5" ht="12.65" customHeight="1">
      <c r="A344" s="304"/>
      <c r="B344" s="304"/>
      <c r="C344" s="312"/>
      <c r="D344" s="304"/>
      <c r="E344" s="304"/>
    </row>
    <row r="345" spans="1:5" ht="12.65" customHeight="1">
      <c r="A345" s="304"/>
      <c r="B345" s="304"/>
      <c r="C345" s="312"/>
      <c r="D345" s="304"/>
      <c r="E345" s="304"/>
    </row>
    <row r="346" spans="1:5" ht="12.65" customHeight="1">
      <c r="A346" s="304"/>
      <c r="B346" s="304"/>
      <c r="C346" s="312"/>
      <c r="D346" s="304"/>
      <c r="E346" s="304"/>
    </row>
    <row r="347" spans="1:5" ht="12.65" customHeight="1">
      <c r="A347" s="304"/>
      <c r="B347" s="304"/>
      <c r="C347" s="312"/>
      <c r="D347" s="304"/>
      <c r="E347" s="304"/>
    </row>
    <row r="348" spans="1:5" ht="12.65" customHeight="1">
      <c r="A348" s="304"/>
      <c r="B348" s="304"/>
      <c r="C348" s="312"/>
      <c r="D348" s="304"/>
      <c r="E348" s="304"/>
    </row>
    <row r="349" spans="1:5" ht="12.65" customHeight="1">
      <c r="A349" s="304"/>
      <c r="B349" s="304"/>
      <c r="C349" s="312"/>
      <c r="D349" s="304"/>
      <c r="E349" s="304"/>
    </row>
    <row r="350" spans="1:5" ht="12.65" customHeight="1">
      <c r="A350" s="304"/>
      <c r="B350" s="304"/>
      <c r="C350" s="312"/>
      <c r="D350" s="304"/>
      <c r="E350" s="304"/>
    </row>
    <row r="351" spans="1:5" ht="12.65" customHeight="1">
      <c r="A351" s="304"/>
      <c r="B351" s="304"/>
      <c r="C351" s="312"/>
      <c r="D351" s="304"/>
      <c r="E351" s="304"/>
    </row>
    <row r="352" spans="1:5" ht="12.65" customHeight="1">
      <c r="A352" s="304"/>
      <c r="B352" s="304"/>
      <c r="C352" s="312"/>
      <c r="D352" s="304"/>
      <c r="E352" s="304"/>
    </row>
    <row r="353" spans="1:5" ht="12.65" customHeight="1">
      <c r="A353" s="304"/>
      <c r="B353" s="304"/>
      <c r="C353" s="312"/>
      <c r="D353" s="304"/>
      <c r="E353" s="304"/>
    </row>
    <row r="354" spans="1:5" ht="12.65" customHeight="1">
      <c r="A354" s="304"/>
      <c r="B354" s="304"/>
      <c r="C354" s="312"/>
      <c r="D354" s="304"/>
      <c r="E354" s="304"/>
    </row>
    <row r="355" spans="1:5" ht="12.65" customHeight="1">
      <c r="A355" s="304"/>
      <c r="B355" s="304"/>
      <c r="C355" s="312"/>
      <c r="D355" s="304"/>
      <c r="E355" s="304"/>
    </row>
    <row r="356" spans="1:5" ht="20.25" customHeight="1">
      <c r="A356" s="304"/>
      <c r="B356" s="304"/>
      <c r="C356" s="312"/>
      <c r="D356" s="304"/>
      <c r="E356" s="304"/>
    </row>
    <row r="357" spans="1:5" ht="12.65" customHeight="1">
      <c r="A357" s="327" t="s">
        <v>426</v>
      </c>
      <c r="B357" s="327"/>
      <c r="C357" s="327"/>
      <c r="D357" s="327"/>
      <c r="E357" s="327"/>
    </row>
    <row r="358" spans="1:5" ht="12.65" customHeight="1">
      <c r="A358" s="335" t="s">
        <v>427</v>
      </c>
      <c r="B358" s="335"/>
      <c r="C358" s="335"/>
      <c r="D358" s="335"/>
      <c r="E358" s="335"/>
    </row>
    <row r="359" spans="1:5" ht="12.65" customHeight="1">
      <c r="A359" s="304" t="s">
        <v>428</v>
      </c>
      <c r="B359" s="328" t="s">
        <v>256</v>
      </c>
      <c r="C359" s="336">
        <f>11692258+42189681</f>
        <v>53881939</v>
      </c>
      <c r="D359" s="304"/>
      <c r="E359" s="304"/>
    </row>
    <row r="360" spans="1:5" ht="12.65" customHeight="1">
      <c r="A360" s="304" t="s">
        <v>429</v>
      </c>
      <c r="B360" s="328" t="s">
        <v>256</v>
      </c>
      <c r="C360" s="336">
        <v>87349117</v>
      </c>
      <c r="D360" s="304"/>
      <c r="E360" s="304"/>
    </row>
    <row r="361" spans="1:5" ht="12.65" customHeight="1">
      <c r="A361" s="304" t="s">
        <v>430</v>
      </c>
      <c r="B361" s="304"/>
      <c r="C361" s="312"/>
      <c r="D361" s="304">
        <f>SUM(C359:C360)</f>
        <v>141231056</v>
      </c>
      <c r="E361" s="304"/>
    </row>
    <row r="362" spans="1:5" ht="12.65" customHeight="1">
      <c r="A362" s="335" t="s">
        <v>431</v>
      </c>
      <c r="B362" s="335"/>
      <c r="C362" s="335"/>
      <c r="D362" s="335"/>
      <c r="E362" s="335"/>
    </row>
    <row r="363" spans="1:5" ht="12.65" customHeight="1">
      <c r="A363" s="304" t="s">
        <v>1255</v>
      </c>
      <c r="B363" s="335"/>
      <c r="C363" s="336">
        <v>887218</v>
      </c>
      <c r="D363" s="304"/>
      <c r="E363" s="335"/>
    </row>
    <row r="364" spans="1:5" ht="12.65" customHeight="1">
      <c r="A364" s="304" t="s">
        <v>432</v>
      </c>
      <c r="B364" s="328" t="s">
        <v>256</v>
      </c>
      <c r="C364" s="336">
        <f>40935943+1664479+1659656-24721+67944324+261697.04+120450.61+1230332.49+3838852.55+1</f>
        <v>117631014.69</v>
      </c>
      <c r="D364" s="304"/>
      <c r="E364" s="304"/>
    </row>
    <row r="365" spans="1:5" ht="12.65" customHeight="1">
      <c r="A365" s="304" t="s">
        <v>433</v>
      </c>
      <c r="B365" s="328" t="s">
        <v>256</v>
      </c>
      <c r="C365" s="336">
        <f>334601+453982.22</f>
        <v>788583.22</v>
      </c>
      <c r="D365" s="304"/>
      <c r="E365" s="304"/>
    </row>
    <row r="366" spans="1:5" ht="12.65" customHeight="1">
      <c r="A366" s="304" t="s">
        <v>434</v>
      </c>
      <c r="B366" s="328" t="s">
        <v>256</v>
      </c>
      <c r="C366" s="336">
        <v>5356.33</v>
      </c>
      <c r="D366" s="304"/>
      <c r="E366" s="304"/>
    </row>
    <row r="367" spans="1:5" ht="12.65" customHeight="1">
      <c r="A367" s="304" t="s">
        <v>359</v>
      </c>
      <c r="B367" s="304"/>
      <c r="C367" s="312"/>
      <c r="D367" s="304">
        <f>SUM(C363:C366)</f>
        <v>119312172.23999999</v>
      </c>
      <c r="E367" s="304"/>
    </row>
    <row r="368" spans="1:5" ht="12.65" customHeight="1">
      <c r="A368" s="304" t="s">
        <v>435</v>
      </c>
      <c r="B368" s="304"/>
      <c r="C368" s="312"/>
      <c r="D368" s="304">
        <f>D361-D367</f>
        <v>21918883.760000005</v>
      </c>
      <c r="E368" s="304"/>
    </row>
    <row r="369" spans="1:5" ht="12.65" customHeight="1">
      <c r="A369" s="335" t="s">
        <v>436</v>
      </c>
      <c r="B369" s="335"/>
      <c r="C369" s="335"/>
      <c r="D369" s="335"/>
      <c r="E369" s="335"/>
    </row>
    <row r="370" spans="1:5" ht="12.65" customHeight="1">
      <c r="A370" s="304" t="s">
        <v>437</v>
      </c>
      <c r="B370" s="328" t="s">
        <v>256</v>
      </c>
      <c r="C370" s="336">
        <v>48385</v>
      </c>
      <c r="D370" s="304"/>
      <c r="E370" s="304"/>
    </row>
    <row r="371" spans="1:5" ht="12.65" customHeight="1">
      <c r="A371" s="304" t="s">
        <v>438</v>
      </c>
      <c r="B371" s="328" t="s">
        <v>256</v>
      </c>
      <c r="C371" s="336">
        <v>0</v>
      </c>
      <c r="D371" s="304"/>
      <c r="E371" s="304"/>
    </row>
    <row r="372" spans="1:5" ht="12.65" customHeight="1">
      <c r="A372" s="304" t="s">
        <v>439</v>
      </c>
      <c r="B372" s="304"/>
      <c r="C372" s="312"/>
      <c r="D372" s="304">
        <f>SUM(C370:C371)</f>
        <v>48385</v>
      </c>
      <c r="E372" s="304"/>
    </row>
    <row r="373" spans="1:5" ht="12.65" customHeight="1">
      <c r="A373" s="304" t="s">
        <v>440</v>
      </c>
      <c r="B373" s="304"/>
      <c r="C373" s="312"/>
      <c r="D373" s="304">
        <f>D368+D372</f>
        <v>21967268.760000005</v>
      </c>
      <c r="E373" s="304"/>
    </row>
    <row r="374" spans="1:5" ht="12.65" customHeight="1">
      <c r="A374" s="304"/>
      <c r="B374" s="304"/>
      <c r="C374" s="312"/>
      <c r="D374" s="304"/>
      <c r="E374" s="304"/>
    </row>
    <row r="375" spans="1:5" ht="12.65" customHeight="1">
      <c r="A375" s="304"/>
      <c r="B375" s="304"/>
      <c r="C375" s="312"/>
      <c r="D375" s="304"/>
      <c r="E375" s="304"/>
    </row>
    <row r="376" spans="1:5" ht="12.65" customHeight="1">
      <c r="A376" s="304"/>
      <c r="B376" s="304"/>
      <c r="C376" s="312"/>
      <c r="D376" s="304"/>
      <c r="E376" s="304"/>
    </row>
    <row r="377" spans="1:5" ht="12.65" customHeight="1">
      <c r="A377" s="335" t="s">
        <v>441</v>
      </c>
      <c r="B377" s="335"/>
      <c r="C377" s="335"/>
      <c r="D377" s="335"/>
      <c r="E377" s="335"/>
    </row>
    <row r="378" spans="1:5" ht="12.65" customHeight="1">
      <c r="A378" s="304" t="s">
        <v>442</v>
      </c>
      <c r="B378" s="328" t="s">
        <v>256</v>
      </c>
      <c r="C378" s="336">
        <v>9508095</v>
      </c>
      <c r="D378" s="304"/>
      <c r="E378" s="304"/>
    </row>
    <row r="379" spans="1:5" ht="12.65" customHeight="1">
      <c r="A379" s="304" t="s">
        <v>3</v>
      </c>
      <c r="B379" s="328" t="s">
        <v>256</v>
      </c>
      <c r="C379" s="336">
        <v>1845898</v>
      </c>
      <c r="D379" s="304"/>
      <c r="E379" s="304"/>
    </row>
    <row r="380" spans="1:5" ht="12.65" customHeight="1">
      <c r="A380" s="304" t="s">
        <v>236</v>
      </c>
      <c r="B380" s="328" t="s">
        <v>256</v>
      </c>
      <c r="C380" s="336">
        <v>1339041</v>
      </c>
      <c r="D380" s="304"/>
      <c r="E380" s="304"/>
    </row>
    <row r="381" spans="1:5" ht="12.65" customHeight="1">
      <c r="A381" s="304" t="s">
        <v>443</v>
      </c>
      <c r="B381" s="328" t="s">
        <v>256</v>
      </c>
      <c r="C381" s="336">
        <v>4057074</v>
      </c>
      <c r="D381" s="304"/>
      <c r="E381" s="304"/>
    </row>
    <row r="382" spans="1:5" ht="12.65" customHeight="1">
      <c r="A382" s="304" t="s">
        <v>444</v>
      </c>
      <c r="B382" s="328" t="s">
        <v>256</v>
      </c>
      <c r="C382" s="336">
        <v>248783</v>
      </c>
      <c r="D382" s="304"/>
      <c r="E382" s="304"/>
    </row>
    <row r="383" spans="1:5" ht="12.65" customHeight="1">
      <c r="A383" s="304" t="s">
        <v>445</v>
      </c>
      <c r="B383" s="328" t="s">
        <v>256</v>
      </c>
      <c r="C383" s="336">
        <v>2758397</v>
      </c>
      <c r="D383" s="304"/>
      <c r="E383" s="304"/>
    </row>
    <row r="384" spans="1:5" ht="12.65" customHeight="1">
      <c r="A384" s="304" t="s">
        <v>6</v>
      </c>
      <c r="B384" s="328" t="s">
        <v>256</v>
      </c>
      <c r="C384" s="336">
        <v>0</v>
      </c>
      <c r="D384" s="304"/>
      <c r="E384" s="304"/>
    </row>
    <row r="385" spans="1:6" ht="12.65" customHeight="1">
      <c r="A385" s="304" t="s">
        <v>446</v>
      </c>
      <c r="B385" s="328" t="s">
        <v>256</v>
      </c>
      <c r="C385" s="336">
        <v>621444</v>
      </c>
      <c r="D385" s="304"/>
      <c r="E385" s="304"/>
    </row>
    <row r="386" spans="1:6" ht="12.65" customHeight="1">
      <c r="A386" s="304" t="s">
        <v>447</v>
      </c>
      <c r="B386" s="328" t="s">
        <v>256</v>
      </c>
      <c r="C386" s="336">
        <v>111932</v>
      </c>
      <c r="D386" s="304"/>
      <c r="E386" s="304"/>
    </row>
    <row r="387" spans="1:6" ht="12.65" customHeight="1">
      <c r="A387" s="304" t="s">
        <v>448</v>
      </c>
      <c r="B387" s="328" t="s">
        <v>256</v>
      </c>
      <c r="C387" s="336">
        <v>1162192</v>
      </c>
      <c r="D387" s="304"/>
      <c r="E387" s="304"/>
    </row>
    <row r="388" spans="1:6" ht="12.65" customHeight="1">
      <c r="A388" s="304" t="s">
        <v>449</v>
      </c>
      <c r="B388" s="328" t="s">
        <v>256</v>
      </c>
      <c r="C388" s="336">
        <v>2513722</v>
      </c>
      <c r="D388" s="304"/>
      <c r="E388" s="304"/>
    </row>
    <row r="389" spans="1:6" ht="12.65" customHeight="1">
      <c r="A389" s="304" t="s">
        <v>451</v>
      </c>
      <c r="B389" s="328" t="s">
        <v>256</v>
      </c>
      <c r="C389" s="336">
        <f>1203195+950363-2919432-345+572486-497778-3</f>
        <v>-691514</v>
      </c>
      <c r="D389" s="304"/>
      <c r="E389" s="304"/>
    </row>
    <row r="390" spans="1:6" ht="12.65" customHeight="1">
      <c r="A390" s="304" t="s">
        <v>452</v>
      </c>
      <c r="B390" s="304"/>
      <c r="C390" s="312"/>
      <c r="D390" s="304">
        <f>SUM(C378:C389)</f>
        <v>23475064</v>
      </c>
      <c r="E390" s="304"/>
    </row>
    <row r="391" spans="1:6" ht="12.65" customHeight="1">
      <c r="A391" s="304" t="s">
        <v>453</v>
      </c>
      <c r="B391" s="304"/>
      <c r="C391" s="312"/>
      <c r="D391" s="304">
        <f>D373-D390</f>
        <v>-1507795.2399999946</v>
      </c>
      <c r="E391" s="304"/>
    </row>
    <row r="392" spans="1:6" ht="12.65" customHeight="1">
      <c r="A392" s="304" t="s">
        <v>454</v>
      </c>
      <c r="B392" s="328" t="s">
        <v>256</v>
      </c>
      <c r="C392" s="336">
        <v>0</v>
      </c>
      <c r="D392" s="304"/>
      <c r="E392" s="304"/>
    </row>
    <row r="393" spans="1:6" ht="12.65" customHeight="1">
      <c r="A393" s="304" t="s">
        <v>455</v>
      </c>
      <c r="B393" s="304"/>
      <c r="C393" s="312"/>
      <c r="D393" s="304">
        <f>D391+C392</f>
        <v>-1507795.2399999946</v>
      </c>
      <c r="E393" s="304"/>
      <c r="F393" s="348"/>
    </row>
    <row r="394" spans="1:6" ht="12.65" customHeight="1">
      <c r="A394" s="304" t="s">
        <v>456</v>
      </c>
      <c r="B394" s="328" t="s">
        <v>256</v>
      </c>
      <c r="C394" s="336">
        <v>0</v>
      </c>
      <c r="D394" s="304"/>
      <c r="E394" s="304"/>
    </row>
    <row r="395" spans="1:6" ht="12.65" customHeight="1">
      <c r="A395" s="304" t="s">
        <v>457</v>
      </c>
      <c r="B395" s="328" t="s">
        <v>256</v>
      </c>
      <c r="C395" s="336">
        <v>0</v>
      </c>
      <c r="D395" s="304"/>
      <c r="E395" s="304"/>
    </row>
    <row r="396" spans="1:6" ht="12.65" customHeight="1">
      <c r="A396" s="304" t="s">
        <v>458</v>
      </c>
      <c r="B396" s="304"/>
      <c r="C396" s="312"/>
      <c r="D396" s="304">
        <f>D393+C394-C395</f>
        <v>-1507795.2399999946</v>
      </c>
      <c r="E396" s="304"/>
    </row>
    <row r="397" spans="1:6" ht="13.5" customHeight="1"/>
    <row r="400" spans="1:6" ht="12" customHeight="1"/>
    <row r="401" spans="1:5" ht="12" customHeight="1"/>
    <row r="402" spans="1:5" ht="12" customHeight="1"/>
    <row r="403" spans="1:5" ht="12" customHeight="1"/>
    <row r="404" spans="1:5" ht="12" customHeight="1"/>
    <row r="411" spans="1:5" ht="12.65" customHeight="1">
      <c r="C411" s="303" t="s">
        <v>459</v>
      </c>
      <c r="E411" s="349"/>
    </row>
    <row r="412" spans="1:5" ht="12.65" customHeight="1">
      <c r="A412" s="2" t="str">
        <f>C84&amp;"   "&amp;"H-"&amp;FIXED(C83,0,TRUE)&amp;"     FYE "&amp;C82</f>
        <v>Capital Medical Center   H-197     FYE 3/31/21</v>
      </c>
      <c r="E412" s="349"/>
    </row>
    <row r="413" spans="1:5" ht="12.65" customHeight="1">
      <c r="A413" s="2" t="s">
        <v>460</v>
      </c>
      <c r="B413" s="303" t="s">
        <v>461</v>
      </c>
      <c r="C413" s="303" t="s">
        <v>1243</v>
      </c>
      <c r="D413" s="303" t="s">
        <v>462</v>
      </c>
    </row>
    <row r="414" spans="1:5" ht="12.65" customHeight="1">
      <c r="A414" s="2" t="s">
        <v>463</v>
      </c>
      <c r="B414" s="2">
        <f>C111</f>
        <v>844</v>
      </c>
      <c r="C414" s="2">
        <f>E138</f>
        <v>844</v>
      </c>
    </row>
    <row r="415" spans="1:5" ht="12.65" customHeight="1">
      <c r="A415" s="2" t="s">
        <v>464</v>
      </c>
      <c r="B415" s="2">
        <f>D111</f>
        <v>2704</v>
      </c>
      <c r="C415" s="2">
        <f>E139</f>
        <v>2704</v>
      </c>
      <c r="D415" s="2">
        <f>SUM(C59:H59)+N59</f>
        <v>2576</v>
      </c>
    </row>
    <row r="417" spans="1:7" ht="12.65" customHeight="1">
      <c r="A417" s="2" t="s">
        <v>465</v>
      </c>
      <c r="B417" s="2">
        <f>C112</f>
        <v>0</v>
      </c>
      <c r="C417" s="2">
        <f>E144</f>
        <v>0</v>
      </c>
    </row>
    <row r="418" spans="1:7" ht="12.65" customHeight="1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</row>
    <row r="420" spans="1:7" ht="12.65" customHeight="1">
      <c r="A420" s="2" t="s">
        <v>467</v>
      </c>
      <c r="B420" s="2">
        <f>C113</f>
        <v>0</v>
      </c>
      <c r="C420" s="2">
        <f>E150</f>
        <v>0</v>
      </c>
    </row>
    <row r="421" spans="1:7" ht="12.65" customHeight="1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>
      <c r="A422" s="350"/>
      <c r="B422" s="350"/>
      <c r="C422" s="303"/>
    </row>
    <row r="423" spans="1:7" ht="12.65" customHeight="1">
      <c r="A423" s="2" t="s">
        <v>469</v>
      </c>
      <c r="B423" s="2">
        <f>C114</f>
        <v>150</v>
      </c>
    </row>
    <row r="424" spans="1:7" ht="12.65" customHeight="1">
      <c r="A424" s="2" t="s">
        <v>1244</v>
      </c>
      <c r="B424" s="2">
        <f>D114</f>
        <v>217</v>
      </c>
      <c r="D424" s="2">
        <f>J59</f>
        <v>233</v>
      </c>
    </row>
    <row r="425" spans="1:7" ht="12.65" customHeight="1">
      <c r="A425" s="350"/>
      <c r="B425" s="350"/>
      <c r="C425" s="350"/>
      <c r="D425" s="350"/>
      <c r="F425" s="350"/>
      <c r="G425" s="350"/>
    </row>
    <row r="426" spans="1:7" ht="12.65" customHeight="1">
      <c r="A426" s="2" t="s">
        <v>470</v>
      </c>
      <c r="B426" s="303" t="s">
        <v>471</v>
      </c>
      <c r="C426" s="303" t="s">
        <v>462</v>
      </c>
      <c r="D426" s="303" t="s">
        <v>472</v>
      </c>
    </row>
    <row r="427" spans="1:7" ht="12.65" customHeight="1">
      <c r="A427" s="2" t="s">
        <v>473</v>
      </c>
      <c r="B427" s="2">
        <f t="shared" ref="B427:B437" si="14">C378</f>
        <v>9508095</v>
      </c>
      <c r="C427" s="2">
        <f t="shared" ref="C427:C434" si="15">CE61</f>
        <v>9508101</v>
      </c>
    </row>
    <row r="428" spans="1:7" ht="12.65" customHeight="1">
      <c r="A428" s="2" t="s">
        <v>3</v>
      </c>
      <c r="B428" s="2">
        <f t="shared" si="14"/>
        <v>1845898</v>
      </c>
      <c r="C428" s="2">
        <f t="shared" si="15"/>
        <v>2996448</v>
      </c>
      <c r="D428" s="2">
        <f>D173</f>
        <v>1845897</v>
      </c>
    </row>
    <row r="429" spans="1:7" ht="12.65" customHeight="1">
      <c r="A429" s="2" t="s">
        <v>236</v>
      </c>
      <c r="B429" s="2">
        <f t="shared" si="14"/>
        <v>1339041</v>
      </c>
      <c r="C429" s="2">
        <f t="shared" si="15"/>
        <v>1339041</v>
      </c>
    </row>
    <row r="430" spans="1:7" ht="12.65" customHeight="1">
      <c r="A430" s="2" t="s">
        <v>237</v>
      </c>
      <c r="B430" s="2">
        <f t="shared" si="14"/>
        <v>4057074</v>
      </c>
      <c r="C430" s="2">
        <f t="shared" si="15"/>
        <v>4057080</v>
      </c>
    </row>
    <row r="431" spans="1:7" ht="12.65" customHeight="1">
      <c r="A431" s="2" t="s">
        <v>444</v>
      </c>
      <c r="B431" s="2">
        <f t="shared" si="14"/>
        <v>248783</v>
      </c>
      <c r="C431" s="2">
        <f t="shared" si="15"/>
        <v>248782</v>
      </c>
    </row>
    <row r="432" spans="1:7" ht="12.65" customHeight="1">
      <c r="A432" s="2" t="s">
        <v>445</v>
      </c>
      <c r="B432" s="2">
        <f t="shared" si="14"/>
        <v>2758397</v>
      </c>
      <c r="C432" s="2">
        <f t="shared" si="15"/>
        <v>2758399</v>
      </c>
    </row>
    <row r="433" spans="1:7" ht="12.65" customHeight="1">
      <c r="A433" s="2" t="s">
        <v>6</v>
      </c>
      <c r="B433" s="2">
        <f t="shared" si="14"/>
        <v>0</v>
      </c>
      <c r="C433" s="2">
        <f t="shared" si="15"/>
        <v>0</v>
      </c>
      <c r="D433" s="2">
        <f>C217</f>
        <v>0</v>
      </c>
    </row>
    <row r="434" spans="1:7" ht="12.65" customHeight="1">
      <c r="A434" s="2" t="s">
        <v>474</v>
      </c>
      <c r="B434" s="2">
        <f t="shared" si="14"/>
        <v>621444</v>
      </c>
      <c r="C434" s="2">
        <f t="shared" si="15"/>
        <v>621446</v>
      </c>
      <c r="D434" s="2">
        <f>D177</f>
        <v>621443</v>
      </c>
    </row>
    <row r="435" spans="1:7" ht="12.65" customHeight="1">
      <c r="A435" s="2" t="s">
        <v>447</v>
      </c>
      <c r="B435" s="2">
        <f t="shared" si="14"/>
        <v>111932</v>
      </c>
      <c r="D435" s="2">
        <f>D181</f>
        <v>111931</v>
      </c>
    </row>
    <row r="436" spans="1:7" ht="12.65" customHeight="1">
      <c r="A436" s="2" t="s">
        <v>475</v>
      </c>
      <c r="B436" s="2">
        <f t="shared" si="14"/>
        <v>1162192</v>
      </c>
      <c r="D436" s="2">
        <f>D186</f>
        <v>1162191.8700000001</v>
      </c>
    </row>
    <row r="437" spans="1:7" ht="12.65" customHeight="1">
      <c r="A437" s="2" t="s">
        <v>449</v>
      </c>
      <c r="B437" s="2">
        <f t="shared" si="14"/>
        <v>2513722</v>
      </c>
      <c r="D437" s="2">
        <f>D190</f>
        <v>2513722</v>
      </c>
    </row>
    <row r="438" spans="1:7" ht="12.65" customHeight="1">
      <c r="A438" s="2" t="s">
        <v>476</v>
      </c>
      <c r="B438" s="2">
        <f>C386+C387+C388</f>
        <v>3787846</v>
      </c>
      <c r="C438" s="2">
        <f>CD69</f>
        <v>0</v>
      </c>
      <c r="D438" s="2">
        <f>D181+D186+D190</f>
        <v>3787844.87</v>
      </c>
    </row>
    <row r="439" spans="1:7" ht="12.65" customHeight="1">
      <c r="A439" s="2" t="s">
        <v>451</v>
      </c>
      <c r="B439" s="2">
        <f>C389</f>
        <v>-691514</v>
      </c>
      <c r="C439" s="2">
        <f>SUM(C69:CC69)</f>
        <v>3168506</v>
      </c>
    </row>
    <row r="440" spans="1:7" ht="12.65" customHeight="1">
      <c r="A440" s="2" t="s">
        <v>477</v>
      </c>
      <c r="B440" s="2">
        <f>B438+B439</f>
        <v>3096332</v>
      </c>
      <c r="C440" s="2">
        <f>CE69</f>
        <v>3168506</v>
      </c>
    </row>
    <row r="441" spans="1:7" ht="12.65" customHeight="1">
      <c r="A441" s="2" t="s">
        <v>478</v>
      </c>
      <c r="B441" s="2">
        <f>D390</f>
        <v>23475064</v>
      </c>
      <c r="C441" s="2">
        <f>SUM(C427:C437)+C440</f>
        <v>24697803</v>
      </c>
    </row>
    <row r="442" spans="1:7" ht="12.65" customHeight="1">
      <c r="A442" s="350"/>
      <c r="B442" s="350"/>
      <c r="C442" s="350"/>
      <c r="D442" s="350"/>
      <c r="F442" s="350"/>
      <c r="G442" s="350"/>
    </row>
    <row r="443" spans="1:7" ht="12.65" customHeight="1">
      <c r="A443" s="2" t="s">
        <v>479</v>
      </c>
      <c r="B443" s="303" t="s">
        <v>480</v>
      </c>
      <c r="C443" s="303" t="s">
        <v>471</v>
      </c>
    </row>
    <row r="444" spans="1:7" ht="12.65" customHeight="1">
      <c r="A444" s="2" t="s">
        <v>1257</v>
      </c>
      <c r="B444" s="2">
        <f>D221</f>
        <v>887218</v>
      </c>
      <c r="C444" s="2">
        <f>C363</f>
        <v>887218</v>
      </c>
    </row>
    <row r="445" spans="1:7" ht="12.65" customHeight="1">
      <c r="A445" s="2" t="s">
        <v>343</v>
      </c>
      <c r="B445" s="2">
        <f>D229</f>
        <v>118090352.34</v>
      </c>
      <c r="C445" s="2">
        <f>C364</f>
        <v>117631014.69</v>
      </c>
    </row>
    <row r="446" spans="1:7" ht="12.65" customHeight="1">
      <c r="A446" s="2" t="s">
        <v>351</v>
      </c>
      <c r="B446" s="2">
        <f>D236</f>
        <v>334600.2</v>
      </c>
      <c r="C446" s="2">
        <f>C365</f>
        <v>788583.22</v>
      </c>
    </row>
    <row r="447" spans="1:7" ht="12.65" customHeight="1">
      <c r="A447" s="2" t="s">
        <v>356</v>
      </c>
      <c r="B447" s="2">
        <f>D240</f>
        <v>0</v>
      </c>
      <c r="C447" s="2">
        <f>C366</f>
        <v>5356.33</v>
      </c>
    </row>
    <row r="448" spans="1:7" ht="12.65" customHeight="1">
      <c r="A448" s="2" t="s">
        <v>358</v>
      </c>
      <c r="B448" s="2">
        <f>D242</f>
        <v>119312170.54000001</v>
      </c>
      <c r="C448" s="2">
        <f>D367</f>
        <v>119312172.23999999</v>
      </c>
    </row>
    <row r="449" spans="1:7" ht="12.65" customHeight="1">
      <c r="A449" s="350"/>
      <c r="B449" s="350"/>
      <c r="C449" s="350"/>
      <c r="D449" s="350"/>
      <c r="F449" s="350"/>
      <c r="G449" s="350"/>
    </row>
    <row r="450" spans="1:7" ht="12.65" customHeight="1">
      <c r="A450" s="2" t="s">
        <v>481</v>
      </c>
      <c r="B450" s="303" t="s">
        <v>482</v>
      </c>
      <c r="C450" s="350"/>
      <c r="D450" s="350"/>
      <c r="F450" s="350"/>
      <c r="G450" s="350"/>
    </row>
    <row r="451" spans="1:7" ht="12.65" customHeight="1">
      <c r="B451" s="303" t="s">
        <v>483</v>
      </c>
    </row>
    <row r="452" spans="1:7" ht="12.65" customHeight="1">
      <c r="B452" s="303" t="s">
        <v>472</v>
      </c>
    </row>
    <row r="453" spans="1:7" ht="12.65" customHeight="1">
      <c r="A453" s="290" t="s">
        <v>484</v>
      </c>
      <c r="B453" s="2">
        <f>C231</f>
        <v>0</v>
      </c>
    </row>
    <row r="454" spans="1:7" ht="12.65" customHeight="1">
      <c r="A454" s="2" t="s">
        <v>168</v>
      </c>
      <c r="B454" s="2">
        <f>C233</f>
        <v>70926.06</v>
      </c>
    </row>
    <row r="455" spans="1:7" ht="12.65" customHeight="1">
      <c r="A455" s="2" t="s">
        <v>131</v>
      </c>
      <c r="B455" s="2">
        <f>C234</f>
        <v>263674.14</v>
      </c>
    </row>
    <row r="456" spans="1:7" ht="12.65" customHeight="1">
      <c r="A456" s="350"/>
      <c r="B456" s="350"/>
      <c r="C456" s="350"/>
      <c r="D456" s="350"/>
      <c r="F456" s="350"/>
      <c r="G456" s="350"/>
    </row>
    <row r="457" spans="1:7" ht="12.65" customHeight="1">
      <c r="A457" s="2" t="s">
        <v>485</v>
      </c>
      <c r="B457" s="303" t="s">
        <v>471</v>
      </c>
      <c r="C457" s="303" t="s">
        <v>486</v>
      </c>
    </row>
    <row r="458" spans="1:7" ht="12.65" customHeight="1">
      <c r="A458" s="2" t="s">
        <v>487</v>
      </c>
      <c r="B458" s="2">
        <f>C370</f>
        <v>48385</v>
      </c>
      <c r="C458" s="2">
        <f>CE70</f>
        <v>0</v>
      </c>
    </row>
    <row r="459" spans="1:7" ht="12.65" customHeight="1">
      <c r="A459" s="2" t="s">
        <v>244</v>
      </c>
      <c r="B459" s="2">
        <f>C371</f>
        <v>0</v>
      </c>
      <c r="C459" s="2">
        <f>CE72</f>
        <v>0</v>
      </c>
    </row>
    <row r="460" spans="1:7" ht="12.65" customHeight="1">
      <c r="A460" s="350"/>
      <c r="B460" s="350"/>
      <c r="C460" s="350"/>
      <c r="D460" s="350"/>
      <c r="F460" s="350"/>
      <c r="G460" s="350"/>
    </row>
    <row r="461" spans="1:7" ht="12.65" customHeight="1">
      <c r="A461" s="2" t="s">
        <v>488</v>
      </c>
      <c r="B461" s="303"/>
      <c r="C461" s="303"/>
      <c r="D461" s="303" t="s">
        <v>1245</v>
      </c>
    </row>
    <row r="462" spans="1:7" ht="12.65" customHeight="1">
      <c r="B462" s="303" t="s">
        <v>471</v>
      </c>
      <c r="C462" s="303" t="s">
        <v>486</v>
      </c>
      <c r="D462" s="303" t="s">
        <v>490</v>
      </c>
    </row>
    <row r="463" spans="1:7" ht="12.65" customHeight="1">
      <c r="A463" s="2" t="s">
        <v>245</v>
      </c>
      <c r="B463" s="2">
        <f>C359</f>
        <v>53881939</v>
      </c>
      <c r="C463" s="2">
        <f>CE73</f>
        <v>53930323</v>
      </c>
      <c r="D463" s="2">
        <f>E141+E147+E153</f>
        <v>53881939</v>
      </c>
    </row>
    <row r="464" spans="1:7" ht="12.65" customHeight="1">
      <c r="A464" s="2" t="s">
        <v>246</v>
      </c>
      <c r="B464" s="2">
        <f>C360</f>
        <v>87349117</v>
      </c>
      <c r="C464" s="2">
        <f>CE74</f>
        <v>87349119</v>
      </c>
      <c r="D464" s="2">
        <f>E142+E148+E154</f>
        <v>87349117</v>
      </c>
    </row>
    <row r="465" spans="1:7" ht="12.65" customHeight="1">
      <c r="A465" s="2" t="s">
        <v>247</v>
      </c>
      <c r="B465" s="2">
        <f>D361</f>
        <v>141231056</v>
      </c>
      <c r="C465" s="2">
        <f>CE75</f>
        <v>141279442</v>
      </c>
      <c r="D465" s="2">
        <f>D463+D464</f>
        <v>141231056</v>
      </c>
    </row>
    <row r="466" spans="1:7" ht="12.65" customHeight="1">
      <c r="A466" s="350"/>
      <c r="B466" s="350"/>
      <c r="C466" s="350"/>
      <c r="D466" s="350"/>
      <c r="F466" s="350"/>
      <c r="G466" s="350"/>
    </row>
    <row r="467" spans="1:7" ht="12.65" customHeight="1">
      <c r="A467" s="2" t="s">
        <v>491</v>
      </c>
      <c r="B467" s="303" t="s">
        <v>492</v>
      </c>
      <c r="C467" s="303" t="s">
        <v>493</v>
      </c>
    </row>
    <row r="468" spans="1:7" ht="12.65" customHeight="1">
      <c r="A468" s="2" t="s">
        <v>332</v>
      </c>
      <c r="B468" s="2">
        <f t="shared" ref="B468:B475" si="16">C267</f>
        <v>3160000</v>
      </c>
      <c r="C468" s="2">
        <f>E195</f>
        <v>3160000</v>
      </c>
    </row>
    <row r="469" spans="1:7" ht="12.65" customHeight="1">
      <c r="A469" s="2" t="s">
        <v>333</v>
      </c>
      <c r="B469" s="2">
        <f t="shared" si="16"/>
        <v>710000</v>
      </c>
      <c r="C469" s="2">
        <f>E196</f>
        <v>710000</v>
      </c>
    </row>
    <row r="470" spans="1:7" ht="12.65" customHeight="1">
      <c r="A470" s="2" t="s">
        <v>334</v>
      </c>
      <c r="B470" s="2">
        <f t="shared" si="16"/>
        <v>44944891</v>
      </c>
      <c r="C470" s="2">
        <f>E197</f>
        <v>38437221</v>
      </c>
    </row>
    <row r="471" spans="1:7" ht="12.65" customHeight="1">
      <c r="A471" s="2" t="s">
        <v>494</v>
      </c>
      <c r="B471" s="2">
        <f t="shared" si="16"/>
        <v>21305026</v>
      </c>
      <c r="C471" s="2">
        <f>E198</f>
        <v>0</v>
      </c>
    </row>
    <row r="472" spans="1:7" ht="12.65" customHeight="1">
      <c r="A472" s="2" t="s">
        <v>377</v>
      </c>
      <c r="B472" s="2">
        <f t="shared" si="16"/>
        <v>0</v>
      </c>
      <c r="C472" s="2">
        <f>E199</f>
        <v>21317338</v>
      </c>
    </row>
    <row r="473" spans="1:7" ht="12.65" customHeight="1">
      <c r="A473" s="2" t="s">
        <v>495</v>
      </c>
      <c r="B473" s="2">
        <f t="shared" si="16"/>
        <v>18964693</v>
      </c>
      <c r="C473" s="2">
        <f>SUM(E200:E201)</f>
        <v>22943161</v>
      </c>
    </row>
    <row r="474" spans="1:7" ht="12.65" customHeight="1">
      <c r="A474" s="2" t="s">
        <v>339</v>
      </c>
      <c r="B474" s="2">
        <f t="shared" si="16"/>
        <v>2004656</v>
      </c>
      <c r="C474" s="2">
        <f>E202</f>
        <v>4521546</v>
      </c>
    </row>
    <row r="475" spans="1:7" ht="12.65" customHeight="1">
      <c r="A475" s="2" t="s">
        <v>340</v>
      </c>
      <c r="B475" s="2">
        <f t="shared" si="16"/>
        <v>982323</v>
      </c>
      <c r="C475" s="2">
        <f>E203</f>
        <v>982322</v>
      </c>
    </row>
    <row r="476" spans="1:7" ht="12.65" customHeight="1">
      <c r="A476" s="2" t="s">
        <v>203</v>
      </c>
      <c r="B476" s="2">
        <f>D275</f>
        <v>92071589</v>
      </c>
      <c r="C476" s="2">
        <f>E204</f>
        <v>92071588</v>
      </c>
    </row>
    <row r="478" spans="1:7" ht="12.65" customHeight="1">
      <c r="A478" s="2" t="s">
        <v>496</v>
      </c>
      <c r="B478" s="2">
        <f>C276</f>
        <v>24120505</v>
      </c>
      <c r="C478" s="2">
        <f>E217</f>
        <v>24120505</v>
      </c>
    </row>
    <row r="480" spans="1:7" ht="12.65" customHeight="1">
      <c r="A480" s="2" t="s">
        <v>497</v>
      </c>
    </row>
    <row r="481" spans="1:12" ht="12.65" customHeight="1">
      <c r="A481" s="2" t="s">
        <v>498</v>
      </c>
      <c r="C481" s="2">
        <f>D341</f>
        <v>86713897</v>
      </c>
    </row>
    <row r="482" spans="1:12" ht="12.65" customHeight="1">
      <c r="A482" s="2" t="s">
        <v>499</v>
      </c>
      <c r="C482" s="2">
        <f>D339</f>
        <v>103912391</v>
      </c>
    </row>
    <row r="485" spans="1:12" ht="12.65" customHeight="1">
      <c r="A485" s="290" t="s">
        <v>500</v>
      </c>
    </row>
    <row r="486" spans="1:12" ht="12.65" customHeight="1">
      <c r="A486" s="290" t="s">
        <v>501</v>
      </c>
    </row>
    <row r="487" spans="1:12" ht="12.65" customHeight="1">
      <c r="A487" s="290" t="s">
        <v>502</v>
      </c>
    </row>
    <row r="488" spans="1:12" ht="12.65" customHeight="1">
      <c r="A488" s="290"/>
    </row>
    <row r="489" spans="1:12" ht="12.65" customHeight="1">
      <c r="A489" s="288" t="s">
        <v>503</v>
      </c>
    </row>
    <row r="490" spans="1:12" ht="12.65" customHeight="1">
      <c r="A490" s="290" t="s">
        <v>504</v>
      </c>
    </row>
    <row r="491" spans="1:12" ht="12.65" customHeight="1">
      <c r="A491" s="290"/>
    </row>
    <row r="493" spans="1:12" ht="12.65" customHeight="1">
      <c r="A493" s="2">
        <f>C83</f>
        <v>197</v>
      </c>
      <c r="B493" s="351" t="e">
        <f>RIGHT(#REF!,4)</f>
        <v>#REF!</v>
      </c>
      <c r="C493" s="351" t="str">
        <f>RIGHT(C82,4)</f>
        <v>1/21</v>
      </c>
      <c r="D493" s="351" t="e">
        <f>RIGHT(#REF!,4)</f>
        <v>#REF!</v>
      </c>
      <c r="E493" s="351" t="str">
        <f>RIGHT(C82,4)</f>
        <v>1/21</v>
      </c>
      <c r="F493" s="351" t="e">
        <f>RIGHT(#REF!,4)</f>
        <v>#REF!</v>
      </c>
      <c r="G493" s="351" t="str">
        <f>RIGHT(C82,4)</f>
        <v>1/21</v>
      </c>
      <c r="H493" s="351"/>
      <c r="K493" s="351"/>
      <c r="L493" s="351"/>
    </row>
    <row r="494" spans="1:12" ht="12.65" customHeight="1">
      <c r="A494" s="288"/>
      <c r="B494" s="303" t="s">
        <v>505</v>
      </c>
      <c r="C494" s="303" t="s">
        <v>505</v>
      </c>
      <c r="D494" s="352" t="s">
        <v>506</v>
      </c>
      <c r="E494" s="352" t="s">
        <v>506</v>
      </c>
      <c r="F494" s="351" t="s">
        <v>507</v>
      </c>
      <c r="G494" s="351" t="s">
        <v>507</v>
      </c>
      <c r="H494" s="351" t="s">
        <v>508</v>
      </c>
      <c r="K494" s="351"/>
      <c r="L494" s="351"/>
    </row>
    <row r="495" spans="1:12" ht="12.65" customHeight="1">
      <c r="B495" s="303" t="s">
        <v>303</v>
      </c>
      <c r="C495" s="303" t="s">
        <v>303</v>
      </c>
      <c r="D495" s="303" t="s">
        <v>509</v>
      </c>
      <c r="E495" s="303" t="s">
        <v>509</v>
      </c>
      <c r="F495" s="351" t="s">
        <v>510</v>
      </c>
      <c r="G495" s="351" t="s">
        <v>510</v>
      </c>
      <c r="H495" s="351" t="s">
        <v>511</v>
      </c>
      <c r="K495" s="351"/>
      <c r="L495" s="351"/>
    </row>
    <row r="496" spans="1:12" ht="12.65" customHeight="1">
      <c r="A496" s="2" t="s">
        <v>512</v>
      </c>
      <c r="B496" s="299" t="e">
        <f>#REF!</f>
        <v>#REF!</v>
      </c>
      <c r="C496" s="299">
        <f>C71</f>
        <v>1830541</v>
      </c>
      <c r="D496" s="299" t="e">
        <f>#REF!</f>
        <v>#REF!</v>
      </c>
      <c r="E496" s="2">
        <f>C59</f>
        <v>1382</v>
      </c>
      <c r="F496" s="353" t="e">
        <f t="shared" ref="F496:F540" si="17">IF(B496=0,"",IF(D496=0,"",B496/D496))</f>
        <v>#REF!</v>
      </c>
      <c r="G496" s="353">
        <f t="shared" ref="G496:G540" si="18">IF(C496=0,"",IF(E496=0,"",C496/E496))</f>
        <v>1324.5593342981188</v>
      </c>
      <c r="H496" s="354" t="e">
        <f t="shared" ref="H496:H540" si="19">IF(B496=0,"",IF(C496=0,"",IF(D496=0,"",IF(E496=0,"",IF(G496/F496-1&lt;-0.25,G496/F496-1,IF(G496/F496-1&gt;0.25,G496/F496-1,""))))))</f>
        <v>#REF!</v>
      </c>
      <c r="I496" s="265"/>
      <c r="K496" s="351"/>
      <c r="L496" s="351"/>
    </row>
    <row r="497" spans="1:12" ht="12.65" customHeight="1">
      <c r="A497" s="2" t="s">
        <v>513</v>
      </c>
      <c r="B497" s="299" t="e">
        <f>#REF!</f>
        <v>#REF!</v>
      </c>
      <c r="C497" s="299">
        <f>D71</f>
        <v>0</v>
      </c>
      <c r="D497" s="299" t="e">
        <f>#REF!</f>
        <v>#REF!</v>
      </c>
      <c r="E497" s="2">
        <f>D59</f>
        <v>0</v>
      </c>
      <c r="F497" s="353" t="e">
        <f t="shared" si="17"/>
        <v>#REF!</v>
      </c>
      <c r="G497" s="353" t="str">
        <f t="shared" si="18"/>
        <v/>
      </c>
      <c r="H497" s="354" t="e">
        <f t="shared" si="19"/>
        <v>#REF!</v>
      </c>
      <c r="I497" s="265"/>
      <c r="K497" s="351"/>
      <c r="L497" s="351"/>
    </row>
    <row r="498" spans="1:12" ht="12.65" customHeight="1">
      <c r="A498" s="2" t="s">
        <v>514</v>
      </c>
      <c r="B498" s="299" t="e">
        <f>#REF!</f>
        <v>#REF!</v>
      </c>
      <c r="C498" s="299">
        <f>E71</f>
        <v>1057735</v>
      </c>
      <c r="D498" s="299" t="e">
        <f>#REF!</f>
        <v>#REF!</v>
      </c>
      <c r="E498" s="2">
        <f>E59</f>
        <v>1194</v>
      </c>
      <c r="F498" s="353" t="e">
        <f t="shared" si="17"/>
        <v>#REF!</v>
      </c>
      <c r="G498" s="353">
        <f t="shared" si="18"/>
        <v>885.87520938023454</v>
      </c>
      <c r="H498" s="354" t="e">
        <f t="shared" si="19"/>
        <v>#REF!</v>
      </c>
      <c r="I498" s="265"/>
      <c r="K498" s="351"/>
      <c r="L498" s="351"/>
    </row>
    <row r="499" spans="1:12" ht="12.65" customHeight="1">
      <c r="A499" s="2" t="s">
        <v>515</v>
      </c>
      <c r="B499" s="299" t="e">
        <f>#REF!</f>
        <v>#REF!</v>
      </c>
      <c r="C499" s="299">
        <f>F71</f>
        <v>0</v>
      </c>
      <c r="D499" s="299" t="e">
        <f>#REF!</f>
        <v>#REF!</v>
      </c>
      <c r="E499" s="2">
        <f>F59</f>
        <v>0</v>
      </c>
      <c r="F499" s="353" t="e">
        <f t="shared" si="17"/>
        <v>#REF!</v>
      </c>
      <c r="G499" s="353" t="str">
        <f t="shared" si="18"/>
        <v/>
      </c>
      <c r="H499" s="354" t="e">
        <f t="shared" si="19"/>
        <v>#REF!</v>
      </c>
      <c r="I499" s="265"/>
      <c r="K499" s="351"/>
      <c r="L499" s="351"/>
    </row>
    <row r="500" spans="1:12" ht="12.65" customHeight="1">
      <c r="A500" s="2" t="s">
        <v>516</v>
      </c>
      <c r="B500" s="299" t="e">
        <f>#REF!</f>
        <v>#REF!</v>
      </c>
      <c r="C500" s="299">
        <f>G71</f>
        <v>0</v>
      </c>
      <c r="D500" s="299" t="e">
        <f>#REF!</f>
        <v>#REF!</v>
      </c>
      <c r="E500" s="2">
        <f>G59</f>
        <v>0</v>
      </c>
      <c r="F500" s="353" t="e">
        <f t="shared" si="17"/>
        <v>#REF!</v>
      </c>
      <c r="G500" s="353" t="str">
        <f t="shared" si="18"/>
        <v/>
      </c>
      <c r="H500" s="354" t="e">
        <f t="shared" si="19"/>
        <v>#REF!</v>
      </c>
      <c r="I500" s="265"/>
      <c r="K500" s="351"/>
      <c r="L500" s="351"/>
    </row>
    <row r="501" spans="1:12" ht="12.65" customHeight="1">
      <c r="A501" s="2" t="s">
        <v>517</v>
      </c>
      <c r="B501" s="299" t="e">
        <f>#REF!</f>
        <v>#REF!</v>
      </c>
      <c r="C501" s="299">
        <f>H71</f>
        <v>0</v>
      </c>
      <c r="D501" s="299" t="e">
        <f>#REF!</f>
        <v>#REF!</v>
      </c>
      <c r="E501" s="2">
        <f>H59</f>
        <v>0</v>
      </c>
      <c r="F501" s="353" t="e">
        <f t="shared" si="17"/>
        <v>#REF!</v>
      </c>
      <c r="G501" s="353" t="str">
        <f t="shared" si="18"/>
        <v/>
      </c>
      <c r="H501" s="354" t="e">
        <f t="shared" si="19"/>
        <v>#REF!</v>
      </c>
      <c r="I501" s="265"/>
      <c r="K501" s="351"/>
      <c r="L501" s="351"/>
    </row>
    <row r="502" spans="1:12" ht="12.65" customHeight="1">
      <c r="A502" s="2" t="s">
        <v>518</v>
      </c>
      <c r="B502" s="299" t="e">
        <f>#REF!</f>
        <v>#REF!</v>
      </c>
      <c r="C502" s="299">
        <f>I71</f>
        <v>0</v>
      </c>
      <c r="D502" s="299" t="e">
        <f>#REF!</f>
        <v>#REF!</v>
      </c>
      <c r="E502" s="2">
        <f>I59</f>
        <v>0</v>
      </c>
      <c r="F502" s="353" t="e">
        <f t="shared" si="17"/>
        <v>#REF!</v>
      </c>
      <c r="G502" s="353" t="str">
        <f t="shared" si="18"/>
        <v/>
      </c>
      <c r="H502" s="354" t="e">
        <f t="shared" si="19"/>
        <v>#REF!</v>
      </c>
      <c r="I502" s="265"/>
      <c r="K502" s="351"/>
      <c r="L502" s="351"/>
    </row>
    <row r="503" spans="1:12" ht="12.65" customHeight="1">
      <c r="A503" s="2" t="s">
        <v>519</v>
      </c>
      <c r="B503" s="299" t="e">
        <f>#REF!</f>
        <v>#REF!</v>
      </c>
      <c r="C503" s="299">
        <f>J71</f>
        <v>188559</v>
      </c>
      <c r="D503" s="299" t="e">
        <f>#REF!</f>
        <v>#REF!</v>
      </c>
      <c r="E503" s="2">
        <f>J59</f>
        <v>233</v>
      </c>
      <c r="F503" s="353" t="e">
        <f t="shared" si="17"/>
        <v>#REF!</v>
      </c>
      <c r="G503" s="353">
        <f t="shared" si="18"/>
        <v>809.26609442060089</v>
      </c>
      <c r="H503" s="354" t="e">
        <f t="shared" si="19"/>
        <v>#REF!</v>
      </c>
      <c r="I503" s="265"/>
      <c r="K503" s="351"/>
      <c r="L503" s="351"/>
    </row>
    <row r="504" spans="1:12" ht="12.65" customHeight="1">
      <c r="A504" s="2" t="s">
        <v>520</v>
      </c>
      <c r="B504" s="299" t="e">
        <f>#REF!</f>
        <v>#REF!</v>
      </c>
      <c r="C504" s="299">
        <f>K71</f>
        <v>0</v>
      </c>
      <c r="D504" s="299" t="e">
        <f>#REF!</f>
        <v>#REF!</v>
      </c>
      <c r="E504" s="2">
        <f>K59</f>
        <v>0</v>
      </c>
      <c r="F504" s="353" t="e">
        <f t="shared" si="17"/>
        <v>#REF!</v>
      </c>
      <c r="G504" s="353" t="str">
        <f t="shared" si="18"/>
        <v/>
      </c>
      <c r="H504" s="354" t="e">
        <f t="shared" si="19"/>
        <v>#REF!</v>
      </c>
      <c r="I504" s="265"/>
      <c r="K504" s="351"/>
      <c r="L504" s="351"/>
    </row>
    <row r="505" spans="1:12" ht="12.65" customHeight="1">
      <c r="A505" s="2" t="s">
        <v>521</v>
      </c>
      <c r="B505" s="299" t="e">
        <f>#REF!</f>
        <v>#REF!</v>
      </c>
      <c r="C505" s="299">
        <f>L71</f>
        <v>0</v>
      </c>
      <c r="D505" s="299" t="e">
        <f>#REF!</f>
        <v>#REF!</v>
      </c>
      <c r="E505" s="2">
        <f>L59</f>
        <v>0</v>
      </c>
      <c r="F505" s="353" t="e">
        <f t="shared" si="17"/>
        <v>#REF!</v>
      </c>
      <c r="G505" s="353" t="str">
        <f t="shared" si="18"/>
        <v/>
      </c>
      <c r="H505" s="354" t="e">
        <f t="shared" si="19"/>
        <v>#REF!</v>
      </c>
      <c r="I505" s="265"/>
      <c r="K505" s="351"/>
      <c r="L505" s="351"/>
    </row>
    <row r="506" spans="1:12" ht="12.65" customHeight="1">
      <c r="A506" s="2" t="s">
        <v>522</v>
      </c>
      <c r="B506" s="299" t="e">
        <f>#REF!</f>
        <v>#REF!</v>
      </c>
      <c r="C506" s="299">
        <f>M71</f>
        <v>0</v>
      </c>
      <c r="D506" s="299" t="e">
        <f>#REF!</f>
        <v>#REF!</v>
      </c>
      <c r="E506" s="2">
        <f>M59</f>
        <v>0</v>
      </c>
      <c r="F506" s="353" t="e">
        <f t="shared" si="17"/>
        <v>#REF!</v>
      </c>
      <c r="G506" s="353" t="str">
        <f t="shared" si="18"/>
        <v/>
      </c>
      <c r="H506" s="354" t="e">
        <f t="shared" si="19"/>
        <v>#REF!</v>
      </c>
      <c r="I506" s="265"/>
      <c r="K506" s="351"/>
      <c r="L506" s="351"/>
    </row>
    <row r="507" spans="1:12" ht="12.65" customHeight="1">
      <c r="A507" s="2" t="s">
        <v>523</v>
      </c>
      <c r="B507" s="299" t="e">
        <f>#REF!</f>
        <v>#REF!</v>
      </c>
      <c r="C507" s="299">
        <f>N71</f>
        <v>0</v>
      </c>
      <c r="D507" s="299" t="e">
        <f>#REF!</f>
        <v>#REF!</v>
      </c>
      <c r="E507" s="2">
        <f>N59</f>
        <v>0</v>
      </c>
      <c r="F507" s="353" t="e">
        <f t="shared" si="17"/>
        <v>#REF!</v>
      </c>
      <c r="G507" s="353" t="str">
        <f t="shared" si="18"/>
        <v/>
      </c>
      <c r="H507" s="354" t="e">
        <f t="shared" si="19"/>
        <v>#REF!</v>
      </c>
      <c r="I507" s="265"/>
      <c r="K507" s="351"/>
      <c r="L507" s="351"/>
    </row>
    <row r="508" spans="1:12" ht="12.65" customHeight="1">
      <c r="A508" s="2" t="s">
        <v>524</v>
      </c>
      <c r="B508" s="299" t="e">
        <f>#REF!</f>
        <v>#REF!</v>
      </c>
      <c r="C508" s="299">
        <f>O71</f>
        <v>998600</v>
      </c>
      <c r="D508" s="299" t="e">
        <f>#REF!</f>
        <v>#REF!</v>
      </c>
      <c r="E508" s="2">
        <f>O59</f>
        <v>7707</v>
      </c>
      <c r="F508" s="353" t="e">
        <f t="shared" si="17"/>
        <v>#REF!</v>
      </c>
      <c r="G508" s="353">
        <f t="shared" si="18"/>
        <v>129.57052030621512</v>
      </c>
      <c r="H508" s="354" t="e">
        <f t="shared" si="19"/>
        <v>#REF!</v>
      </c>
      <c r="I508" s="265"/>
      <c r="K508" s="351"/>
      <c r="L508" s="351"/>
    </row>
    <row r="509" spans="1:12" ht="12.65" customHeight="1">
      <c r="A509" s="2" t="s">
        <v>525</v>
      </c>
      <c r="B509" s="299" t="e">
        <f>#REF!</f>
        <v>#REF!</v>
      </c>
      <c r="C509" s="299">
        <f>P71</f>
        <v>1539849</v>
      </c>
      <c r="D509" s="299" t="e">
        <f>#REF!</f>
        <v>#REF!</v>
      </c>
      <c r="E509" s="2">
        <f>P59</f>
        <v>80002</v>
      </c>
      <c r="F509" s="353" t="e">
        <f t="shared" si="17"/>
        <v>#REF!</v>
      </c>
      <c r="G509" s="353">
        <f t="shared" si="18"/>
        <v>19.247631309217269</v>
      </c>
      <c r="H509" s="354" t="e">
        <f t="shared" si="19"/>
        <v>#REF!</v>
      </c>
      <c r="I509" s="265"/>
      <c r="K509" s="351"/>
      <c r="L509" s="351"/>
    </row>
    <row r="510" spans="1:12" ht="12.65" customHeight="1">
      <c r="A510" s="2" t="s">
        <v>526</v>
      </c>
      <c r="B510" s="299" t="e">
        <f>#REF!</f>
        <v>#REF!</v>
      </c>
      <c r="C510" s="299">
        <f>Q71</f>
        <v>293919</v>
      </c>
      <c r="D510" s="299" t="e">
        <f>#REF!</f>
        <v>#REF!</v>
      </c>
      <c r="E510" s="2">
        <f>Q59</f>
        <v>70645</v>
      </c>
      <c r="F510" s="353" t="e">
        <f t="shared" si="17"/>
        <v>#REF!</v>
      </c>
      <c r="G510" s="353">
        <f t="shared" si="18"/>
        <v>4.160506759147852</v>
      </c>
      <c r="H510" s="354" t="e">
        <f t="shared" si="19"/>
        <v>#REF!</v>
      </c>
      <c r="I510" s="265"/>
      <c r="K510" s="351"/>
      <c r="L510" s="351"/>
    </row>
    <row r="511" spans="1:12" ht="12.65" customHeight="1">
      <c r="A511" s="2" t="s">
        <v>527</v>
      </c>
      <c r="B511" s="299" t="e">
        <f>#REF!</f>
        <v>#REF!</v>
      </c>
      <c r="C511" s="299">
        <f>R71</f>
        <v>430072</v>
      </c>
      <c r="D511" s="299" t="e">
        <f>#REF!</f>
        <v>#REF!</v>
      </c>
      <c r="E511" s="2">
        <f>R59</f>
        <v>94279</v>
      </c>
      <c r="F511" s="353" t="e">
        <f t="shared" si="17"/>
        <v>#REF!</v>
      </c>
      <c r="G511" s="353">
        <f t="shared" si="18"/>
        <v>4.5616945449145625</v>
      </c>
      <c r="H511" s="354" t="e">
        <f t="shared" si="19"/>
        <v>#REF!</v>
      </c>
      <c r="I511" s="265"/>
      <c r="K511" s="351"/>
      <c r="L511" s="351"/>
    </row>
    <row r="512" spans="1:12" ht="12.65" customHeight="1">
      <c r="A512" s="2" t="s">
        <v>528</v>
      </c>
      <c r="B512" s="299" t="e">
        <f>#REF!</f>
        <v>#REF!</v>
      </c>
      <c r="C512" s="299">
        <f>S71</f>
        <v>792035</v>
      </c>
      <c r="D512" s="303" t="s">
        <v>529</v>
      </c>
      <c r="E512" s="303" t="s">
        <v>529</v>
      </c>
      <c r="F512" s="353" t="e">
        <f t="shared" si="17"/>
        <v>#REF!</v>
      </c>
      <c r="G512" s="353" t="str">
        <f t="shared" si="18"/>
        <v/>
      </c>
      <c r="H512" s="354" t="e">
        <f t="shared" si="19"/>
        <v>#REF!</v>
      </c>
      <c r="I512" s="265"/>
      <c r="K512" s="351"/>
      <c r="L512" s="351"/>
    </row>
    <row r="513" spans="1:12" ht="12.65" customHeight="1">
      <c r="A513" s="2" t="s">
        <v>1246</v>
      </c>
      <c r="B513" s="299" t="e">
        <f>#REF!</f>
        <v>#REF!</v>
      </c>
      <c r="C513" s="299">
        <f>T71</f>
        <v>0</v>
      </c>
      <c r="D513" s="303" t="s">
        <v>529</v>
      </c>
      <c r="E513" s="303" t="s">
        <v>529</v>
      </c>
      <c r="F513" s="353" t="e">
        <f t="shared" si="17"/>
        <v>#REF!</v>
      </c>
      <c r="G513" s="353" t="str">
        <f t="shared" si="18"/>
        <v/>
      </c>
      <c r="H513" s="354" t="e">
        <f t="shared" si="19"/>
        <v>#REF!</v>
      </c>
      <c r="I513" s="265"/>
      <c r="K513" s="351"/>
      <c r="L513" s="351"/>
    </row>
    <row r="514" spans="1:12" ht="12.65" customHeight="1">
      <c r="A514" s="2" t="s">
        <v>530</v>
      </c>
      <c r="B514" s="299" t="e">
        <f>#REF!</f>
        <v>#REF!</v>
      </c>
      <c r="C514" s="299">
        <f>U71</f>
        <v>843655</v>
      </c>
      <c r="D514" s="299" t="e">
        <f>#REF!</f>
        <v>#REF!</v>
      </c>
      <c r="E514" s="2">
        <f>U59</f>
        <v>54906</v>
      </c>
      <c r="F514" s="353" t="e">
        <f t="shared" si="17"/>
        <v>#REF!</v>
      </c>
      <c r="G514" s="353">
        <f t="shared" si="18"/>
        <v>15.36544275671147</v>
      </c>
      <c r="H514" s="354" t="e">
        <f t="shared" si="19"/>
        <v>#REF!</v>
      </c>
      <c r="I514" s="265"/>
      <c r="K514" s="351"/>
      <c r="L514" s="351"/>
    </row>
    <row r="515" spans="1:12" ht="12.65" customHeight="1">
      <c r="A515" s="2" t="s">
        <v>531</v>
      </c>
      <c r="B515" s="299" t="e">
        <f>#REF!</f>
        <v>#REF!</v>
      </c>
      <c r="C515" s="299">
        <f>V71</f>
        <v>0</v>
      </c>
      <c r="D515" s="299" t="e">
        <f>#REF!</f>
        <v>#REF!</v>
      </c>
      <c r="E515" s="2">
        <f>V59</f>
        <v>0</v>
      </c>
      <c r="F515" s="353" t="e">
        <f t="shared" si="17"/>
        <v>#REF!</v>
      </c>
      <c r="G515" s="353" t="str">
        <f t="shared" si="18"/>
        <v/>
      </c>
      <c r="H515" s="354" t="e">
        <f t="shared" si="19"/>
        <v>#REF!</v>
      </c>
      <c r="I515" s="265"/>
      <c r="K515" s="351"/>
      <c r="L515" s="351"/>
    </row>
    <row r="516" spans="1:12" ht="12.65" customHeight="1">
      <c r="A516" s="2" t="s">
        <v>532</v>
      </c>
      <c r="B516" s="299" t="e">
        <f>#REF!</f>
        <v>#REF!</v>
      </c>
      <c r="C516" s="299">
        <f>W71</f>
        <v>69992</v>
      </c>
      <c r="D516" s="299" t="e">
        <f>#REF!</f>
        <v>#REF!</v>
      </c>
      <c r="E516" s="2">
        <f>W59</f>
        <v>133</v>
      </c>
      <c r="F516" s="353" t="e">
        <f t="shared" si="17"/>
        <v>#REF!</v>
      </c>
      <c r="G516" s="353">
        <f t="shared" si="18"/>
        <v>526.25563909774439</v>
      </c>
      <c r="H516" s="354" t="e">
        <f t="shared" si="19"/>
        <v>#REF!</v>
      </c>
      <c r="I516" s="265"/>
      <c r="K516" s="351"/>
      <c r="L516" s="351"/>
    </row>
    <row r="517" spans="1:12" ht="12.65" customHeight="1">
      <c r="A517" s="2" t="s">
        <v>533</v>
      </c>
      <c r="B517" s="299" t="e">
        <f>#REF!</f>
        <v>#REF!</v>
      </c>
      <c r="C517" s="299">
        <f>X71</f>
        <v>503982</v>
      </c>
      <c r="D517" s="299" t="e">
        <f>#REF!</f>
        <v>#REF!</v>
      </c>
      <c r="E517" s="2">
        <f>X59</f>
        <v>4138</v>
      </c>
      <c r="F517" s="353" t="e">
        <f t="shared" si="17"/>
        <v>#REF!</v>
      </c>
      <c r="G517" s="353">
        <f t="shared" si="18"/>
        <v>121.79362010633156</v>
      </c>
      <c r="H517" s="354" t="e">
        <f t="shared" si="19"/>
        <v>#REF!</v>
      </c>
      <c r="I517" s="265"/>
      <c r="K517" s="351"/>
      <c r="L517" s="351"/>
    </row>
    <row r="518" spans="1:12" ht="12.65" customHeight="1">
      <c r="A518" s="2" t="s">
        <v>534</v>
      </c>
      <c r="B518" s="299" t="e">
        <f>#REF!</f>
        <v>#REF!</v>
      </c>
      <c r="C518" s="299">
        <f>Y71</f>
        <v>1564115</v>
      </c>
      <c r="D518" s="299" t="e">
        <f>#REF!</f>
        <v>#REF!</v>
      </c>
      <c r="E518" s="2">
        <f>Y59</f>
        <v>6391</v>
      </c>
      <c r="F518" s="353" t="e">
        <f t="shared" si="17"/>
        <v>#REF!</v>
      </c>
      <c r="G518" s="353">
        <f t="shared" si="18"/>
        <v>244.73713033953999</v>
      </c>
      <c r="H518" s="354" t="e">
        <f t="shared" si="19"/>
        <v>#REF!</v>
      </c>
      <c r="I518" s="265"/>
      <c r="K518" s="351"/>
      <c r="L518" s="351"/>
    </row>
    <row r="519" spans="1:12" ht="12.65" customHeight="1">
      <c r="A519" s="2" t="s">
        <v>535</v>
      </c>
      <c r="B519" s="299" t="e">
        <f>#REF!</f>
        <v>#REF!</v>
      </c>
      <c r="C519" s="299">
        <f>Z71</f>
        <v>369548</v>
      </c>
      <c r="D519" s="299" t="e">
        <f>#REF!</f>
        <v>#REF!</v>
      </c>
      <c r="E519" s="2">
        <f>Z59</f>
        <v>3703</v>
      </c>
      <c r="F519" s="353" t="e">
        <f t="shared" si="17"/>
        <v>#REF!</v>
      </c>
      <c r="G519" s="353">
        <f t="shared" si="18"/>
        <v>99.796921415068866</v>
      </c>
      <c r="H519" s="354" t="e">
        <f t="shared" si="19"/>
        <v>#REF!</v>
      </c>
      <c r="I519" s="265"/>
      <c r="K519" s="351"/>
      <c r="L519" s="351"/>
    </row>
    <row r="520" spans="1:12" ht="12.65" customHeight="1">
      <c r="A520" s="2" t="s">
        <v>536</v>
      </c>
      <c r="B520" s="299" t="e">
        <f>#REF!</f>
        <v>#REF!</v>
      </c>
      <c r="C520" s="299">
        <f>AA71</f>
        <v>101402</v>
      </c>
      <c r="D520" s="299" t="e">
        <f>#REF!</f>
        <v>#REF!</v>
      </c>
      <c r="E520" s="2">
        <f>AA59</f>
        <v>312</v>
      </c>
      <c r="F520" s="353" t="e">
        <f t="shared" si="17"/>
        <v>#REF!</v>
      </c>
      <c r="G520" s="353">
        <f t="shared" si="18"/>
        <v>325.00641025641028</v>
      </c>
      <c r="H520" s="354" t="e">
        <f t="shared" si="19"/>
        <v>#REF!</v>
      </c>
      <c r="I520" s="265"/>
      <c r="K520" s="351"/>
      <c r="L520" s="351"/>
    </row>
    <row r="521" spans="1:12" ht="12.65" customHeight="1">
      <c r="A521" s="2" t="s">
        <v>537</v>
      </c>
      <c r="B521" s="299" t="e">
        <f>#REF!</f>
        <v>#REF!</v>
      </c>
      <c r="C521" s="299">
        <f>AB71</f>
        <v>1182241</v>
      </c>
      <c r="D521" s="303" t="s">
        <v>529</v>
      </c>
      <c r="E521" s="303" t="s">
        <v>529</v>
      </c>
      <c r="F521" s="353" t="e">
        <f t="shared" si="17"/>
        <v>#REF!</v>
      </c>
      <c r="G521" s="353" t="str">
        <f t="shared" si="18"/>
        <v/>
      </c>
      <c r="H521" s="354" t="e">
        <f t="shared" si="19"/>
        <v>#REF!</v>
      </c>
      <c r="I521" s="265"/>
      <c r="K521" s="351"/>
      <c r="L521" s="351"/>
    </row>
    <row r="522" spans="1:12" ht="12.65" customHeight="1">
      <c r="A522" s="2" t="s">
        <v>538</v>
      </c>
      <c r="B522" s="299" t="e">
        <f>#REF!</f>
        <v>#REF!</v>
      </c>
      <c r="C522" s="299">
        <f>AC71</f>
        <v>437768</v>
      </c>
      <c r="D522" s="299" t="e">
        <f>#REF!</f>
        <v>#REF!</v>
      </c>
      <c r="E522" s="2">
        <f>AC59</f>
        <v>345</v>
      </c>
      <c r="F522" s="353" t="e">
        <f t="shared" si="17"/>
        <v>#REF!</v>
      </c>
      <c r="G522" s="353">
        <f t="shared" si="18"/>
        <v>1268.8927536231884</v>
      </c>
      <c r="H522" s="354" t="e">
        <f t="shared" si="19"/>
        <v>#REF!</v>
      </c>
      <c r="I522" s="265"/>
      <c r="K522" s="351"/>
      <c r="L522" s="351"/>
    </row>
    <row r="523" spans="1:12" ht="12.65" customHeight="1">
      <c r="A523" s="2" t="s">
        <v>539</v>
      </c>
      <c r="B523" s="299" t="e">
        <f>#REF!</f>
        <v>#REF!</v>
      </c>
      <c r="C523" s="299">
        <f>AD71</f>
        <v>0</v>
      </c>
      <c r="D523" s="299" t="e">
        <f>#REF!</f>
        <v>#REF!</v>
      </c>
      <c r="E523" s="2">
        <f>AD59</f>
        <v>0</v>
      </c>
      <c r="F523" s="353" t="e">
        <f t="shared" si="17"/>
        <v>#REF!</v>
      </c>
      <c r="G523" s="353" t="str">
        <f t="shared" si="18"/>
        <v/>
      </c>
      <c r="H523" s="354" t="e">
        <f t="shared" si="19"/>
        <v>#REF!</v>
      </c>
      <c r="I523" s="265"/>
      <c r="K523" s="351"/>
      <c r="L523" s="351"/>
    </row>
    <row r="524" spans="1:12" ht="12.65" customHeight="1">
      <c r="A524" s="2" t="s">
        <v>540</v>
      </c>
      <c r="B524" s="299" t="e">
        <f>#REF!</f>
        <v>#REF!</v>
      </c>
      <c r="C524" s="299">
        <f>AE71</f>
        <v>225946</v>
      </c>
      <c r="D524" s="299" t="e">
        <f>#REF!</f>
        <v>#REF!</v>
      </c>
      <c r="E524" s="2">
        <f>AE59</f>
        <v>4743</v>
      </c>
      <c r="F524" s="353" t="e">
        <f t="shared" si="17"/>
        <v>#REF!</v>
      </c>
      <c r="G524" s="353">
        <f t="shared" si="18"/>
        <v>47.637781994518235</v>
      </c>
      <c r="H524" s="354" t="e">
        <f t="shared" si="19"/>
        <v>#REF!</v>
      </c>
      <c r="I524" s="265"/>
      <c r="K524" s="351"/>
      <c r="L524" s="351"/>
    </row>
    <row r="525" spans="1:12" ht="12.65" customHeight="1">
      <c r="A525" s="2" t="s">
        <v>541</v>
      </c>
      <c r="B525" s="299" t="e">
        <f>#REF!</f>
        <v>#REF!</v>
      </c>
      <c r="C525" s="299">
        <f>AF71</f>
        <v>0</v>
      </c>
      <c r="D525" s="299" t="e">
        <f>#REF!</f>
        <v>#REF!</v>
      </c>
      <c r="E525" s="2">
        <f>AF59</f>
        <v>0</v>
      </c>
      <c r="F525" s="353" t="e">
        <f t="shared" si="17"/>
        <v>#REF!</v>
      </c>
      <c r="G525" s="353" t="str">
        <f t="shared" si="18"/>
        <v/>
      </c>
      <c r="H525" s="354" t="e">
        <f t="shared" si="19"/>
        <v>#REF!</v>
      </c>
      <c r="I525" s="265"/>
      <c r="K525" s="351"/>
      <c r="L525" s="351"/>
    </row>
    <row r="526" spans="1:12" ht="12.65" customHeight="1">
      <c r="A526" s="2" t="s">
        <v>542</v>
      </c>
      <c r="B526" s="299" t="e">
        <f>#REF!</f>
        <v>#REF!</v>
      </c>
      <c r="C526" s="299">
        <f>AG71</f>
        <v>1000163</v>
      </c>
      <c r="D526" s="299" t="e">
        <f>#REF!</f>
        <v>#REF!</v>
      </c>
      <c r="E526" s="2">
        <f>AG59</f>
        <v>3556</v>
      </c>
      <c r="F526" s="353" t="e">
        <f t="shared" si="17"/>
        <v>#REF!</v>
      </c>
      <c r="G526" s="353">
        <f t="shared" si="18"/>
        <v>281.26068616422947</v>
      </c>
      <c r="H526" s="354" t="e">
        <f t="shared" si="19"/>
        <v>#REF!</v>
      </c>
      <c r="I526" s="265"/>
      <c r="K526" s="351"/>
      <c r="L526" s="351"/>
    </row>
    <row r="527" spans="1:12" ht="12.65" customHeight="1">
      <c r="A527" s="2" t="s">
        <v>543</v>
      </c>
      <c r="B527" s="299" t="e">
        <f>#REF!</f>
        <v>#REF!</v>
      </c>
      <c r="C527" s="299">
        <f>AH71</f>
        <v>0</v>
      </c>
      <c r="D527" s="299" t="e">
        <f>#REF!</f>
        <v>#REF!</v>
      </c>
      <c r="E527" s="2">
        <f>AH59</f>
        <v>0</v>
      </c>
      <c r="F527" s="353" t="e">
        <f t="shared" si="17"/>
        <v>#REF!</v>
      </c>
      <c r="G527" s="353" t="str">
        <f t="shared" si="18"/>
        <v/>
      </c>
      <c r="H527" s="354" t="e">
        <f t="shared" si="19"/>
        <v>#REF!</v>
      </c>
      <c r="I527" s="265"/>
      <c r="K527" s="351"/>
      <c r="L527" s="351"/>
    </row>
    <row r="528" spans="1:12" ht="12.65" customHeight="1">
      <c r="A528" s="2" t="s">
        <v>544</v>
      </c>
      <c r="B528" s="299" t="e">
        <f>#REF!</f>
        <v>#REF!</v>
      </c>
      <c r="C528" s="299">
        <f>AI71</f>
        <v>685034</v>
      </c>
      <c r="D528" s="299" t="e">
        <f>#REF!</f>
        <v>#REF!</v>
      </c>
      <c r="E528" s="2">
        <f>AI59</f>
        <v>1967</v>
      </c>
      <c r="F528" s="353" t="e">
        <f t="shared" si="17"/>
        <v>#REF!</v>
      </c>
      <c r="G528" s="353">
        <f t="shared" si="18"/>
        <v>348.26334519572953</v>
      </c>
      <c r="H528" s="354" t="e">
        <f t="shared" si="19"/>
        <v>#REF!</v>
      </c>
      <c r="I528" s="265"/>
      <c r="K528" s="351"/>
      <c r="L528" s="351"/>
    </row>
    <row r="529" spans="1:12" ht="12.65" customHeight="1">
      <c r="A529" s="2" t="s">
        <v>545</v>
      </c>
      <c r="B529" s="299" t="e">
        <f>#REF!</f>
        <v>#REF!</v>
      </c>
      <c r="C529" s="299">
        <f>AJ71</f>
        <v>0</v>
      </c>
      <c r="D529" s="299" t="e">
        <f>#REF!</f>
        <v>#REF!</v>
      </c>
      <c r="E529" s="2">
        <f>AJ59</f>
        <v>0</v>
      </c>
      <c r="F529" s="353" t="e">
        <f t="shared" si="17"/>
        <v>#REF!</v>
      </c>
      <c r="G529" s="353" t="str">
        <f t="shared" si="18"/>
        <v/>
      </c>
      <c r="H529" s="354" t="e">
        <f t="shared" si="19"/>
        <v>#REF!</v>
      </c>
      <c r="I529" s="265"/>
      <c r="K529" s="351"/>
      <c r="L529" s="351"/>
    </row>
    <row r="530" spans="1:12" ht="12.65" customHeight="1">
      <c r="A530" s="2" t="s">
        <v>546</v>
      </c>
      <c r="B530" s="299" t="e">
        <f>#REF!</f>
        <v>#REF!</v>
      </c>
      <c r="C530" s="299">
        <f>AK71</f>
        <v>36658</v>
      </c>
      <c r="D530" s="299" t="e">
        <f>#REF!</f>
        <v>#REF!</v>
      </c>
      <c r="E530" s="2">
        <f>AK59</f>
        <v>957</v>
      </c>
      <c r="F530" s="353" t="e">
        <f t="shared" si="17"/>
        <v>#REF!</v>
      </c>
      <c r="G530" s="353">
        <f t="shared" si="18"/>
        <v>38.305120167189131</v>
      </c>
      <c r="H530" s="354" t="e">
        <f t="shared" si="19"/>
        <v>#REF!</v>
      </c>
      <c r="I530" s="265"/>
      <c r="K530" s="351"/>
      <c r="L530" s="351"/>
    </row>
    <row r="531" spans="1:12" ht="12.65" customHeight="1">
      <c r="A531" s="2" t="s">
        <v>547</v>
      </c>
      <c r="B531" s="299" t="e">
        <f>#REF!</f>
        <v>#REF!</v>
      </c>
      <c r="C531" s="299">
        <f>AL71</f>
        <v>0</v>
      </c>
      <c r="D531" s="299" t="e">
        <f>#REF!</f>
        <v>#REF!</v>
      </c>
      <c r="E531" s="2">
        <f>AL59</f>
        <v>0</v>
      </c>
      <c r="F531" s="353" t="e">
        <f t="shared" si="17"/>
        <v>#REF!</v>
      </c>
      <c r="G531" s="353" t="str">
        <f t="shared" si="18"/>
        <v/>
      </c>
      <c r="H531" s="354" t="e">
        <f t="shared" si="19"/>
        <v>#REF!</v>
      </c>
      <c r="I531" s="265"/>
      <c r="K531" s="351"/>
      <c r="L531" s="351"/>
    </row>
    <row r="532" spans="1:12" ht="12.65" customHeight="1">
      <c r="A532" s="2" t="s">
        <v>548</v>
      </c>
      <c r="B532" s="299" t="e">
        <f>#REF!</f>
        <v>#REF!</v>
      </c>
      <c r="C532" s="299">
        <f>AM71</f>
        <v>0</v>
      </c>
      <c r="D532" s="299" t="e">
        <f>#REF!</f>
        <v>#REF!</v>
      </c>
      <c r="E532" s="2">
        <f>AM59</f>
        <v>0</v>
      </c>
      <c r="F532" s="353" t="e">
        <f t="shared" si="17"/>
        <v>#REF!</v>
      </c>
      <c r="G532" s="353" t="str">
        <f t="shared" si="18"/>
        <v/>
      </c>
      <c r="H532" s="354" t="e">
        <f t="shared" si="19"/>
        <v>#REF!</v>
      </c>
      <c r="I532" s="265"/>
      <c r="K532" s="351"/>
      <c r="L532" s="351"/>
    </row>
    <row r="533" spans="1:12" ht="12.65" customHeight="1">
      <c r="A533" s="2" t="s">
        <v>1247</v>
      </c>
      <c r="B533" s="299" t="e">
        <f>#REF!</f>
        <v>#REF!</v>
      </c>
      <c r="C533" s="299">
        <f>AN71</f>
        <v>0</v>
      </c>
      <c r="D533" s="299" t="e">
        <f>#REF!</f>
        <v>#REF!</v>
      </c>
      <c r="E533" s="2">
        <f>AN59</f>
        <v>0</v>
      </c>
      <c r="F533" s="353" t="e">
        <f t="shared" si="17"/>
        <v>#REF!</v>
      </c>
      <c r="G533" s="353" t="str">
        <f t="shared" si="18"/>
        <v/>
      </c>
      <c r="H533" s="354" t="e">
        <f t="shared" si="19"/>
        <v>#REF!</v>
      </c>
      <c r="I533" s="265"/>
      <c r="K533" s="351"/>
      <c r="L533" s="351"/>
    </row>
    <row r="534" spans="1:12" ht="12.65" customHeight="1">
      <c r="A534" s="2" t="s">
        <v>549</v>
      </c>
      <c r="B534" s="299" t="e">
        <f>#REF!</f>
        <v>#REF!</v>
      </c>
      <c r="C534" s="299">
        <f>AO71</f>
        <v>0</v>
      </c>
      <c r="D534" s="299" t="e">
        <f>#REF!</f>
        <v>#REF!</v>
      </c>
      <c r="E534" s="2">
        <f>AO59</f>
        <v>0</v>
      </c>
      <c r="F534" s="353" t="e">
        <f t="shared" si="17"/>
        <v>#REF!</v>
      </c>
      <c r="G534" s="353" t="str">
        <f t="shared" si="18"/>
        <v/>
      </c>
      <c r="H534" s="354" t="e">
        <f t="shared" si="19"/>
        <v>#REF!</v>
      </c>
      <c r="I534" s="265"/>
      <c r="K534" s="351"/>
      <c r="L534" s="351"/>
    </row>
    <row r="535" spans="1:12" ht="12.65" customHeight="1">
      <c r="A535" s="2" t="s">
        <v>550</v>
      </c>
      <c r="B535" s="299" t="e">
        <f>#REF!</f>
        <v>#REF!</v>
      </c>
      <c r="C535" s="299">
        <f>AP71</f>
        <v>0</v>
      </c>
      <c r="D535" s="299" t="e">
        <f>#REF!</f>
        <v>#REF!</v>
      </c>
      <c r="E535" s="2">
        <f>AP59</f>
        <v>0</v>
      </c>
      <c r="F535" s="353" t="e">
        <f t="shared" si="17"/>
        <v>#REF!</v>
      </c>
      <c r="G535" s="353" t="str">
        <f t="shared" si="18"/>
        <v/>
      </c>
      <c r="H535" s="354" t="e">
        <f t="shared" si="19"/>
        <v>#REF!</v>
      </c>
      <c r="I535" s="265"/>
      <c r="K535" s="351"/>
      <c r="L535" s="351"/>
    </row>
    <row r="536" spans="1:12" ht="12.65" customHeight="1">
      <c r="A536" s="2" t="s">
        <v>551</v>
      </c>
      <c r="B536" s="299" t="e">
        <f>#REF!</f>
        <v>#REF!</v>
      </c>
      <c r="C536" s="299">
        <f>AQ71</f>
        <v>0</v>
      </c>
      <c r="D536" s="299" t="e">
        <f>#REF!</f>
        <v>#REF!</v>
      </c>
      <c r="E536" s="2">
        <f>AQ59</f>
        <v>0</v>
      </c>
      <c r="F536" s="353" t="e">
        <f t="shared" si="17"/>
        <v>#REF!</v>
      </c>
      <c r="G536" s="353" t="str">
        <f t="shared" si="18"/>
        <v/>
      </c>
      <c r="H536" s="354" t="e">
        <f t="shared" si="19"/>
        <v>#REF!</v>
      </c>
      <c r="I536" s="265"/>
      <c r="K536" s="351"/>
      <c r="L536" s="351"/>
    </row>
    <row r="537" spans="1:12" ht="12.65" customHeight="1">
      <c r="A537" s="2" t="s">
        <v>552</v>
      </c>
      <c r="B537" s="299" t="e">
        <f>#REF!</f>
        <v>#REF!</v>
      </c>
      <c r="C537" s="299">
        <f>AR71</f>
        <v>0</v>
      </c>
      <c r="D537" s="299" t="e">
        <f>#REF!</f>
        <v>#REF!</v>
      </c>
      <c r="E537" s="2">
        <f>AR59</f>
        <v>0</v>
      </c>
      <c r="F537" s="353" t="e">
        <f t="shared" si="17"/>
        <v>#REF!</v>
      </c>
      <c r="G537" s="353" t="str">
        <f t="shared" si="18"/>
        <v/>
      </c>
      <c r="H537" s="354" t="e">
        <f t="shared" si="19"/>
        <v>#REF!</v>
      </c>
      <c r="I537" s="265"/>
      <c r="K537" s="351"/>
      <c r="L537" s="351"/>
    </row>
    <row r="538" spans="1:12" ht="12.65" customHeight="1">
      <c r="A538" s="2" t="s">
        <v>553</v>
      </c>
      <c r="B538" s="299" t="e">
        <f>#REF!</f>
        <v>#REF!</v>
      </c>
      <c r="C538" s="299">
        <f>AS71</f>
        <v>0</v>
      </c>
      <c r="D538" s="299" t="e">
        <f>#REF!</f>
        <v>#REF!</v>
      </c>
      <c r="E538" s="2">
        <f>AS59</f>
        <v>0</v>
      </c>
      <c r="F538" s="353" t="e">
        <f t="shared" si="17"/>
        <v>#REF!</v>
      </c>
      <c r="G538" s="353" t="str">
        <f t="shared" si="18"/>
        <v/>
      </c>
      <c r="H538" s="354" t="e">
        <f t="shared" si="19"/>
        <v>#REF!</v>
      </c>
      <c r="I538" s="265"/>
      <c r="K538" s="351"/>
      <c r="L538" s="351"/>
    </row>
    <row r="539" spans="1:12" ht="12.65" customHeight="1">
      <c r="A539" s="2" t="s">
        <v>554</v>
      </c>
      <c r="B539" s="299" t="e">
        <f>#REF!</f>
        <v>#REF!</v>
      </c>
      <c r="C539" s="299">
        <f>AT71</f>
        <v>0</v>
      </c>
      <c r="D539" s="299" t="e">
        <f>#REF!</f>
        <v>#REF!</v>
      </c>
      <c r="E539" s="2">
        <f>AT59</f>
        <v>0</v>
      </c>
      <c r="F539" s="353" t="e">
        <f t="shared" si="17"/>
        <v>#REF!</v>
      </c>
      <c r="G539" s="353" t="str">
        <f t="shared" si="18"/>
        <v/>
      </c>
      <c r="H539" s="354" t="e">
        <f t="shared" si="19"/>
        <v>#REF!</v>
      </c>
      <c r="I539" s="265"/>
      <c r="K539" s="351"/>
      <c r="L539" s="351"/>
    </row>
    <row r="540" spans="1:12" ht="12.65" customHeight="1">
      <c r="A540" s="2" t="s">
        <v>555</v>
      </c>
      <c r="B540" s="299" t="e">
        <f>#REF!</f>
        <v>#REF!</v>
      </c>
      <c r="C540" s="299">
        <f>AU71</f>
        <v>0</v>
      </c>
      <c r="D540" s="299" t="e">
        <f>#REF!</f>
        <v>#REF!</v>
      </c>
      <c r="E540" s="2">
        <f>AU59</f>
        <v>0</v>
      </c>
      <c r="F540" s="353" t="e">
        <f t="shared" si="17"/>
        <v>#REF!</v>
      </c>
      <c r="G540" s="353" t="str">
        <f t="shared" si="18"/>
        <v/>
      </c>
      <c r="H540" s="354" t="e">
        <f t="shared" si="19"/>
        <v>#REF!</v>
      </c>
      <c r="I540" s="265"/>
      <c r="K540" s="351"/>
      <c r="L540" s="351"/>
    </row>
    <row r="541" spans="1:12" ht="12.65" customHeight="1">
      <c r="A541" s="2" t="s">
        <v>556</v>
      </c>
      <c r="B541" s="299" t="e">
        <f>#REF!</f>
        <v>#REF!</v>
      </c>
      <c r="C541" s="299">
        <f>AV71</f>
        <v>934211</v>
      </c>
      <c r="D541" s="303" t="s">
        <v>529</v>
      </c>
      <c r="E541" s="303" t="s">
        <v>529</v>
      </c>
      <c r="F541" s="353"/>
      <c r="G541" s="353"/>
      <c r="H541" s="354"/>
      <c r="I541" s="265"/>
      <c r="K541" s="351"/>
      <c r="L541" s="351"/>
    </row>
    <row r="542" spans="1:12" ht="12.65" customHeight="1">
      <c r="A542" s="2" t="s">
        <v>1248</v>
      </c>
      <c r="B542" s="299" t="e">
        <f>#REF!</f>
        <v>#REF!</v>
      </c>
      <c r="C542" s="299">
        <f>AW71</f>
        <v>0</v>
      </c>
      <c r="D542" s="303" t="s">
        <v>529</v>
      </c>
      <c r="E542" s="303" t="s">
        <v>529</v>
      </c>
      <c r="F542" s="353"/>
      <c r="G542" s="353"/>
      <c r="H542" s="354"/>
      <c r="I542" s="265"/>
      <c r="K542" s="351"/>
      <c r="L542" s="351"/>
    </row>
    <row r="543" spans="1:12" ht="12.65" customHeight="1">
      <c r="A543" s="2" t="s">
        <v>557</v>
      </c>
      <c r="B543" s="299" t="e">
        <f>#REF!</f>
        <v>#REF!</v>
      </c>
      <c r="C543" s="299">
        <f>AX71</f>
        <v>0</v>
      </c>
      <c r="D543" s="303" t="s">
        <v>529</v>
      </c>
      <c r="E543" s="303" t="s">
        <v>529</v>
      </c>
      <c r="F543" s="353"/>
      <c r="G543" s="353"/>
      <c r="H543" s="354"/>
      <c r="I543" s="265"/>
      <c r="K543" s="351"/>
      <c r="L543" s="351"/>
    </row>
    <row r="544" spans="1:12" ht="12.65" customHeight="1">
      <c r="A544" s="2" t="s">
        <v>558</v>
      </c>
      <c r="B544" s="299" t="e">
        <f>#REF!</f>
        <v>#REF!</v>
      </c>
      <c r="C544" s="299">
        <f>AY71</f>
        <v>451080</v>
      </c>
      <c r="D544" s="299" t="e">
        <f>#REF!</f>
        <v>#REF!</v>
      </c>
      <c r="E544" s="2">
        <f>AY59</f>
        <v>9270</v>
      </c>
      <c r="F544" s="353" t="e">
        <f t="shared" ref="F544:G546" si="20">IF(B544=0,"",IF(D544=0,"",B544/D544))</f>
        <v>#REF!</v>
      </c>
      <c r="G544" s="353">
        <f t="shared" si="20"/>
        <v>48.660194174757279</v>
      </c>
      <c r="H544" s="354" t="e">
        <f>IF(B544=0,"",IF(C544=0,"",IF(D544=0,"",IF(E544=0,"",IF(G544/F544-1&lt;-0.25,G544/F544-1,IF(G544/F544-1&gt;0.25,G544/F544-1,""))))))</f>
        <v>#REF!</v>
      </c>
      <c r="I544" s="265"/>
      <c r="K544" s="351"/>
      <c r="L544" s="351"/>
    </row>
    <row r="545" spans="1:13" ht="12.65" customHeight="1">
      <c r="A545" s="2" t="s">
        <v>559</v>
      </c>
      <c r="B545" s="299" t="e">
        <f>#REF!</f>
        <v>#REF!</v>
      </c>
      <c r="C545" s="299">
        <f>AZ71</f>
        <v>0</v>
      </c>
      <c r="D545" s="299" t="e">
        <f>#REF!</f>
        <v>#REF!</v>
      </c>
      <c r="E545" s="2">
        <f>AZ59</f>
        <v>0</v>
      </c>
      <c r="F545" s="353" t="e">
        <f t="shared" si="20"/>
        <v>#REF!</v>
      </c>
      <c r="G545" s="353" t="str">
        <f t="shared" si="20"/>
        <v/>
      </c>
      <c r="H545" s="354" t="e">
        <f>IF(B545=0,"",IF(C545=0,"",IF(D545=0,"",IF(E545=0,"",IF(G545/F545-1&lt;-0.25,G545/F545-1,IF(G545/F545-1&gt;0.25,G545/F545-1,""))))))</f>
        <v>#REF!</v>
      </c>
      <c r="I545" s="265"/>
      <c r="K545" s="351"/>
      <c r="L545" s="351"/>
    </row>
    <row r="546" spans="1:13" ht="12.65" customHeight="1">
      <c r="A546" s="2" t="s">
        <v>560</v>
      </c>
      <c r="B546" s="299" t="e">
        <f>#REF!</f>
        <v>#REF!</v>
      </c>
      <c r="C546" s="299">
        <f>BA71</f>
        <v>0</v>
      </c>
      <c r="D546" s="299" t="e">
        <f>#REF!</f>
        <v>#REF!</v>
      </c>
      <c r="E546" s="2">
        <f>BA59</f>
        <v>0</v>
      </c>
      <c r="F546" s="353" t="e">
        <f t="shared" si="20"/>
        <v>#REF!</v>
      </c>
      <c r="G546" s="353" t="str">
        <f t="shared" si="20"/>
        <v/>
      </c>
      <c r="H546" s="354" t="e">
        <f>IF(B546=0,"",IF(C546=0,"",IF(D546=0,"",IF(E546=0,"",IF(G546/F546-1&lt;-0.25,G546/F546-1,IF(G546/F546-1&gt;0.25,G546/F546-1,""))))))</f>
        <v>#REF!</v>
      </c>
      <c r="I546" s="265"/>
      <c r="K546" s="351"/>
      <c r="L546" s="351"/>
    </row>
    <row r="547" spans="1:13" ht="12.65" customHeight="1">
      <c r="A547" s="2" t="s">
        <v>561</v>
      </c>
      <c r="B547" s="299" t="e">
        <f>#REF!</f>
        <v>#REF!</v>
      </c>
      <c r="C547" s="299">
        <f>BB71</f>
        <v>297172</v>
      </c>
      <c r="D547" s="303" t="s">
        <v>529</v>
      </c>
      <c r="E547" s="303" t="s">
        <v>529</v>
      </c>
      <c r="F547" s="353"/>
      <c r="G547" s="353"/>
      <c r="H547" s="354"/>
      <c r="I547" s="265"/>
      <c r="K547" s="351"/>
      <c r="L547" s="351"/>
    </row>
    <row r="548" spans="1:13" ht="12.65" customHeight="1">
      <c r="A548" s="2" t="s">
        <v>562</v>
      </c>
      <c r="B548" s="299" t="e">
        <f>#REF!</f>
        <v>#REF!</v>
      </c>
      <c r="C548" s="299">
        <f>BC71</f>
        <v>0</v>
      </c>
      <c r="D548" s="303" t="s">
        <v>529</v>
      </c>
      <c r="E548" s="303" t="s">
        <v>529</v>
      </c>
      <c r="F548" s="353"/>
      <c r="G548" s="353"/>
      <c r="H548" s="354"/>
      <c r="I548" s="265"/>
      <c r="K548" s="351"/>
      <c r="L548" s="351"/>
    </row>
    <row r="549" spans="1:13" ht="12.65" customHeight="1">
      <c r="A549" s="2" t="s">
        <v>563</v>
      </c>
      <c r="B549" s="299" t="e">
        <f>#REF!</f>
        <v>#REF!</v>
      </c>
      <c r="C549" s="299">
        <f>BD71</f>
        <v>2106059</v>
      </c>
      <c r="D549" s="303" t="s">
        <v>529</v>
      </c>
      <c r="E549" s="303" t="s">
        <v>529</v>
      </c>
      <c r="F549" s="353"/>
      <c r="G549" s="353"/>
      <c r="H549" s="354"/>
      <c r="I549" s="265"/>
      <c r="K549" s="351"/>
      <c r="L549" s="351"/>
    </row>
    <row r="550" spans="1:13" ht="12.65" customHeight="1">
      <c r="A550" s="2" t="s">
        <v>564</v>
      </c>
      <c r="B550" s="299" t="e">
        <f>#REF!</f>
        <v>#REF!</v>
      </c>
      <c r="C550" s="299">
        <f>BE71</f>
        <v>761994</v>
      </c>
      <c r="D550" s="299" t="e">
        <f>#REF!</f>
        <v>#REF!</v>
      </c>
      <c r="E550" s="2">
        <f>BE59</f>
        <v>155374</v>
      </c>
      <c r="F550" s="353" t="e">
        <f>IF(B550=0,"",IF(D550=0,"",B550/D550))</f>
        <v>#REF!</v>
      </c>
      <c r="G550" s="353">
        <f>IF(C550=0,"",IF(E550=0,"",C550/E550))</f>
        <v>4.9042568254662946</v>
      </c>
      <c r="H550" s="354" t="e">
        <f>IF(B550=0,"",IF(C550=0,"",IF(D550=0,"",IF(E550=0,"",IF(G550/F550-1&lt;-0.25,G550/F550-1,IF(G550/F550-1&gt;0.25,G550/F550-1,""))))))</f>
        <v>#REF!</v>
      </c>
      <c r="I550" s="265"/>
      <c r="K550" s="351"/>
      <c r="L550" s="351"/>
    </row>
    <row r="551" spans="1:13" ht="12.65" customHeight="1">
      <c r="A551" s="2" t="s">
        <v>565</v>
      </c>
      <c r="B551" s="299" t="e">
        <f>#REF!</f>
        <v>#REF!</v>
      </c>
      <c r="C551" s="299">
        <f>BF71</f>
        <v>416904</v>
      </c>
      <c r="D551" s="303" t="s">
        <v>529</v>
      </c>
      <c r="E551" s="303" t="s">
        <v>529</v>
      </c>
      <c r="F551" s="353"/>
      <c r="G551" s="353"/>
      <c r="H551" s="354"/>
      <c r="I551" s="265"/>
      <c r="J551" s="290"/>
      <c r="M551" s="354"/>
    </row>
    <row r="552" spans="1:13" ht="12.65" customHeight="1">
      <c r="A552" s="2" t="s">
        <v>566</v>
      </c>
      <c r="B552" s="299" t="e">
        <f>#REF!</f>
        <v>#REF!</v>
      </c>
      <c r="C552" s="299">
        <f>BG71</f>
        <v>75851</v>
      </c>
      <c r="D552" s="303" t="s">
        <v>529</v>
      </c>
      <c r="E552" s="303" t="s">
        <v>529</v>
      </c>
      <c r="F552" s="353"/>
      <c r="G552" s="353"/>
      <c r="H552" s="354"/>
      <c r="J552" s="290"/>
      <c r="M552" s="354"/>
    </row>
    <row r="553" spans="1:13" ht="12.65" customHeight="1">
      <c r="A553" s="2" t="s">
        <v>567</v>
      </c>
      <c r="B553" s="299" t="e">
        <f>#REF!</f>
        <v>#REF!</v>
      </c>
      <c r="C553" s="299">
        <f>BH71</f>
        <v>693561</v>
      </c>
      <c r="D553" s="303" t="s">
        <v>529</v>
      </c>
      <c r="E553" s="303" t="s">
        <v>529</v>
      </c>
      <c r="F553" s="353"/>
      <c r="G553" s="353"/>
      <c r="H553" s="354"/>
      <c r="J553" s="290"/>
      <c r="M553" s="354"/>
    </row>
    <row r="554" spans="1:13" ht="12.65" customHeight="1">
      <c r="A554" s="2" t="s">
        <v>568</v>
      </c>
      <c r="B554" s="299" t="e">
        <f>#REF!</f>
        <v>#REF!</v>
      </c>
      <c r="C554" s="299">
        <f>BI71</f>
        <v>0</v>
      </c>
      <c r="D554" s="303" t="s">
        <v>529</v>
      </c>
      <c r="E554" s="303" t="s">
        <v>529</v>
      </c>
      <c r="F554" s="353"/>
      <c r="G554" s="353"/>
      <c r="H554" s="354"/>
      <c r="J554" s="290"/>
      <c r="M554" s="354"/>
    </row>
    <row r="555" spans="1:13" ht="12.65" customHeight="1">
      <c r="A555" s="2" t="s">
        <v>569</v>
      </c>
      <c r="B555" s="299" t="e">
        <f>#REF!</f>
        <v>#REF!</v>
      </c>
      <c r="C555" s="299">
        <f>BJ71</f>
        <v>104617</v>
      </c>
      <c r="D555" s="303" t="s">
        <v>529</v>
      </c>
      <c r="E555" s="303" t="s">
        <v>529</v>
      </c>
      <c r="F555" s="353"/>
      <c r="G555" s="353"/>
      <c r="H555" s="354"/>
      <c r="J555" s="290"/>
      <c r="M555" s="354"/>
    </row>
    <row r="556" spans="1:13" ht="12.65" customHeight="1">
      <c r="A556" s="2" t="s">
        <v>570</v>
      </c>
      <c r="B556" s="299" t="e">
        <f>#REF!</f>
        <v>#REF!</v>
      </c>
      <c r="C556" s="299">
        <f>BK71</f>
        <v>419129</v>
      </c>
      <c r="D556" s="303" t="s">
        <v>529</v>
      </c>
      <c r="E556" s="303" t="s">
        <v>529</v>
      </c>
      <c r="F556" s="353"/>
      <c r="G556" s="353"/>
      <c r="H556" s="354"/>
      <c r="J556" s="290"/>
      <c r="M556" s="354"/>
    </row>
    <row r="557" spans="1:13" ht="12.65" customHeight="1">
      <c r="A557" s="2" t="s">
        <v>571</v>
      </c>
      <c r="B557" s="299" t="e">
        <f>#REF!</f>
        <v>#REF!</v>
      </c>
      <c r="C557" s="299">
        <f>BL71</f>
        <v>45574</v>
      </c>
      <c r="D557" s="303" t="s">
        <v>529</v>
      </c>
      <c r="E557" s="303" t="s">
        <v>529</v>
      </c>
      <c r="F557" s="353"/>
      <c r="G557" s="353"/>
      <c r="H557" s="354"/>
      <c r="J557" s="290"/>
      <c r="M557" s="354"/>
    </row>
    <row r="558" spans="1:13" ht="12.65" customHeight="1">
      <c r="A558" s="2" t="s">
        <v>572</v>
      </c>
      <c r="B558" s="299" t="e">
        <f>#REF!</f>
        <v>#REF!</v>
      </c>
      <c r="C558" s="299">
        <f>BM71</f>
        <v>296532</v>
      </c>
      <c r="D558" s="303" t="s">
        <v>529</v>
      </c>
      <c r="E558" s="303" t="s">
        <v>529</v>
      </c>
      <c r="F558" s="353"/>
      <c r="G558" s="353"/>
      <c r="H558" s="354"/>
      <c r="J558" s="290"/>
      <c r="M558" s="354"/>
    </row>
    <row r="559" spans="1:13" ht="12.65" customHeight="1">
      <c r="A559" s="2" t="s">
        <v>573</v>
      </c>
      <c r="B559" s="299" t="e">
        <f>#REF!</f>
        <v>#REF!</v>
      </c>
      <c r="C559" s="299">
        <f>BN71</f>
        <v>1574165</v>
      </c>
      <c r="D559" s="303" t="s">
        <v>529</v>
      </c>
      <c r="E559" s="303" t="s">
        <v>529</v>
      </c>
      <c r="F559" s="353"/>
      <c r="G559" s="353"/>
      <c r="H559" s="354"/>
      <c r="J559" s="290"/>
      <c r="M559" s="354"/>
    </row>
    <row r="560" spans="1:13" ht="12.65" customHeight="1">
      <c r="A560" s="2" t="s">
        <v>574</v>
      </c>
      <c r="B560" s="299" t="e">
        <f>#REF!</f>
        <v>#REF!</v>
      </c>
      <c r="C560" s="299">
        <f>BO71</f>
        <v>0</v>
      </c>
      <c r="D560" s="303" t="s">
        <v>529</v>
      </c>
      <c r="E560" s="303" t="s">
        <v>529</v>
      </c>
      <c r="F560" s="353"/>
      <c r="G560" s="353"/>
      <c r="H560" s="354"/>
      <c r="J560" s="290"/>
      <c r="M560" s="354"/>
    </row>
    <row r="561" spans="1:13" ht="12.65" customHeight="1">
      <c r="A561" s="2" t="s">
        <v>575</v>
      </c>
      <c r="B561" s="299" t="e">
        <f>#REF!</f>
        <v>#REF!</v>
      </c>
      <c r="C561" s="299">
        <f>BP71</f>
        <v>69466</v>
      </c>
      <c r="D561" s="303" t="s">
        <v>529</v>
      </c>
      <c r="E561" s="303" t="s">
        <v>529</v>
      </c>
      <c r="F561" s="353"/>
      <c r="G561" s="353"/>
      <c r="H561" s="354"/>
      <c r="J561" s="290"/>
      <c r="M561" s="354"/>
    </row>
    <row r="562" spans="1:13" ht="12.65" customHeight="1">
      <c r="A562" s="2" t="s">
        <v>576</v>
      </c>
      <c r="B562" s="299" t="e">
        <f>#REF!</f>
        <v>#REF!</v>
      </c>
      <c r="C562" s="299">
        <f>BQ71</f>
        <v>0</v>
      </c>
      <c r="D562" s="303" t="s">
        <v>529</v>
      </c>
      <c r="E562" s="303" t="s">
        <v>529</v>
      </c>
      <c r="F562" s="353"/>
      <c r="G562" s="353"/>
      <c r="H562" s="354"/>
      <c r="J562" s="290"/>
      <c r="M562" s="354"/>
    </row>
    <row r="563" spans="1:13" ht="12.65" customHeight="1">
      <c r="A563" s="2" t="s">
        <v>577</v>
      </c>
      <c r="B563" s="299" t="e">
        <f>#REF!</f>
        <v>#REF!</v>
      </c>
      <c r="C563" s="299">
        <f>BR71</f>
        <v>1337870</v>
      </c>
      <c r="D563" s="303" t="s">
        <v>529</v>
      </c>
      <c r="E563" s="303" t="s">
        <v>529</v>
      </c>
      <c r="F563" s="353"/>
      <c r="G563" s="353"/>
      <c r="H563" s="354"/>
      <c r="J563" s="290"/>
      <c r="M563" s="354"/>
    </row>
    <row r="564" spans="1:13" ht="12.65" customHeight="1">
      <c r="A564" s="2" t="s">
        <v>1249</v>
      </c>
      <c r="B564" s="299" t="e">
        <f>#REF!</f>
        <v>#REF!</v>
      </c>
      <c r="C564" s="299">
        <f>BS71</f>
        <v>0</v>
      </c>
      <c r="D564" s="303" t="s">
        <v>529</v>
      </c>
      <c r="E564" s="303" t="s">
        <v>529</v>
      </c>
      <c r="F564" s="353"/>
      <c r="G564" s="353"/>
      <c r="H564" s="354"/>
      <c r="J564" s="290"/>
      <c r="M564" s="354"/>
    </row>
    <row r="565" spans="1:13" ht="12.65" customHeight="1">
      <c r="A565" s="2" t="s">
        <v>578</v>
      </c>
      <c r="B565" s="299" t="e">
        <f>#REF!</f>
        <v>#REF!</v>
      </c>
      <c r="C565" s="299">
        <f>BT71</f>
        <v>0</v>
      </c>
      <c r="D565" s="303" t="s">
        <v>529</v>
      </c>
      <c r="E565" s="303" t="s">
        <v>529</v>
      </c>
      <c r="F565" s="353"/>
      <c r="G565" s="353"/>
      <c r="H565" s="354"/>
      <c r="J565" s="290"/>
      <c r="M565" s="354"/>
    </row>
    <row r="566" spans="1:13" ht="12.65" customHeight="1">
      <c r="A566" s="2" t="s">
        <v>579</v>
      </c>
      <c r="B566" s="299" t="e">
        <f>#REF!</f>
        <v>#REF!</v>
      </c>
      <c r="C566" s="299">
        <f>BU71</f>
        <v>0</v>
      </c>
      <c r="D566" s="303" t="s">
        <v>529</v>
      </c>
      <c r="E566" s="303" t="s">
        <v>529</v>
      </c>
      <c r="F566" s="353"/>
      <c r="G566" s="353"/>
      <c r="H566" s="354"/>
      <c r="J566" s="290"/>
      <c r="M566" s="354"/>
    </row>
    <row r="567" spans="1:13" ht="12.65" customHeight="1">
      <c r="A567" s="2" t="s">
        <v>580</v>
      </c>
      <c r="B567" s="299" t="e">
        <f>#REF!</f>
        <v>#REF!</v>
      </c>
      <c r="C567" s="299">
        <f>BV71</f>
        <v>278435</v>
      </c>
      <c r="D567" s="303" t="s">
        <v>529</v>
      </c>
      <c r="E567" s="303" t="s">
        <v>529</v>
      </c>
      <c r="F567" s="353"/>
      <c r="G567" s="353"/>
      <c r="H567" s="354"/>
      <c r="J567" s="290"/>
      <c r="M567" s="354"/>
    </row>
    <row r="568" spans="1:13" ht="12.65" customHeight="1">
      <c r="A568" s="2" t="s">
        <v>581</v>
      </c>
      <c r="B568" s="299" t="e">
        <f>#REF!</f>
        <v>#REF!</v>
      </c>
      <c r="C568" s="299">
        <f>BW71</f>
        <v>57821</v>
      </c>
      <c r="D568" s="303" t="s">
        <v>529</v>
      </c>
      <c r="E568" s="303" t="s">
        <v>529</v>
      </c>
      <c r="F568" s="353"/>
      <c r="G568" s="353"/>
      <c r="H568" s="354"/>
      <c r="J568" s="290"/>
      <c r="M568" s="354"/>
    </row>
    <row r="569" spans="1:13" ht="12.65" customHeight="1">
      <c r="A569" s="2" t="s">
        <v>582</v>
      </c>
      <c r="B569" s="299" t="e">
        <f>#REF!</f>
        <v>#REF!</v>
      </c>
      <c r="C569" s="299">
        <f>BX71</f>
        <v>221888</v>
      </c>
      <c r="D569" s="303" t="s">
        <v>529</v>
      </c>
      <c r="E569" s="303" t="s">
        <v>529</v>
      </c>
      <c r="F569" s="353"/>
      <c r="G569" s="353"/>
      <c r="H569" s="354"/>
      <c r="J569" s="290"/>
      <c r="M569" s="354"/>
    </row>
    <row r="570" spans="1:13" ht="12.65" customHeight="1">
      <c r="A570" s="2" t="s">
        <v>583</v>
      </c>
      <c r="B570" s="299" t="e">
        <f>#REF!</f>
        <v>#REF!</v>
      </c>
      <c r="C570" s="299">
        <f>BY71</f>
        <v>304513</v>
      </c>
      <c r="D570" s="303" t="s">
        <v>529</v>
      </c>
      <c r="E570" s="303" t="s">
        <v>529</v>
      </c>
      <c r="F570" s="353"/>
      <c r="G570" s="353"/>
      <c r="H570" s="354"/>
      <c r="J570" s="290"/>
      <c r="M570" s="354"/>
    </row>
    <row r="571" spans="1:13" ht="12.65" customHeight="1">
      <c r="A571" s="2" t="s">
        <v>584</v>
      </c>
      <c r="B571" s="299" t="e">
        <f>#REF!</f>
        <v>#REF!</v>
      </c>
      <c r="C571" s="299">
        <f>BZ71</f>
        <v>0</v>
      </c>
      <c r="D571" s="303" t="s">
        <v>529</v>
      </c>
      <c r="E571" s="303" t="s">
        <v>529</v>
      </c>
      <c r="F571" s="353"/>
      <c r="G571" s="353"/>
      <c r="H571" s="354"/>
      <c r="J571" s="290"/>
      <c r="M571" s="354"/>
    </row>
    <row r="572" spans="1:13" ht="12.65" customHeight="1">
      <c r="A572" s="2" t="s">
        <v>585</v>
      </c>
      <c r="B572" s="299" t="e">
        <f>#REF!</f>
        <v>#REF!</v>
      </c>
      <c r="C572" s="299">
        <f>CA71</f>
        <v>99147</v>
      </c>
      <c r="D572" s="303" t="s">
        <v>529</v>
      </c>
      <c r="E572" s="303" t="s">
        <v>529</v>
      </c>
      <c r="F572" s="353"/>
      <c r="G572" s="353"/>
      <c r="H572" s="354"/>
      <c r="J572" s="290"/>
      <c r="M572" s="354"/>
    </row>
    <row r="573" spans="1:13" ht="12.65" customHeight="1">
      <c r="A573" s="2" t="s">
        <v>586</v>
      </c>
      <c r="B573" s="299" t="e">
        <f>#REF!</f>
        <v>#REF!</v>
      </c>
      <c r="C573" s="299">
        <f>CB71</f>
        <v>0</v>
      </c>
      <c r="D573" s="303" t="s">
        <v>529</v>
      </c>
      <c r="E573" s="303" t="s">
        <v>529</v>
      </c>
      <c r="F573" s="353"/>
      <c r="G573" s="353"/>
      <c r="H573" s="354"/>
      <c r="J573" s="290"/>
      <c r="M573" s="354"/>
    </row>
    <row r="574" spans="1:13" ht="12.65" customHeight="1">
      <c r="A574" s="2" t="s">
        <v>587</v>
      </c>
      <c r="B574" s="299" t="e">
        <f>#REF!</f>
        <v>#REF!</v>
      </c>
      <c r="C574" s="299">
        <f>CC71</f>
        <v>0</v>
      </c>
      <c r="D574" s="303" t="s">
        <v>529</v>
      </c>
      <c r="E574" s="303" t="s">
        <v>529</v>
      </c>
      <c r="F574" s="353"/>
      <c r="G574" s="353"/>
      <c r="H574" s="354"/>
      <c r="J574" s="290"/>
      <c r="M574" s="354"/>
    </row>
    <row r="575" spans="1:13" ht="12.65" customHeight="1">
      <c r="A575" s="2" t="s">
        <v>588</v>
      </c>
      <c r="B575" s="299" t="e">
        <f>#REF!</f>
        <v>#REF!</v>
      </c>
      <c r="C575" s="299">
        <f>CD71</f>
        <v>0</v>
      </c>
      <c r="D575" s="303" t="s">
        <v>529</v>
      </c>
      <c r="E575" s="303" t="s">
        <v>529</v>
      </c>
      <c r="F575" s="353"/>
      <c r="G575" s="353"/>
      <c r="H575" s="354"/>
    </row>
    <row r="576" spans="1:13" ht="12.65" customHeight="1">
      <c r="M576" s="354"/>
    </row>
    <row r="577" spans="13:13" ht="12.65" customHeight="1">
      <c r="M577" s="354"/>
    </row>
    <row r="578" spans="13:13" ht="12.65" customHeight="1">
      <c r="M578" s="354"/>
    </row>
    <row r="612" spans="1:14" ht="12.65" customHeight="1">
      <c r="A612" s="355"/>
      <c r="C612" s="303" t="s">
        <v>589</v>
      </c>
      <c r="D612" s="2">
        <f>CE76-(BE76+CD76)</f>
        <v>128336</v>
      </c>
      <c r="E612" s="2">
        <f>SUM(C624:D647)+SUM(C668:D713)</f>
        <v>22834659.051240493</v>
      </c>
      <c r="F612" s="2">
        <f>CE64-(AX64+BD64+BE64+BG64+BJ64+BN64+BP64+BQ64+CB64+CC64+CD64)</f>
        <v>2077995</v>
      </c>
      <c r="G612" s="2">
        <f>CE77-(AX77+AY77+BD77+BE77+BG77+BJ77+BN77+BP77+BQ77+CB77+CC77+CD77)</f>
        <v>9270</v>
      </c>
      <c r="H612" s="348">
        <f>CE60-(AX60+AY60+AZ60+BD60+BE60+BG60+BJ60+BN60+BO60+BP60+BQ60+BR60+CB60+CC60+CD60)</f>
        <v>381.35000000000008</v>
      </c>
      <c r="I612" s="2">
        <f>CE78-(AX78+AY78+AZ78+BD78+BE78+BF78+BG78+BJ78+BN78+BO78+BP78+BQ78+BR78+CB78+CC78+CD78)</f>
        <v>10157</v>
      </c>
      <c r="J612" s="2">
        <f>CE79-(AX79+AY79+AZ79+BA79+BD79+BE79+BF79+BG79+BJ79+BN79+BO79+BP79+BQ79+BR79+CB79+CC79+CD79)</f>
        <v>124036</v>
      </c>
      <c r="K612" s="2">
        <f>CE75-(AW75+AX75+AY75+AZ75+BA75+BB75+BC75+BD75+BE75+BF75+BG75+BH75+BI75+BJ75+BK75+BL75+BM75+BN75+BO75+BP75+BQ75+BR75+BS75+BT75+BU75+BV75+BW75+BX75+CB75+CC75+CD75)</f>
        <v>141279442</v>
      </c>
      <c r="L612" s="348">
        <f>CE80-(AW80+AX80+AY80+AZ80+BA80+BB80+BC80+BD80+BE80+BF80+BG80+BH80+BI80+BJ80+BK80+BL80+BM80+BN80+BO80+BP80+BQ80+BR80+BS80+BT80+BU80+BV80+BW80+BX80+BY80+BZ80+CA80+CB80+CC80+CD80)</f>
        <v>366.69999999999993</v>
      </c>
    </row>
    <row r="613" spans="1:14" ht="12.65" customHeight="1">
      <c r="A613" s="355"/>
      <c r="C613" s="303" t="s">
        <v>590</v>
      </c>
      <c r="D613" s="303" t="s">
        <v>591</v>
      </c>
      <c r="E613" s="288" t="s">
        <v>592</v>
      </c>
      <c r="F613" s="303" t="s">
        <v>593</v>
      </c>
      <c r="G613" s="303" t="s">
        <v>594</v>
      </c>
      <c r="H613" s="303" t="s">
        <v>595</v>
      </c>
      <c r="I613" s="303" t="s">
        <v>596</v>
      </c>
      <c r="J613" s="303" t="s">
        <v>597</v>
      </c>
      <c r="K613" s="303" t="s">
        <v>598</v>
      </c>
      <c r="L613" s="288" t="s">
        <v>599</v>
      </c>
    </row>
    <row r="614" spans="1:14" ht="12.65" customHeight="1">
      <c r="A614" s="355">
        <v>8430</v>
      </c>
      <c r="B614" s="288" t="s">
        <v>140</v>
      </c>
      <c r="C614" s="2">
        <f>BE71</f>
        <v>761994</v>
      </c>
      <c r="N614" s="290" t="s">
        <v>600</v>
      </c>
    </row>
    <row r="615" spans="1:14" ht="12.65" customHeight="1">
      <c r="A615" s="355"/>
      <c r="B615" s="288" t="s">
        <v>601</v>
      </c>
      <c r="C615" s="294">
        <f>CD69-CD70</f>
        <v>0</v>
      </c>
      <c r="D615" s="356">
        <f>SUM(C614:C615)</f>
        <v>761994</v>
      </c>
      <c r="N615" s="290" t="s">
        <v>602</v>
      </c>
    </row>
    <row r="616" spans="1:14" ht="12.65" customHeight="1">
      <c r="A616" s="355">
        <v>8310</v>
      </c>
      <c r="B616" s="357" t="s">
        <v>603</v>
      </c>
      <c r="C616" s="2">
        <f>AX71</f>
        <v>0</v>
      </c>
      <c r="D616" s="2">
        <f>(D615/D612)*AX76</f>
        <v>0</v>
      </c>
      <c r="N616" s="290" t="s">
        <v>604</v>
      </c>
    </row>
    <row r="617" spans="1:14" ht="12.65" customHeight="1">
      <c r="A617" s="355">
        <v>8510</v>
      </c>
      <c r="B617" s="357" t="s">
        <v>145</v>
      </c>
      <c r="C617" s="2">
        <f>BJ71</f>
        <v>104617</v>
      </c>
      <c r="D617" s="2">
        <f>(D615/D612)*BJ76</f>
        <v>9707.7997600049875</v>
      </c>
      <c r="N617" s="290" t="s">
        <v>605</v>
      </c>
    </row>
    <row r="618" spans="1:14" ht="12.65" customHeight="1">
      <c r="A618" s="355">
        <v>8470</v>
      </c>
      <c r="B618" s="357" t="s">
        <v>606</v>
      </c>
      <c r="C618" s="2">
        <f>BG71</f>
        <v>75851</v>
      </c>
      <c r="D618" s="2">
        <f>(D615/D612)*BG76</f>
        <v>2000.9348740805385</v>
      </c>
      <c r="N618" s="290" t="s">
        <v>607</v>
      </c>
    </row>
    <row r="619" spans="1:14" ht="12.65" customHeight="1">
      <c r="A619" s="355">
        <v>8610</v>
      </c>
      <c r="B619" s="357" t="s">
        <v>608</v>
      </c>
      <c r="C619" s="2">
        <f>BN71</f>
        <v>1574165</v>
      </c>
      <c r="D619" s="2">
        <f>(D615/D612)*BN76</f>
        <v>23007.782305822217</v>
      </c>
      <c r="N619" s="290" t="s">
        <v>609</v>
      </c>
    </row>
    <row r="620" spans="1:14" ht="12.65" customHeight="1">
      <c r="A620" s="355">
        <v>8790</v>
      </c>
      <c r="B620" s="357" t="s">
        <v>610</v>
      </c>
      <c r="C620" s="2">
        <f>CC71</f>
        <v>0</v>
      </c>
      <c r="D620" s="2">
        <f>(D615/D612)*CC76</f>
        <v>0</v>
      </c>
      <c r="N620" s="290" t="s">
        <v>611</v>
      </c>
    </row>
    <row r="621" spans="1:14" ht="12.65" customHeight="1">
      <c r="A621" s="355">
        <v>8630</v>
      </c>
      <c r="B621" s="357" t="s">
        <v>612</v>
      </c>
      <c r="C621" s="2">
        <f>BP71</f>
        <v>69466</v>
      </c>
      <c r="D621" s="2">
        <f>(D615/D612)*BP76</f>
        <v>4328.4318195985534</v>
      </c>
      <c r="N621" s="290" t="s">
        <v>613</v>
      </c>
    </row>
    <row r="622" spans="1:14" ht="12.65" customHeight="1">
      <c r="A622" s="355">
        <v>8770</v>
      </c>
      <c r="B622" s="288" t="s">
        <v>614</v>
      </c>
      <c r="C622" s="2">
        <f>CB71</f>
        <v>0</v>
      </c>
      <c r="D622" s="2">
        <f>(D615/D612)*CB76</f>
        <v>0</v>
      </c>
      <c r="N622" s="290" t="s">
        <v>615</v>
      </c>
    </row>
    <row r="623" spans="1:14" ht="12.65" customHeight="1">
      <c r="A623" s="355">
        <v>8640</v>
      </c>
      <c r="B623" s="357" t="s">
        <v>616</v>
      </c>
      <c r="C623" s="2">
        <f>BQ71</f>
        <v>0</v>
      </c>
      <c r="D623" s="2">
        <f>(D615/D612)*BQ76</f>
        <v>0</v>
      </c>
      <c r="E623" s="2">
        <f>SUM(C616:D623)</f>
        <v>1863143.9487595065</v>
      </c>
      <c r="N623" s="290" t="s">
        <v>617</v>
      </c>
    </row>
    <row r="624" spans="1:14" ht="12.65" customHeight="1">
      <c r="A624" s="355">
        <v>8420</v>
      </c>
      <c r="B624" s="357" t="s">
        <v>139</v>
      </c>
      <c r="C624" s="2">
        <f>BD71</f>
        <v>2106059</v>
      </c>
      <c r="D624" s="2">
        <f>(D615/D612)*BD76</f>
        <v>15229.667513402319</v>
      </c>
      <c r="E624" s="2">
        <f>(E623/E612)*SUM(C624:D624)</f>
        <v>173081.89868659349</v>
      </c>
      <c r="F624" s="2">
        <f>SUM(C624:E624)</f>
        <v>2294370.5661999956</v>
      </c>
      <c r="N624" s="290" t="s">
        <v>618</v>
      </c>
    </row>
    <row r="625" spans="1:14" ht="12.65" customHeight="1">
      <c r="A625" s="355">
        <v>8320</v>
      </c>
      <c r="B625" s="357" t="s">
        <v>135</v>
      </c>
      <c r="C625" s="2">
        <f>AY71</f>
        <v>451080</v>
      </c>
      <c r="D625" s="2">
        <f>(D615/D612)*AY76</f>
        <v>32531.519807380624</v>
      </c>
      <c r="E625" s="2">
        <f>(E623/E612)*SUM(C625:D625)</f>
        <v>39459.221819673308</v>
      </c>
      <c r="F625" s="2">
        <f>(F624/F612)*AY64</f>
        <v>162867.57835270485</v>
      </c>
      <c r="G625" s="2">
        <f>SUM(C625:F625)</f>
        <v>685938.31997975882</v>
      </c>
      <c r="N625" s="290" t="s">
        <v>619</v>
      </c>
    </row>
    <row r="626" spans="1:14" ht="12.65" customHeight="1">
      <c r="A626" s="355">
        <v>8650</v>
      </c>
      <c r="B626" s="357" t="s">
        <v>152</v>
      </c>
      <c r="C626" s="2">
        <f>BR71</f>
        <v>1337870</v>
      </c>
      <c r="D626" s="2">
        <f>(D615/D612)*BR76</f>
        <v>6014.6796066575243</v>
      </c>
      <c r="E626" s="2">
        <f>(E623/E612)*SUM(C626:D626)</f>
        <v>109651.32446344673</v>
      </c>
      <c r="F626" s="2">
        <f>(F624/F612)*BR64</f>
        <v>1033.4629534542653</v>
      </c>
      <c r="G626" s="2">
        <f>(G625/G612)*BR77</f>
        <v>0</v>
      </c>
      <c r="N626" s="290" t="s">
        <v>620</v>
      </c>
    </row>
    <row r="627" spans="1:14" ht="12.65" customHeight="1">
      <c r="A627" s="355">
        <v>8620</v>
      </c>
      <c r="B627" s="288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N627" s="290" t="s">
        <v>622</v>
      </c>
    </row>
    <row r="628" spans="1:14" ht="12.65" customHeight="1">
      <c r="A628" s="355">
        <v>8330</v>
      </c>
      <c r="B628" s="357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1454569.4670235584</v>
      </c>
      <c r="N628" s="290" t="s">
        <v>623</v>
      </c>
    </row>
    <row r="629" spans="1:14" ht="12.65" customHeight="1">
      <c r="A629" s="355">
        <v>8460</v>
      </c>
      <c r="B629" s="357" t="s">
        <v>141</v>
      </c>
      <c r="C629" s="2">
        <f>BF71</f>
        <v>416904</v>
      </c>
      <c r="D629" s="2">
        <f>(D615/D612)*BF76</f>
        <v>13590.919664006982</v>
      </c>
      <c r="E629" s="2">
        <f>(E623/E612)*SUM(C629:D629)</f>
        <v>35125.289269433248</v>
      </c>
      <c r="F629" s="2">
        <f>(F624/F612)*BF64</f>
        <v>27403.330172843383</v>
      </c>
      <c r="G629" s="2">
        <f>(G625/G612)*BF77</f>
        <v>0</v>
      </c>
      <c r="H629" s="2">
        <f>(H628/H612)*BF60</f>
        <v>75331.708335427495</v>
      </c>
      <c r="I629" s="2">
        <f>SUM(C629:H629)</f>
        <v>568355.24744171102</v>
      </c>
      <c r="N629" s="290" t="s">
        <v>624</v>
      </c>
    </row>
    <row r="630" spans="1:14" ht="12.65" customHeight="1">
      <c r="A630" s="355">
        <v>8350</v>
      </c>
      <c r="B630" s="357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N630" s="290" t="s">
        <v>626</v>
      </c>
    </row>
    <row r="631" spans="1:14" ht="12.65" customHeight="1">
      <c r="A631" s="355">
        <v>8200</v>
      </c>
      <c r="B631" s="357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N631" s="290" t="s">
        <v>628</v>
      </c>
    </row>
    <row r="632" spans="1:14" ht="12.65" customHeight="1">
      <c r="A632" s="355">
        <v>8360</v>
      </c>
      <c r="B632" s="357" t="s">
        <v>629</v>
      </c>
      <c r="C632" s="2">
        <f>BB71</f>
        <v>297172</v>
      </c>
      <c r="D632" s="2">
        <f>(D615/D612)*BB76</f>
        <v>4393.7442338860492</v>
      </c>
      <c r="E632" s="2">
        <f>(E623/E612)*SUM(C632:D632)</f>
        <v>24605.595829642956</v>
      </c>
      <c r="F632" s="2">
        <f>(F624/F612)*BB64</f>
        <v>2893.9170950893472</v>
      </c>
      <c r="G632" s="2">
        <f>(G625/G612)*BB77</f>
        <v>0</v>
      </c>
      <c r="H632" s="2">
        <f>(H628/H612)*BB60</f>
        <v>27424.556097808792</v>
      </c>
      <c r="I632" s="2">
        <f>(I629/I612)*BB78</f>
        <v>2685.9359926358302</v>
      </c>
      <c r="J632" s="2">
        <f>(J630/J612)*BB79</f>
        <v>0</v>
      </c>
      <c r="N632" s="290" t="s">
        <v>630</v>
      </c>
    </row>
    <row r="633" spans="1:14" ht="12.65" customHeight="1">
      <c r="A633" s="355">
        <v>8370</v>
      </c>
      <c r="B633" s="357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N633" s="290" t="s">
        <v>632</v>
      </c>
    </row>
    <row r="634" spans="1:14" ht="12.65" customHeight="1">
      <c r="A634" s="355">
        <v>8490</v>
      </c>
      <c r="B634" s="357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N634" s="290" t="s">
        <v>634</v>
      </c>
    </row>
    <row r="635" spans="1:14" ht="12.65" customHeight="1">
      <c r="A635" s="355">
        <v>8530</v>
      </c>
      <c r="B635" s="357" t="s">
        <v>635</v>
      </c>
      <c r="C635" s="2">
        <f>BK71</f>
        <v>419129</v>
      </c>
      <c r="D635" s="2">
        <f>(D615/D612)*BK76</f>
        <v>0</v>
      </c>
      <c r="E635" s="2">
        <f>(E623/E612)*SUM(C635:D635)</f>
        <v>34197.911970014764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N635" s="290" t="s">
        <v>636</v>
      </c>
    </row>
    <row r="636" spans="1:14" ht="12.65" customHeight="1">
      <c r="A636" s="355">
        <v>8480</v>
      </c>
      <c r="B636" s="357" t="s">
        <v>637</v>
      </c>
      <c r="C636" s="2">
        <f>BH71</f>
        <v>693561</v>
      </c>
      <c r="D636" s="2">
        <f>(D615/D612)*BH76</f>
        <v>4464.9941403814983</v>
      </c>
      <c r="E636" s="2">
        <f>(E623/E612)*SUM(C636:D636)</f>
        <v>56953.900828610771</v>
      </c>
      <c r="F636" s="2">
        <f>(F624/F612)*BH64</f>
        <v>19215.123695474977</v>
      </c>
      <c r="G636" s="2">
        <f>(G625/G612)*BH77</f>
        <v>0</v>
      </c>
      <c r="H636" s="2">
        <f>(H628/H612)*BH60</f>
        <v>20749.59459973294</v>
      </c>
      <c r="I636" s="2">
        <f>(I629/I612)*BH78</f>
        <v>2741.8929924824101</v>
      </c>
      <c r="J636" s="2">
        <f>(J630/J612)*BH79</f>
        <v>0</v>
      </c>
      <c r="N636" s="290" t="s">
        <v>638</v>
      </c>
    </row>
    <row r="637" spans="1:14" ht="12.65" customHeight="1">
      <c r="A637" s="355">
        <v>8560</v>
      </c>
      <c r="B637" s="357" t="s">
        <v>147</v>
      </c>
      <c r="C637" s="2">
        <f>BL71</f>
        <v>45574</v>
      </c>
      <c r="D637" s="2">
        <f>(D615/D612)*BL76</f>
        <v>10693.423466525372</v>
      </c>
      <c r="E637" s="2">
        <f>(E623/E612)*SUM(C637:D637)</f>
        <v>4591.0170722803186</v>
      </c>
      <c r="F637" s="2">
        <f>(F624/F612)*BL64</f>
        <v>0</v>
      </c>
      <c r="G637" s="2">
        <f>(G625/G612)*BL77</f>
        <v>0</v>
      </c>
      <c r="H637" s="2">
        <f>(H628/H612)*BL60</f>
        <v>11595.361688086054</v>
      </c>
      <c r="I637" s="2">
        <f>(I629/I612)*BL78</f>
        <v>6602.9259818964165</v>
      </c>
      <c r="J637" s="2">
        <f>(J630/J612)*BL79</f>
        <v>0</v>
      </c>
      <c r="N637" s="290" t="s">
        <v>639</v>
      </c>
    </row>
    <row r="638" spans="1:14" ht="12.65" customHeight="1">
      <c r="A638" s="355">
        <v>8590</v>
      </c>
      <c r="B638" s="357" t="s">
        <v>640</v>
      </c>
      <c r="C638" s="2">
        <f>BM71</f>
        <v>296532</v>
      </c>
      <c r="D638" s="2">
        <f>(D615/D612)*BM76</f>
        <v>0</v>
      </c>
      <c r="E638" s="2">
        <f>(E623/E612)*SUM(C638:D638)</f>
        <v>24194.878503497534</v>
      </c>
      <c r="F638" s="2">
        <f>(F624/F612)*BM64</f>
        <v>5794.4589527008375</v>
      </c>
      <c r="G638" s="2">
        <f>(G625/G612)*BM77</f>
        <v>0</v>
      </c>
      <c r="H638" s="2">
        <f>(H628/H612)*BM60</f>
        <v>62630.210170517443</v>
      </c>
      <c r="I638" s="2">
        <f>(I629/I612)*BM78</f>
        <v>0</v>
      </c>
      <c r="J638" s="2">
        <f>(J630/J612)*BM79</f>
        <v>0</v>
      </c>
      <c r="N638" s="290" t="s">
        <v>641</v>
      </c>
    </row>
    <row r="639" spans="1:14" ht="12.65" customHeight="1">
      <c r="A639" s="355">
        <v>8660</v>
      </c>
      <c r="B639" s="357" t="s">
        <v>642</v>
      </c>
      <c r="C639" s="2">
        <f>BS71</f>
        <v>0</v>
      </c>
      <c r="D639" s="2">
        <f>(D615/D612)*BS76</f>
        <v>1698.1227714748784</v>
      </c>
      <c r="E639" s="2">
        <f>(E623/E612)*SUM(C639:D639)</f>
        <v>138.5546050337137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1063.1829970850163</v>
      </c>
      <c r="J639" s="2">
        <f>(J630/J612)*BS79</f>
        <v>0</v>
      </c>
      <c r="N639" s="290" t="s">
        <v>643</v>
      </c>
    </row>
    <row r="640" spans="1:14" ht="12.65" customHeight="1">
      <c r="A640" s="355">
        <v>8670</v>
      </c>
      <c r="B640" s="357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N640" s="290" t="s">
        <v>645</v>
      </c>
    </row>
    <row r="641" spans="1:14" ht="12.65" customHeight="1">
      <c r="A641" s="355">
        <v>8680</v>
      </c>
      <c r="B641" s="357" t="s">
        <v>646</v>
      </c>
      <c r="C641" s="2">
        <f>BU71</f>
        <v>0</v>
      </c>
      <c r="D641" s="2">
        <f>(D615/D612)*BU76</f>
        <v>19920.286357686073</v>
      </c>
      <c r="E641" s="2">
        <f>(E623/E612)*SUM(C641:D641)</f>
        <v>1625.352097510872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290" t="s">
        <v>647</v>
      </c>
    </row>
    <row r="642" spans="1:14" ht="12.65" customHeight="1">
      <c r="A642" s="355">
        <v>8690</v>
      </c>
      <c r="B642" s="357" t="s">
        <v>648</v>
      </c>
      <c r="C642" s="2">
        <f>BV71</f>
        <v>278435</v>
      </c>
      <c r="D642" s="2">
        <f>(D615/D612)*BV76</f>
        <v>0</v>
      </c>
      <c r="E642" s="2">
        <f>(E623/E612)*SUM(C642:D642)</f>
        <v>22718.293459462504</v>
      </c>
      <c r="F642" s="2">
        <f>(F624/F612)*BV64</f>
        <v>1691.5226973204426</v>
      </c>
      <c r="G642" s="2">
        <f>(G625/G612)*BV77</f>
        <v>0</v>
      </c>
      <c r="H642" s="2">
        <f>(H628/H612)*BV60</f>
        <v>42757.896224817327</v>
      </c>
      <c r="I642" s="2">
        <f>(I629/I612)*BV78</f>
        <v>12254.582966400976</v>
      </c>
      <c r="J642" s="2">
        <f>(J630/J612)*BV79</f>
        <v>0</v>
      </c>
      <c r="N642" s="290" t="s">
        <v>649</v>
      </c>
    </row>
    <row r="643" spans="1:14" ht="12.65" customHeight="1">
      <c r="A643" s="355">
        <v>8700</v>
      </c>
      <c r="B643" s="357" t="s">
        <v>650</v>
      </c>
      <c r="C643" s="2">
        <f>BW71</f>
        <v>57821</v>
      </c>
      <c r="D643" s="2">
        <f>(D615/D612)*BW76</f>
        <v>0</v>
      </c>
      <c r="E643" s="2">
        <f>(E623/E612)*SUM(C643:D643)</f>
        <v>4717.7777438884532</v>
      </c>
      <c r="F643" s="2">
        <f>(F624/F612)*BW64</f>
        <v>278.24002592999449</v>
      </c>
      <c r="G643" s="2">
        <f>(G625/G612)*BW77</f>
        <v>0</v>
      </c>
      <c r="H643" s="2">
        <f>(H628/H612)*BW60</f>
        <v>4653.4017300871665</v>
      </c>
      <c r="I643" s="2">
        <f>(I629/I612)*BW78</f>
        <v>0</v>
      </c>
      <c r="J643" s="2">
        <f>(J630/J612)*BW79</f>
        <v>0</v>
      </c>
      <c r="N643" s="290" t="s">
        <v>651</v>
      </c>
    </row>
    <row r="644" spans="1:14" ht="12.65" customHeight="1">
      <c r="A644" s="355">
        <v>8710</v>
      </c>
      <c r="B644" s="357" t="s">
        <v>652</v>
      </c>
      <c r="C644" s="2">
        <f>BX71</f>
        <v>221888</v>
      </c>
      <c r="D644" s="2">
        <f>(D615/D612)*BX76</f>
        <v>492.81185326019198</v>
      </c>
      <c r="E644" s="2">
        <f>(E623/E612)*SUM(C644:D644)</f>
        <v>18144.674855660684</v>
      </c>
      <c r="F644" s="2">
        <f>(F624/F612)*BX64</f>
        <v>9.9371437832140881</v>
      </c>
      <c r="G644" s="2">
        <f>(G625/G612)*BX77</f>
        <v>0</v>
      </c>
      <c r="H644" s="2">
        <f>(H628/H612)*BX60</f>
        <v>12815.926076305639</v>
      </c>
      <c r="I644" s="2">
        <f>(I629/I612)*BX78</f>
        <v>279.784999232899</v>
      </c>
      <c r="J644" s="2">
        <f>(J630/J612)*BX79</f>
        <v>0</v>
      </c>
      <c r="K644" s="2">
        <f>SUM(C631:J644)</f>
        <v>2781801.7919162042</v>
      </c>
      <c r="N644" s="290" t="s">
        <v>653</v>
      </c>
    </row>
    <row r="645" spans="1:14" ht="12.65" customHeight="1">
      <c r="A645" s="355">
        <v>8720</v>
      </c>
      <c r="B645" s="357" t="s">
        <v>654</v>
      </c>
      <c r="C645" s="2">
        <f>BY71</f>
        <v>304513</v>
      </c>
      <c r="D645" s="2">
        <f>(D615/D612)*BY76</f>
        <v>6917.1784222665501</v>
      </c>
      <c r="E645" s="2">
        <f>(E623/E612)*SUM(C645:D645)</f>
        <v>25410.462713128087</v>
      </c>
      <c r="F645" s="2">
        <f>(F624/F612)*BY64</f>
        <v>5726.0030733053627</v>
      </c>
      <c r="G645" s="2">
        <f>(G625/G612)*BY77</f>
        <v>0</v>
      </c>
      <c r="H645" s="2">
        <f>(H628/H612)*BY60</f>
        <v>7895.5258862954379</v>
      </c>
      <c r="I645" s="2">
        <f>(I629/I612)*BY78</f>
        <v>4252.7319883400651</v>
      </c>
      <c r="J645" s="2">
        <f>(J630/J612)*BY79</f>
        <v>0</v>
      </c>
      <c r="K645" s="2">
        <v>0</v>
      </c>
      <c r="N645" s="290" t="s">
        <v>655</v>
      </c>
    </row>
    <row r="646" spans="1:14" ht="12.65" customHeight="1">
      <c r="A646" s="355">
        <v>8730</v>
      </c>
      <c r="B646" s="357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90" t="s">
        <v>657</v>
      </c>
    </row>
    <row r="647" spans="1:14" ht="12.65" customHeight="1">
      <c r="A647" s="355">
        <v>8740</v>
      </c>
      <c r="B647" s="357" t="s">
        <v>658</v>
      </c>
      <c r="C647" s="2">
        <f>CA71</f>
        <v>99147</v>
      </c>
      <c r="D647" s="2">
        <f>(D615/D612)*CA76</f>
        <v>13294.045053609276</v>
      </c>
      <c r="E647" s="2">
        <f>(E623/E612)*SUM(C647:D647)</f>
        <v>9174.3805858334636</v>
      </c>
      <c r="F647" s="2">
        <f>(F624/F612)*CA64</f>
        <v>765.16007130748483</v>
      </c>
      <c r="G647" s="2">
        <f>(G625/G612)*CA77</f>
        <v>0</v>
      </c>
      <c r="H647" s="2">
        <f>(H628/H612)*CA60</f>
        <v>7132.6731436581986</v>
      </c>
      <c r="I647" s="2">
        <f>(I629/I612)*CA78</f>
        <v>8169.7219776006505</v>
      </c>
      <c r="J647" s="2">
        <f>(J630/J612)*CA79</f>
        <v>0</v>
      </c>
      <c r="K647" s="2">
        <v>0</v>
      </c>
      <c r="L647" s="2">
        <f>SUM(C645:K647)</f>
        <v>492397.88291534461</v>
      </c>
      <c r="N647" s="290" t="s">
        <v>659</v>
      </c>
    </row>
    <row r="648" spans="1:14" ht="12.65" customHeight="1">
      <c r="A648" s="355"/>
      <c r="B648" s="355"/>
      <c r="C648" s="2">
        <f>SUM(C614:C647)</f>
        <v>9611778</v>
      </c>
      <c r="L648" s="356"/>
    </row>
    <row r="666" spans="1:14" ht="12.65" customHeight="1">
      <c r="C666" s="303" t="s">
        <v>660</v>
      </c>
      <c r="M666" s="303" t="s">
        <v>661</v>
      </c>
    </row>
    <row r="667" spans="1:14" ht="12.65" customHeight="1">
      <c r="C667" s="303" t="s">
        <v>590</v>
      </c>
      <c r="D667" s="303" t="s">
        <v>591</v>
      </c>
      <c r="E667" s="288" t="s">
        <v>592</v>
      </c>
      <c r="F667" s="303" t="s">
        <v>593</v>
      </c>
      <c r="G667" s="303" t="s">
        <v>594</v>
      </c>
      <c r="H667" s="303" t="s">
        <v>595</v>
      </c>
      <c r="I667" s="303" t="s">
        <v>596</v>
      </c>
      <c r="J667" s="303" t="s">
        <v>597</v>
      </c>
      <c r="K667" s="303" t="s">
        <v>598</v>
      </c>
      <c r="L667" s="288" t="s">
        <v>599</v>
      </c>
      <c r="M667" s="303" t="s">
        <v>662</v>
      </c>
    </row>
    <row r="668" spans="1:14" ht="12.65" customHeight="1">
      <c r="A668" s="355">
        <v>6010</v>
      </c>
      <c r="B668" s="288" t="s">
        <v>283</v>
      </c>
      <c r="C668" s="2">
        <f>C71</f>
        <v>1830541</v>
      </c>
      <c r="D668" s="2">
        <f>(D615/D612)*C76</f>
        <v>49946.184453310059</v>
      </c>
      <c r="E668" s="2">
        <f>(E623/E612)*SUM(C668:D668)</f>
        <v>153434.22954430548</v>
      </c>
      <c r="F668" s="2">
        <f>(F624/F612)*C64</f>
        <v>61165.328239856761</v>
      </c>
      <c r="G668" s="2">
        <f>(G625/G612)*C77</f>
        <v>68101.021942844789</v>
      </c>
      <c r="H668" s="2">
        <f>(H628/H612)*C60</f>
        <v>198646.85418273738</v>
      </c>
      <c r="I668" s="2">
        <f>(I629/I612)*C78</f>
        <v>30776.349915618888</v>
      </c>
      <c r="J668" s="2">
        <f>(J630/J612)*C79</f>
        <v>0</v>
      </c>
      <c r="K668" s="2">
        <f>(K644/K612)*C75</f>
        <v>158781.06117126739</v>
      </c>
      <c r="L668" s="2">
        <f>(L647/L612)*C80</f>
        <v>59592.631698344696</v>
      </c>
      <c r="M668" s="2">
        <f t="shared" ref="M668:M713" si="21">ROUND(SUM(D668:L668),0)</f>
        <v>780444</v>
      </c>
      <c r="N668" s="288" t="s">
        <v>663</v>
      </c>
    </row>
    <row r="669" spans="1:14" ht="12.65" customHeight="1">
      <c r="A669" s="355">
        <v>6030</v>
      </c>
      <c r="B669" s="288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288" t="s">
        <v>664</v>
      </c>
    </row>
    <row r="670" spans="1:14" ht="12.65" customHeight="1">
      <c r="A670" s="355">
        <v>6070</v>
      </c>
      <c r="B670" s="288" t="s">
        <v>665</v>
      </c>
      <c r="C670" s="2">
        <f>E71</f>
        <v>1057735</v>
      </c>
      <c r="D670" s="2">
        <f>(D615/D612)*E76</f>
        <v>70953.031885051736</v>
      </c>
      <c r="E670" s="2">
        <f>(E623/E612)*SUM(C670:D670)</f>
        <v>92092.825731491277</v>
      </c>
      <c r="F670" s="2">
        <f>(F624/F612)*E64</f>
        <v>47486.297758719054</v>
      </c>
      <c r="G670" s="2">
        <f>(G625/G612)*E77</f>
        <v>262305.18141638051</v>
      </c>
      <c r="H670" s="2">
        <f>(H628/H612)*E60</f>
        <v>142348.32177610905</v>
      </c>
      <c r="I670" s="2">
        <f>(I629/I612)*E78</f>
        <v>43702.416880178826</v>
      </c>
      <c r="J670" s="2">
        <f>(J630/J612)*E79</f>
        <v>0</v>
      </c>
      <c r="K670" s="2">
        <f>(K644/K612)*E75</f>
        <v>67440.943478082176</v>
      </c>
      <c r="L670" s="2">
        <f>(L647/L612)*E80</f>
        <v>42539.309873897248</v>
      </c>
      <c r="M670" s="2">
        <f t="shared" si="21"/>
        <v>768868</v>
      </c>
      <c r="N670" s="288" t="s">
        <v>666</v>
      </c>
    </row>
    <row r="671" spans="1:14" ht="12.65" customHeight="1">
      <c r="A671" s="355">
        <v>6100</v>
      </c>
      <c r="B671" s="288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288" t="s">
        <v>668</v>
      </c>
    </row>
    <row r="672" spans="1:14" ht="12.65" customHeight="1">
      <c r="A672" s="355">
        <v>6120</v>
      </c>
      <c r="B672" s="288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288" t="s">
        <v>670</v>
      </c>
    </row>
    <row r="673" spans="1:14" ht="12.65" customHeight="1">
      <c r="A673" s="355">
        <v>6140</v>
      </c>
      <c r="B673" s="288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288" t="s">
        <v>672</v>
      </c>
    </row>
    <row r="674" spans="1:14" ht="12.65" customHeight="1">
      <c r="A674" s="355">
        <v>6150</v>
      </c>
      <c r="B674" s="288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288" t="s">
        <v>674</v>
      </c>
    </row>
    <row r="675" spans="1:14" ht="12.65" customHeight="1">
      <c r="A675" s="355">
        <v>6170</v>
      </c>
      <c r="B675" s="288" t="s">
        <v>99</v>
      </c>
      <c r="C675" s="2">
        <f>J71</f>
        <v>188559</v>
      </c>
      <c r="D675" s="2">
        <f>(D615/D612)*J76</f>
        <v>4233.4319442712876</v>
      </c>
      <c r="E675" s="2">
        <f>(E623/E612)*SUM(C675:D675)</f>
        <v>15730.475858542957</v>
      </c>
      <c r="F675" s="2">
        <f>(F624/F612)*J64</f>
        <v>4960.8430019978778</v>
      </c>
      <c r="G675" s="2">
        <f>(G625/G612)*J77</f>
        <v>50957.74362861496</v>
      </c>
      <c r="H675" s="2">
        <f>(H628/H612)*J60</f>
        <v>0</v>
      </c>
      <c r="I675" s="2">
        <f>(I629/I612)*J78</f>
        <v>2629.9789927892507</v>
      </c>
      <c r="J675" s="2">
        <f>(J630/J612)*J79</f>
        <v>0</v>
      </c>
      <c r="K675" s="2">
        <f>(K644/K612)*J75</f>
        <v>16769.499114574995</v>
      </c>
      <c r="L675" s="2">
        <f>(L647/L612)*J80</f>
        <v>0</v>
      </c>
      <c r="M675" s="2">
        <f t="shared" si="21"/>
        <v>95282</v>
      </c>
      <c r="N675" s="288" t="s">
        <v>675</v>
      </c>
    </row>
    <row r="676" spans="1:14" ht="12.65" customHeight="1">
      <c r="A676" s="355">
        <v>6200</v>
      </c>
      <c r="B676" s="288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288" t="s">
        <v>676</v>
      </c>
    </row>
    <row r="677" spans="1:14" ht="12.65" customHeight="1">
      <c r="A677" s="355">
        <v>6210</v>
      </c>
      <c r="B677" s="288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288" t="s">
        <v>677</v>
      </c>
    </row>
    <row r="678" spans="1:14" ht="12.65" customHeight="1">
      <c r="A678" s="355">
        <v>6330</v>
      </c>
      <c r="B678" s="288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288" t="s">
        <v>679</v>
      </c>
    </row>
    <row r="679" spans="1:14" ht="12.65" customHeight="1">
      <c r="A679" s="355">
        <v>6400</v>
      </c>
      <c r="B679" s="288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0</v>
      </c>
      <c r="N679" s="288" t="s">
        <v>681</v>
      </c>
    </row>
    <row r="680" spans="1:14" ht="12.65" customHeight="1">
      <c r="A680" s="355">
        <v>7010</v>
      </c>
      <c r="B680" s="288" t="s">
        <v>682</v>
      </c>
      <c r="C680" s="2">
        <f>O71</f>
        <v>998600</v>
      </c>
      <c r="D680" s="2">
        <f>(D615/D612)*O76</f>
        <v>133920.13675040519</v>
      </c>
      <c r="E680" s="2">
        <f>(E623/E612)*SUM(C680:D680)</f>
        <v>92405.497927510238</v>
      </c>
      <c r="F680" s="2">
        <f>(F624/F612)*O64</f>
        <v>45858.814432445994</v>
      </c>
      <c r="G680" s="2">
        <f>(G625/G612)*O77</f>
        <v>304574.37299191853</v>
      </c>
      <c r="H680" s="2">
        <f>(H628/H612)*O60</f>
        <v>105464.3916695985</v>
      </c>
      <c r="I680" s="2">
        <f>(I629/I612)*O78</f>
        <v>82480.617773858627</v>
      </c>
      <c r="J680" s="2">
        <f>(J630/J612)*O79</f>
        <v>0</v>
      </c>
      <c r="K680" s="2">
        <f>(K644/K612)*O75</f>
        <v>104510.46931435235</v>
      </c>
      <c r="L680" s="2">
        <f>(L647/L612)*O80</f>
        <v>26184.234297379935</v>
      </c>
      <c r="M680" s="2">
        <f t="shared" si="21"/>
        <v>895399</v>
      </c>
      <c r="N680" s="288" t="s">
        <v>683</v>
      </c>
    </row>
    <row r="681" spans="1:14" ht="12.65" customHeight="1">
      <c r="A681" s="355">
        <v>7020</v>
      </c>
      <c r="B681" s="288" t="s">
        <v>684</v>
      </c>
      <c r="C681" s="2">
        <f>P71</f>
        <v>1539849</v>
      </c>
      <c r="D681" s="2">
        <f>(D615/D612)*P76</f>
        <v>13412.794897768357</v>
      </c>
      <c r="E681" s="2">
        <f>(E623/E612)*SUM(C681:D681)</f>
        <v>126734.99120390383</v>
      </c>
      <c r="F681" s="2">
        <f>(F624/F612)*P64</f>
        <v>514948.31148158916</v>
      </c>
      <c r="G681" s="2">
        <f>(G625/G612)*P77</f>
        <v>0</v>
      </c>
      <c r="H681" s="2">
        <f>(H628/H612)*P60</f>
        <v>67741.323546186948</v>
      </c>
      <c r="I681" s="2">
        <f>(I629/I612)*P78</f>
        <v>8281.6359772938104</v>
      </c>
      <c r="J681" s="2">
        <f>(J630/J612)*P79</f>
        <v>0</v>
      </c>
      <c r="K681" s="2">
        <f>(K644/K612)*P75</f>
        <v>375551.7348256323</v>
      </c>
      <c r="L681" s="2">
        <f>(L647/L612)*P80</f>
        <v>15656.829328587182</v>
      </c>
      <c r="M681" s="2">
        <f t="shared" si="21"/>
        <v>1122328</v>
      </c>
      <c r="N681" s="288" t="s">
        <v>685</v>
      </c>
    </row>
    <row r="682" spans="1:14" ht="12.65" customHeight="1">
      <c r="A682" s="355">
        <v>7030</v>
      </c>
      <c r="B682" s="288" t="s">
        <v>686</v>
      </c>
      <c r="C682" s="2">
        <f>Q71</f>
        <v>293919</v>
      </c>
      <c r="D682" s="2">
        <f>(D615/D612)*Q76</f>
        <v>17052.477621244234</v>
      </c>
      <c r="E682" s="2">
        <f>(E623/E612)*SUM(C682:D682)</f>
        <v>25373.03602680016</v>
      </c>
      <c r="F682" s="2">
        <f>(F624/F612)*Q64</f>
        <v>16416.161529869674</v>
      </c>
      <c r="G682" s="2">
        <f>(G625/G612)*Q77</f>
        <v>0</v>
      </c>
      <c r="H682" s="2">
        <f>(H628/H612)*Q60</f>
        <v>23724.720296018175</v>
      </c>
      <c r="I682" s="2">
        <f>(I629/I612)*Q78</f>
        <v>10519.915971157003</v>
      </c>
      <c r="J682" s="2">
        <f>(J630/J612)*Q79</f>
        <v>0</v>
      </c>
      <c r="K682" s="2">
        <f>(K644/K612)*Q75</f>
        <v>117545.98335121585</v>
      </c>
      <c r="L682" s="2">
        <f>(L647/L612)*Q80</f>
        <v>7224.1631035848231</v>
      </c>
      <c r="M682" s="2">
        <f t="shared" si="21"/>
        <v>217856</v>
      </c>
      <c r="N682" s="288" t="s">
        <v>687</v>
      </c>
    </row>
    <row r="683" spans="1:14" ht="12.65" customHeight="1">
      <c r="A683" s="355">
        <v>7040</v>
      </c>
      <c r="B683" s="288" t="s">
        <v>107</v>
      </c>
      <c r="C683" s="2">
        <f>R71</f>
        <v>430072</v>
      </c>
      <c r="D683" s="2">
        <f>(D615/D612)*R76</f>
        <v>2036.5598273282633</v>
      </c>
      <c r="E683" s="2">
        <f>(E623/E612)*SUM(C683:D683)</f>
        <v>35256.950701251473</v>
      </c>
      <c r="F683" s="2">
        <f>(F624/F612)*R64</f>
        <v>63284.14811985541</v>
      </c>
      <c r="G683" s="2">
        <f>(G625/G612)*R77</f>
        <v>0</v>
      </c>
      <c r="H683" s="2">
        <f>(H628/H612)*R60</f>
        <v>7170.8157807900598</v>
      </c>
      <c r="I683" s="2">
        <f>(I629/I612)*R78</f>
        <v>1231.0539966247557</v>
      </c>
      <c r="J683" s="2">
        <f>(J630/J612)*R79</f>
        <v>0</v>
      </c>
      <c r="K683" s="2">
        <f>(K644/K612)*R75</f>
        <v>69962.630771332639</v>
      </c>
      <c r="L683" s="2">
        <f>(L647/L612)*R80</f>
        <v>2161.8778060913692</v>
      </c>
      <c r="M683" s="2">
        <f t="shared" si="21"/>
        <v>181104</v>
      </c>
      <c r="N683" s="288" t="s">
        <v>688</v>
      </c>
    </row>
    <row r="684" spans="1:14" ht="12.65" customHeight="1">
      <c r="A684" s="355">
        <v>7050</v>
      </c>
      <c r="B684" s="288" t="s">
        <v>689</v>
      </c>
      <c r="C684" s="2">
        <f>S71</f>
        <v>792035</v>
      </c>
      <c r="D684" s="2">
        <f>(D615/D612)*S76</f>
        <v>17141.540004363545</v>
      </c>
      <c r="E684" s="2">
        <f>(E623/E612)*SUM(C684:D684)</f>
        <v>66022.985962007762</v>
      </c>
      <c r="F684" s="2">
        <f>(F624/F612)*S64</f>
        <v>111135.91194437935</v>
      </c>
      <c r="G684" s="2">
        <f>(G625/G612)*S77</f>
        <v>0</v>
      </c>
      <c r="H684" s="2">
        <f>(H628/H612)*S60</f>
        <v>38752.919325971816</v>
      </c>
      <c r="I684" s="2">
        <f>(I629/I612)*S78</f>
        <v>10575.872971003582</v>
      </c>
      <c r="J684" s="2">
        <f>(J630/J612)*S79</f>
        <v>0</v>
      </c>
      <c r="K684" s="2">
        <f>(K644/K612)*S75</f>
        <v>0</v>
      </c>
      <c r="L684" s="2">
        <f>(L647/L612)*S80</f>
        <v>10581.116218633533</v>
      </c>
      <c r="M684" s="2">
        <f t="shared" si="21"/>
        <v>254210</v>
      </c>
      <c r="N684" s="288" t="s">
        <v>690</v>
      </c>
    </row>
    <row r="685" spans="1:14" ht="12.65" customHeight="1">
      <c r="A685" s="355">
        <v>7060</v>
      </c>
      <c r="B685" s="288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1"/>
        <v>0</v>
      </c>
      <c r="N685" s="288" t="s">
        <v>692</v>
      </c>
    </row>
    <row r="686" spans="1:14" ht="12.65" customHeight="1">
      <c r="A686" s="355">
        <v>7070</v>
      </c>
      <c r="B686" s="288" t="s">
        <v>109</v>
      </c>
      <c r="C686" s="2">
        <f>U71</f>
        <v>843655</v>
      </c>
      <c r="D686" s="2">
        <f>(D615/D612)*U76</f>
        <v>16292.478618626106</v>
      </c>
      <c r="E686" s="2">
        <f>(E623/E612)*SUM(C686:D686)</f>
        <v>70165.5294017735</v>
      </c>
      <c r="F686" s="2">
        <f>(F624/F612)*U64</f>
        <v>224179.75549513579</v>
      </c>
      <c r="G686" s="2">
        <f>(G625/G612)*U77</f>
        <v>0</v>
      </c>
      <c r="H686" s="2">
        <f>(H628/H612)*U60</f>
        <v>71021.590339527087</v>
      </c>
      <c r="I686" s="2">
        <f>(I629/I612)*U78</f>
        <v>10016.302972537784</v>
      </c>
      <c r="J686" s="2">
        <f>(J630/J612)*U79</f>
        <v>0</v>
      </c>
      <c r="K686" s="2">
        <f>(K644/K612)*U75</f>
        <v>223467.16726326337</v>
      </c>
      <c r="L686" s="2">
        <f>(L647/L612)*U80</f>
        <v>22786.99774495064</v>
      </c>
      <c r="M686" s="2">
        <f t="shared" si="21"/>
        <v>637930</v>
      </c>
      <c r="N686" s="288" t="s">
        <v>693</v>
      </c>
    </row>
    <row r="687" spans="1:14" ht="12.65" customHeight="1">
      <c r="A687" s="355">
        <v>7110</v>
      </c>
      <c r="B687" s="288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1"/>
        <v>0</v>
      </c>
      <c r="N687" s="288" t="s">
        <v>695</v>
      </c>
    </row>
    <row r="688" spans="1:14" ht="12.65" customHeight="1">
      <c r="A688" s="355">
        <v>7120</v>
      </c>
      <c r="B688" s="288" t="s">
        <v>696</v>
      </c>
      <c r="C688" s="2">
        <f>W71</f>
        <v>69992</v>
      </c>
      <c r="D688" s="2">
        <f>(D615/D612)*W76</f>
        <v>5236.8681274155342</v>
      </c>
      <c r="E688" s="2">
        <f>(E623/E612)*SUM(C688:D688)</f>
        <v>6138.1345834461608</v>
      </c>
      <c r="F688" s="2">
        <f>(F624/F612)*W64</f>
        <v>-2166.2973447406712</v>
      </c>
      <c r="G688" s="2">
        <f>(G625/G612)*W77</f>
        <v>0</v>
      </c>
      <c r="H688" s="2">
        <f>(H628/H612)*W60</f>
        <v>5225.5412870650971</v>
      </c>
      <c r="I688" s="2">
        <f>(I629/I612)*W78</f>
        <v>3245.5059911016283</v>
      </c>
      <c r="J688" s="2">
        <f>(J630/J612)*W79</f>
        <v>0</v>
      </c>
      <c r="K688" s="2">
        <f>(K644/K612)*W75</f>
        <v>18650.077800213665</v>
      </c>
      <c r="L688" s="2">
        <f>(L647/L612)*W80</f>
        <v>1571.0540578427961</v>
      </c>
      <c r="M688" s="2">
        <f t="shared" si="21"/>
        <v>37901</v>
      </c>
      <c r="N688" s="288" t="s">
        <v>697</v>
      </c>
    </row>
    <row r="689" spans="1:14" ht="12.65" customHeight="1">
      <c r="A689" s="355">
        <v>7130</v>
      </c>
      <c r="B689" s="288" t="s">
        <v>698</v>
      </c>
      <c r="C689" s="2">
        <f>X71</f>
        <v>503982</v>
      </c>
      <c r="D689" s="2">
        <f>(D615/D612)*X76</f>
        <v>35529.953372397453</v>
      </c>
      <c r="E689" s="2">
        <f>(E623/E612)*SUM(C689:D689)</f>
        <v>44020.295155429369</v>
      </c>
      <c r="F689" s="2">
        <f>(F624/F612)*X64</f>
        <v>17600.889894246196</v>
      </c>
      <c r="G689" s="2">
        <f>(G625/G612)*X77</f>
        <v>0</v>
      </c>
      <c r="H689" s="2">
        <f>(H628/H612)*X60</f>
        <v>20253.740317018735</v>
      </c>
      <c r="I689" s="2">
        <f>(I629/I612)*X78</f>
        <v>21879.1869400127</v>
      </c>
      <c r="J689" s="2">
        <f>(J630/J612)*X79</f>
        <v>0</v>
      </c>
      <c r="K689" s="2">
        <f>(K644/K612)*X75</f>
        <v>381599.12565939163</v>
      </c>
      <c r="L689" s="2">
        <f>(L647/L612)*X80</f>
        <v>7063.0293540624853</v>
      </c>
      <c r="M689" s="2">
        <f t="shared" si="21"/>
        <v>527946</v>
      </c>
      <c r="N689" s="288" t="s">
        <v>699</v>
      </c>
    </row>
    <row r="690" spans="1:14" ht="12.65" customHeight="1">
      <c r="A690" s="355">
        <v>7140</v>
      </c>
      <c r="B690" s="288" t="s">
        <v>1250</v>
      </c>
      <c r="C690" s="2">
        <f>Y71</f>
        <v>1564115</v>
      </c>
      <c r="D690" s="2">
        <f>(D615/D612)*Y76</f>
        <v>83487.077936042886</v>
      </c>
      <c r="E690" s="2">
        <f>(E623/E612)*SUM(C690:D690)</f>
        <v>134432.47979230783</v>
      </c>
      <c r="F690" s="2">
        <f>(F624/F612)*Y64</f>
        <v>-12837.685640825579</v>
      </c>
      <c r="G690" s="2">
        <f>(G625/G612)*Y77</f>
        <v>0</v>
      </c>
      <c r="H690" s="2">
        <f>(H628/H612)*Y60</f>
        <v>118661.74411722274</v>
      </c>
      <c r="I690" s="2">
        <f>(I629/I612)*Y78</f>
        <v>51424.482859006835</v>
      </c>
      <c r="J690" s="2">
        <f>(J630/J612)*Y79</f>
        <v>0</v>
      </c>
      <c r="K690" s="2">
        <f>(K644/K612)*Y75</f>
        <v>250921.30445962807</v>
      </c>
      <c r="L690" s="2">
        <f>(L647/L612)*Y80</f>
        <v>29380.053662906306</v>
      </c>
      <c r="M690" s="2">
        <f t="shared" si="21"/>
        <v>655469</v>
      </c>
      <c r="N690" s="288" t="s">
        <v>700</v>
      </c>
    </row>
    <row r="691" spans="1:14" ht="12.65" customHeight="1">
      <c r="A691" s="355">
        <v>7150</v>
      </c>
      <c r="B691" s="288" t="s">
        <v>701</v>
      </c>
      <c r="C691" s="2">
        <f>Z71</f>
        <v>369548</v>
      </c>
      <c r="D691" s="2">
        <f>(D615/D612)*Z76</f>
        <v>29889.335774841042</v>
      </c>
      <c r="E691" s="2">
        <f>(E623/E612)*SUM(C691:D691)</f>
        <v>32591.213794238149</v>
      </c>
      <c r="F691" s="2">
        <f>(F624/F612)*Z64</f>
        <v>1130.6261371123585</v>
      </c>
      <c r="G691" s="2">
        <f>(G625/G612)*Z77</f>
        <v>0</v>
      </c>
      <c r="H691" s="2">
        <f>(H628/H612)*Z60</f>
        <v>23381.436561831419</v>
      </c>
      <c r="I691" s="2">
        <f>(I629/I612)*Z78</f>
        <v>18409.852949524753</v>
      </c>
      <c r="J691" s="2">
        <f>(J630/J612)*Z79</f>
        <v>0</v>
      </c>
      <c r="K691" s="2">
        <f>(K644/K612)*Z75</f>
        <v>195486.93114531453</v>
      </c>
      <c r="L691" s="2">
        <f>(L647/L612)*Z80</f>
        <v>7439.0081029479406</v>
      </c>
      <c r="M691" s="2">
        <f t="shared" si="21"/>
        <v>308328</v>
      </c>
      <c r="N691" s="288" t="s">
        <v>702</v>
      </c>
    </row>
    <row r="692" spans="1:14" ht="12.65" customHeight="1">
      <c r="A692" s="355">
        <v>7160</v>
      </c>
      <c r="B692" s="288" t="s">
        <v>703</v>
      </c>
      <c r="C692" s="2">
        <f>AA71</f>
        <v>101402</v>
      </c>
      <c r="D692" s="2">
        <f>(D615/D612)*AA76</f>
        <v>2161.2471636952996</v>
      </c>
      <c r="E692" s="2">
        <f>(E623/E612)*SUM(C692:D692)</f>
        <v>8450.0161282873123</v>
      </c>
      <c r="F692" s="2">
        <f>(F624/F612)*AA64</f>
        <v>22877.513243132878</v>
      </c>
      <c r="G692" s="2">
        <f>(G625/G612)*AA77</f>
        <v>0</v>
      </c>
      <c r="H692" s="2">
        <f>(H628/H612)*AA60</f>
        <v>5568.8250212518551</v>
      </c>
      <c r="I692" s="2">
        <f>(I629/I612)*AA78</f>
        <v>1342.9679963179151</v>
      </c>
      <c r="J692" s="2">
        <f>(J630/J612)*AA79</f>
        <v>0</v>
      </c>
      <c r="K692" s="2">
        <f>(K644/K612)*AA75</f>
        <v>18380.186040860626</v>
      </c>
      <c r="L692" s="2">
        <f>(L647/L612)*AA80</f>
        <v>1517.3428080020167</v>
      </c>
      <c r="M692" s="2">
        <f t="shared" si="21"/>
        <v>60298</v>
      </c>
      <c r="N692" s="288" t="s">
        <v>704</v>
      </c>
    </row>
    <row r="693" spans="1:14" ht="12.65" customHeight="1">
      <c r="A693" s="355">
        <v>7170</v>
      </c>
      <c r="B693" s="288" t="s">
        <v>115</v>
      </c>
      <c r="C693" s="2">
        <f>AB71</f>
        <v>1182241</v>
      </c>
      <c r="D693" s="2">
        <f>(D615/D612)*AB76</f>
        <v>7469.3651976062838</v>
      </c>
      <c r="E693" s="2">
        <f>(E623/E612)*SUM(C693:D693)</f>
        <v>97071.809249280908</v>
      </c>
      <c r="F693" s="2">
        <f>(F624/F612)*AB64</f>
        <v>736216.48384824325</v>
      </c>
      <c r="G693" s="2">
        <f>(G625/G612)*AB77</f>
        <v>0</v>
      </c>
      <c r="H693" s="2">
        <f>(H628/H612)*AB60</f>
        <v>3661.6931646587536</v>
      </c>
      <c r="I693" s="2">
        <f>(I629/I612)*AB78</f>
        <v>4588.4739874195438</v>
      </c>
      <c r="J693" s="2">
        <f>(J630/J612)*AB79</f>
        <v>0</v>
      </c>
      <c r="K693" s="2">
        <f>(K644/K612)*AB75</f>
        <v>96228.984317648996</v>
      </c>
      <c r="L693" s="2">
        <f>(L647/L612)*AB80</f>
        <v>14596.032144231789</v>
      </c>
      <c r="M693" s="2">
        <f t="shared" si="21"/>
        <v>959833</v>
      </c>
      <c r="N693" s="288" t="s">
        <v>705</v>
      </c>
    </row>
    <row r="694" spans="1:14" ht="12.65" customHeight="1">
      <c r="A694" s="355">
        <v>7180</v>
      </c>
      <c r="B694" s="288" t="s">
        <v>706</v>
      </c>
      <c r="C694" s="2">
        <f>AC71</f>
        <v>437768</v>
      </c>
      <c r="D694" s="2">
        <f>(D615/D612)*AC76</f>
        <v>25145.279500685701</v>
      </c>
      <c r="E694" s="2">
        <f>(E623/E612)*SUM(C694:D694)</f>
        <v>37770.394275068742</v>
      </c>
      <c r="F694" s="2">
        <f>(F624/F612)*AC64</f>
        <v>37861.621941132704</v>
      </c>
      <c r="G694" s="2">
        <f>(G625/G612)*AC77</f>
        <v>0</v>
      </c>
      <c r="H694" s="2">
        <f>(H628/H612)*AC60</f>
        <v>45008.31181559719</v>
      </c>
      <c r="I694" s="2">
        <f>(I629/I612)*AC78</f>
        <v>15500.088957502605</v>
      </c>
      <c r="J694" s="2">
        <f>(J630/J612)*AC79</f>
        <v>0</v>
      </c>
      <c r="K694" s="2">
        <f>(K644/K612)*AC75</f>
        <v>51356.579962722783</v>
      </c>
      <c r="L694" s="2">
        <f>(L647/L612)*AC80</f>
        <v>13521.807147416202</v>
      </c>
      <c r="M694" s="2">
        <f t="shared" si="21"/>
        <v>226164</v>
      </c>
      <c r="N694" s="288" t="s">
        <v>707</v>
      </c>
    </row>
    <row r="695" spans="1:14" ht="12.65" customHeight="1">
      <c r="A695" s="355">
        <v>7190</v>
      </c>
      <c r="B695" s="288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288" t="s">
        <v>708</v>
      </c>
    </row>
    <row r="696" spans="1:14" ht="12.65" customHeight="1">
      <c r="A696" s="355">
        <v>7200</v>
      </c>
      <c r="B696" s="288" t="s">
        <v>709</v>
      </c>
      <c r="C696" s="2">
        <f>AE71</f>
        <v>225946</v>
      </c>
      <c r="D696" s="2">
        <f>(D615/D612)*AE76</f>
        <v>25014.654672110708</v>
      </c>
      <c r="E696" s="2">
        <f>(E623/E612)*SUM(C696:D696)</f>
        <v>20476.584479752335</v>
      </c>
      <c r="F696" s="2">
        <f>(F624/F612)*AE64</f>
        <v>2193.9005219162659</v>
      </c>
      <c r="G696" s="2">
        <f>(G625/G612)*AE77</f>
        <v>0</v>
      </c>
      <c r="H696" s="2">
        <f>(H628/H612)*AE60</f>
        <v>30857.393439676373</v>
      </c>
      <c r="I696" s="2">
        <f>(I629/I612)*AE78</f>
        <v>15388.174957809444</v>
      </c>
      <c r="J696" s="2">
        <f>(J630/J612)*AE79</f>
        <v>0</v>
      </c>
      <c r="K696" s="2">
        <f>(K644/K612)*AE75</f>
        <v>18497.145043600616</v>
      </c>
      <c r="L696" s="2">
        <f>(L647/L612)*AE80</f>
        <v>9238.3349726140495</v>
      </c>
      <c r="M696" s="2">
        <f t="shared" si="21"/>
        <v>121666</v>
      </c>
      <c r="N696" s="288" t="s">
        <v>710</v>
      </c>
    </row>
    <row r="697" spans="1:14" ht="12.65" customHeight="1">
      <c r="A697" s="355">
        <v>7220</v>
      </c>
      <c r="B697" s="288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288" t="s">
        <v>712</v>
      </c>
    </row>
    <row r="698" spans="1:14" ht="12.65" customHeight="1">
      <c r="A698" s="355">
        <v>7230</v>
      </c>
      <c r="B698" s="288" t="s">
        <v>713</v>
      </c>
      <c r="C698" s="2">
        <f>AG71</f>
        <v>1000163</v>
      </c>
      <c r="D698" s="2">
        <f>(D615/D612)*AG76</f>
        <v>25222.466899389103</v>
      </c>
      <c r="E698" s="2">
        <f>(E623/E612)*SUM(C698:D698)</f>
        <v>83664.079394071494</v>
      </c>
      <c r="F698" s="2">
        <f>(F624/F612)*AG64</f>
        <v>59345.72680044156</v>
      </c>
      <c r="G698" s="2">
        <f>(G625/G612)*AG77</f>
        <v>0</v>
      </c>
      <c r="H698" s="2">
        <f>(H628/H612)*AG60</f>
        <v>83036.521036063612</v>
      </c>
      <c r="I698" s="2">
        <f>(I629/I612)*AG78</f>
        <v>15556.045957349184</v>
      </c>
      <c r="J698" s="2">
        <f>(J630/J612)*AG79</f>
        <v>0</v>
      </c>
      <c r="K698" s="2">
        <f>(K644/K612)*AG75</f>
        <v>230126.09222279687</v>
      </c>
      <c r="L698" s="2">
        <f>(L647/L612)*AG80</f>
        <v>21591.9224359933</v>
      </c>
      <c r="M698" s="2">
        <f t="shared" si="21"/>
        <v>518543</v>
      </c>
      <c r="N698" s="288" t="s">
        <v>714</v>
      </c>
    </row>
    <row r="699" spans="1:14" ht="12.65" customHeight="1">
      <c r="A699" s="355">
        <v>7240</v>
      </c>
      <c r="B699" s="288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288" t="s">
        <v>715</v>
      </c>
    </row>
    <row r="700" spans="1:14" ht="12.65" customHeight="1">
      <c r="A700" s="355">
        <v>7250</v>
      </c>
      <c r="B700" s="288" t="s">
        <v>716</v>
      </c>
      <c r="C700" s="2">
        <f>AI71</f>
        <v>685034</v>
      </c>
      <c r="D700" s="2">
        <f>(D615/D612)*AI76</f>
        <v>29562.773703403564</v>
      </c>
      <c r="E700" s="2">
        <f>(E623/E612)*SUM(C700:D700)</f>
        <v>58305.957261763215</v>
      </c>
      <c r="F700" s="2">
        <f>(F624/F612)*AI64</f>
        <v>101515.65263514107</v>
      </c>
      <c r="G700" s="2">
        <f>(G625/G612)*AI77</f>
        <v>0</v>
      </c>
      <c r="H700" s="2">
        <f>(H628/H612)*AI60</f>
        <v>72051.441542087356</v>
      </c>
      <c r="I700" s="2">
        <f>(I629/I612)*AI78</f>
        <v>18186.024950138435</v>
      </c>
      <c r="J700" s="2">
        <f>(J630/J612)*AI79</f>
        <v>0</v>
      </c>
      <c r="K700" s="2">
        <f>(K644/K612)*AI75</f>
        <v>44365.719840194208</v>
      </c>
      <c r="L700" s="2">
        <f>(L647/L612)*AI80</f>
        <v>22263.313059003041</v>
      </c>
      <c r="M700" s="2">
        <f t="shared" si="21"/>
        <v>346251</v>
      </c>
      <c r="N700" s="288" t="s">
        <v>717</v>
      </c>
    </row>
    <row r="701" spans="1:14" ht="12.65" customHeight="1">
      <c r="A701" s="355">
        <v>7260</v>
      </c>
      <c r="B701" s="288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1"/>
        <v>0</v>
      </c>
      <c r="N701" s="288" t="s">
        <v>718</v>
      </c>
    </row>
    <row r="702" spans="1:14" ht="12.65" customHeight="1">
      <c r="A702" s="355">
        <v>7310</v>
      </c>
      <c r="B702" s="288" t="s">
        <v>719</v>
      </c>
      <c r="C702" s="2">
        <f>AK71</f>
        <v>36658</v>
      </c>
      <c r="D702" s="2">
        <f>(D615/D612)*AK76</f>
        <v>0</v>
      </c>
      <c r="E702" s="2">
        <f>(E623/E612)*SUM(C702:D702)</f>
        <v>2991.0291509220338</v>
      </c>
      <c r="F702" s="2">
        <f>(F624/F612)*AK64</f>
        <v>1482.8426778729468</v>
      </c>
      <c r="G702" s="2">
        <f>(G625/G612)*AK77</f>
        <v>0</v>
      </c>
      <c r="H702" s="2">
        <f>(H628/H612)*AK60</f>
        <v>3585.4078903950303</v>
      </c>
      <c r="I702" s="2">
        <f>(I629/I612)*AK78</f>
        <v>0</v>
      </c>
      <c r="J702" s="2">
        <f>(J630/J612)*AK79</f>
        <v>0</v>
      </c>
      <c r="K702" s="2">
        <f>(K644/K612)*AK75</f>
        <v>5208.2789043371995</v>
      </c>
      <c r="L702" s="2">
        <f>(L647/L612)*AK80</f>
        <v>899.66343483305423</v>
      </c>
      <c r="M702" s="2">
        <f t="shared" si="21"/>
        <v>14167</v>
      </c>
      <c r="N702" s="288" t="s">
        <v>720</v>
      </c>
    </row>
    <row r="703" spans="1:14" ht="12.65" customHeight="1">
      <c r="A703" s="355">
        <v>7320</v>
      </c>
      <c r="B703" s="288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0</v>
      </c>
      <c r="N703" s="288" t="s">
        <v>722</v>
      </c>
    </row>
    <row r="704" spans="1:14" ht="12.65" customHeight="1">
      <c r="A704" s="355">
        <v>7330</v>
      </c>
      <c r="B704" s="288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288" t="s">
        <v>724</v>
      </c>
    </row>
    <row r="705" spans="1:83" ht="12.65" customHeight="1">
      <c r="A705" s="355">
        <v>7340</v>
      </c>
      <c r="B705" s="288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288" t="s">
        <v>726</v>
      </c>
    </row>
    <row r="706" spans="1:83" ht="12.65" customHeight="1">
      <c r="A706" s="355">
        <v>7350</v>
      </c>
      <c r="B706" s="288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288" t="s">
        <v>728</v>
      </c>
    </row>
    <row r="707" spans="1:83" ht="12.65" customHeight="1">
      <c r="A707" s="355">
        <v>7380</v>
      </c>
      <c r="B707" s="288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1"/>
        <v>0</v>
      </c>
      <c r="N707" s="288" t="s">
        <v>730</v>
      </c>
    </row>
    <row r="708" spans="1:83" ht="12.65" customHeight="1">
      <c r="A708" s="355">
        <v>7390</v>
      </c>
      <c r="B708" s="288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288" t="s">
        <v>732</v>
      </c>
    </row>
    <row r="709" spans="1:83" ht="12.65" customHeight="1">
      <c r="A709" s="355">
        <v>7400</v>
      </c>
      <c r="B709" s="288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288" t="s">
        <v>734</v>
      </c>
    </row>
    <row r="710" spans="1:83" ht="12.65" customHeight="1">
      <c r="A710" s="355">
        <v>7410</v>
      </c>
      <c r="B710" s="288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288" t="s">
        <v>735</v>
      </c>
    </row>
    <row r="711" spans="1:83" ht="12.65" customHeight="1">
      <c r="A711" s="355">
        <v>7420</v>
      </c>
      <c r="B711" s="288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288" t="s">
        <v>737</v>
      </c>
    </row>
    <row r="712" spans="1:83" ht="12.65" customHeight="1">
      <c r="A712" s="355">
        <v>7430</v>
      </c>
      <c r="B712" s="288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288" t="s">
        <v>739</v>
      </c>
    </row>
    <row r="713" spans="1:83" ht="12.65" customHeight="1">
      <c r="A713" s="355">
        <v>7490</v>
      </c>
      <c r="B713" s="288" t="s">
        <v>740</v>
      </c>
      <c r="C713" s="2">
        <f>AV71</f>
        <v>934211</v>
      </c>
      <c r="D713" s="2">
        <f>(D615/D612)*AV76</f>
        <v>0</v>
      </c>
      <c r="E713" s="2">
        <f>(E623/E612)*SUM(C713:D713)</f>
        <v>76224.898633641336</v>
      </c>
      <c r="F713" s="2">
        <f>(F624/F612)*AV64</f>
        <v>12034.985248559286</v>
      </c>
      <c r="G713" s="2">
        <f>(G625/G612)*AV77</f>
        <v>0</v>
      </c>
      <c r="H713" s="2">
        <f>(H628/H612)*AV60</f>
        <v>115419.61996101447</v>
      </c>
      <c r="I713" s="2">
        <f>(I629/I612)*AV78</f>
        <v>164569.53654879119</v>
      </c>
      <c r="J713" s="2">
        <f>(J630/J612)*AV79</f>
        <v>0</v>
      </c>
      <c r="K713" s="2">
        <f>(K644/K612)*AV75</f>
        <v>336951.87722977379</v>
      </c>
      <c r="L713" s="2">
        <f>(L647/L612)*AV80</f>
        <v>176589.16166402231</v>
      </c>
      <c r="M713" s="2">
        <f t="shared" si="21"/>
        <v>881790</v>
      </c>
      <c r="N713" s="290" t="s">
        <v>741</v>
      </c>
    </row>
    <row r="715" spans="1:83" ht="12.65" customHeight="1">
      <c r="C715" s="2">
        <f>SUM(C614:C647)+SUM(C668:C713)</f>
        <v>24697803</v>
      </c>
      <c r="D715" s="2">
        <f>SUM(D616:D647)+SUM(D668:D713)</f>
        <v>761993.99999999988</v>
      </c>
      <c r="E715" s="2">
        <f>SUM(E624:E647)+SUM(E668:E713)</f>
        <v>1863143.9487595069</v>
      </c>
      <c r="F715" s="2">
        <f>SUM(F625:F648)+SUM(F668:F713)</f>
        <v>2294370.5661999951</v>
      </c>
      <c r="G715" s="2">
        <f>SUM(G626:G647)+SUM(G668:G713)</f>
        <v>685938.3199797587</v>
      </c>
      <c r="H715" s="2">
        <f>SUM(H629:H647)+SUM(H668:H713)</f>
        <v>1454569.4670235584</v>
      </c>
      <c r="I715" s="2">
        <f>SUM(I630:I647)+SUM(I668:I713)</f>
        <v>568355.24744171102</v>
      </c>
      <c r="J715" s="2">
        <f>SUM(J631:J647)+SUM(J668:J713)</f>
        <v>0</v>
      </c>
      <c r="K715" s="2">
        <f>SUM(K668:K713)</f>
        <v>2781801.7919162037</v>
      </c>
      <c r="L715" s="2">
        <f>SUM(L668:L713)</f>
        <v>492397.88291534467</v>
      </c>
      <c r="M715" s="2">
        <f>SUM(M668:M713)</f>
        <v>9611777</v>
      </c>
      <c r="N715" s="288" t="s">
        <v>742</v>
      </c>
    </row>
    <row r="716" spans="1:83" ht="12.65" customHeight="1">
      <c r="C716" s="2">
        <f>CE71</f>
        <v>24697803</v>
      </c>
      <c r="D716" s="2">
        <f>D615</f>
        <v>761994</v>
      </c>
      <c r="E716" s="2">
        <f>E623</f>
        <v>1863143.9487595065</v>
      </c>
      <c r="F716" s="2">
        <f>F624</f>
        <v>2294370.5661999956</v>
      </c>
      <c r="G716" s="2">
        <f>G625</f>
        <v>685938.31997975882</v>
      </c>
      <c r="H716" s="2">
        <f>H628</f>
        <v>1454569.4670235584</v>
      </c>
      <c r="I716" s="2">
        <f>I629</f>
        <v>568355.24744171102</v>
      </c>
      <c r="J716" s="2">
        <f>J630</f>
        <v>0</v>
      </c>
      <c r="K716" s="2">
        <f>K644</f>
        <v>2781801.7919162042</v>
      </c>
      <c r="L716" s="2">
        <f>L647</f>
        <v>492397.88291534461</v>
      </c>
      <c r="M716" s="2">
        <f>C648</f>
        <v>9611778</v>
      </c>
      <c r="N716" s="288" t="s">
        <v>743</v>
      </c>
    </row>
    <row r="717" spans="1:83" ht="12.65" customHeight="1">
      <c r="O717" s="288"/>
    </row>
    <row r="718" spans="1:83" ht="12.65" customHeight="1">
      <c r="O718" s="288"/>
    </row>
    <row r="719" spans="1:83" ht="12.65" customHeight="1">
      <c r="O719" s="288"/>
    </row>
    <row r="720" spans="1:83" s="358" customFormat="1" ht="12.65" customHeight="1">
      <c r="A720" s="358" t="s">
        <v>744</v>
      </c>
      <c r="B720" s="359"/>
      <c r="C720" s="359"/>
      <c r="D720" s="359"/>
      <c r="E720" s="359"/>
      <c r="F720" s="359"/>
      <c r="G720" s="359"/>
      <c r="H720" s="359"/>
      <c r="I720" s="359"/>
      <c r="J720" s="359"/>
      <c r="K720" s="359"/>
      <c r="L720" s="359"/>
      <c r="M720" s="359"/>
      <c r="N720" s="359"/>
      <c r="O720" s="359"/>
      <c r="P720" s="359"/>
      <c r="Q720" s="359"/>
      <c r="R720" s="359"/>
      <c r="S720" s="359"/>
      <c r="T720" s="359"/>
      <c r="U720" s="359"/>
      <c r="V720" s="359"/>
      <c r="W720" s="359"/>
      <c r="X720" s="359"/>
      <c r="Y720" s="359"/>
      <c r="Z720" s="359"/>
      <c r="AA720" s="359"/>
      <c r="AB720" s="359"/>
      <c r="AC720" s="359"/>
      <c r="AD720" s="359"/>
      <c r="AE720" s="359"/>
      <c r="AF720" s="359"/>
      <c r="AG720" s="359"/>
      <c r="AH720" s="359"/>
      <c r="AI720" s="359"/>
      <c r="AJ720" s="359"/>
      <c r="AK720" s="359"/>
      <c r="AL720" s="359"/>
      <c r="AM720" s="359"/>
      <c r="AN720" s="359"/>
      <c r="AO720" s="359"/>
      <c r="AP720" s="359"/>
      <c r="AQ720" s="359"/>
      <c r="AR720" s="359"/>
      <c r="AS720" s="359"/>
      <c r="AT720" s="359"/>
      <c r="AU720" s="359"/>
      <c r="AV720" s="359"/>
      <c r="AW720" s="359"/>
      <c r="AX720" s="359"/>
      <c r="AY720" s="359"/>
      <c r="AZ720" s="359"/>
      <c r="BA720" s="359"/>
      <c r="BB720" s="359"/>
      <c r="BC720" s="359"/>
      <c r="BD720" s="359"/>
      <c r="BE720" s="359"/>
      <c r="BF720" s="359"/>
      <c r="BG720" s="359"/>
      <c r="BH720" s="359"/>
      <c r="BI720" s="359"/>
      <c r="BJ720" s="359"/>
      <c r="BK720" s="359"/>
      <c r="BL720" s="359"/>
      <c r="BM720" s="359"/>
      <c r="BN720" s="359"/>
      <c r="BO720" s="359"/>
      <c r="BP720" s="359"/>
      <c r="BQ720" s="359"/>
      <c r="BR720" s="359"/>
      <c r="BS720" s="359"/>
      <c r="BT720" s="359"/>
      <c r="BU720" s="359"/>
      <c r="BV720" s="359"/>
      <c r="BW720" s="359"/>
      <c r="BX720" s="359"/>
      <c r="BY720" s="359"/>
      <c r="BZ720" s="359"/>
      <c r="CA720" s="359"/>
      <c r="CB720" s="359"/>
      <c r="CC720" s="359"/>
      <c r="CD720" s="359"/>
      <c r="CE720" s="359"/>
    </row>
    <row r="721" spans="1:84" s="360" customFormat="1" ht="12.65" customHeight="1">
      <c r="A721" s="360" t="s">
        <v>745</v>
      </c>
      <c r="B721" s="360" t="s">
        <v>746</v>
      </c>
      <c r="C721" s="360" t="s">
        <v>747</v>
      </c>
      <c r="D721" s="360" t="s">
        <v>748</v>
      </c>
      <c r="E721" s="360" t="s">
        <v>749</v>
      </c>
      <c r="F721" s="360" t="s">
        <v>750</v>
      </c>
      <c r="G721" s="360" t="s">
        <v>751</v>
      </c>
      <c r="H721" s="360" t="s">
        <v>752</v>
      </c>
      <c r="I721" s="360" t="s">
        <v>753</v>
      </c>
      <c r="J721" s="360" t="s">
        <v>754</v>
      </c>
      <c r="K721" s="360" t="s">
        <v>755</v>
      </c>
      <c r="L721" s="360" t="s">
        <v>756</v>
      </c>
      <c r="M721" s="360" t="s">
        <v>757</v>
      </c>
      <c r="N721" s="360" t="s">
        <v>758</v>
      </c>
      <c r="O721" s="360" t="s">
        <v>759</v>
      </c>
      <c r="P721" s="360" t="s">
        <v>760</v>
      </c>
      <c r="Q721" s="360" t="s">
        <v>761</v>
      </c>
      <c r="R721" s="360" t="s">
        <v>762</v>
      </c>
      <c r="S721" s="360" t="s">
        <v>763</v>
      </c>
      <c r="T721" s="360" t="s">
        <v>764</v>
      </c>
      <c r="U721" s="360" t="s">
        <v>765</v>
      </c>
      <c r="V721" s="360" t="s">
        <v>766</v>
      </c>
      <c r="W721" s="360" t="s">
        <v>767</v>
      </c>
      <c r="X721" s="360" t="s">
        <v>768</v>
      </c>
      <c r="Y721" s="360" t="s">
        <v>769</v>
      </c>
      <c r="Z721" s="360" t="s">
        <v>770</v>
      </c>
      <c r="AA721" s="360" t="s">
        <v>771</v>
      </c>
      <c r="AB721" s="360" t="s">
        <v>772</v>
      </c>
      <c r="AC721" s="360" t="s">
        <v>773</v>
      </c>
      <c r="AD721" s="360" t="s">
        <v>774</v>
      </c>
      <c r="AE721" s="360" t="s">
        <v>775</v>
      </c>
      <c r="AF721" s="360" t="s">
        <v>776</v>
      </c>
      <c r="AG721" s="360" t="s">
        <v>777</v>
      </c>
      <c r="AH721" s="360" t="s">
        <v>778</v>
      </c>
      <c r="AI721" s="360" t="s">
        <v>779</v>
      </c>
      <c r="AJ721" s="360" t="s">
        <v>780</v>
      </c>
      <c r="AK721" s="360" t="s">
        <v>781</v>
      </c>
      <c r="AL721" s="360" t="s">
        <v>782</v>
      </c>
      <c r="AM721" s="360" t="s">
        <v>783</v>
      </c>
      <c r="AN721" s="360" t="s">
        <v>784</v>
      </c>
      <c r="AO721" s="360" t="s">
        <v>785</v>
      </c>
      <c r="AP721" s="360" t="s">
        <v>786</v>
      </c>
      <c r="AQ721" s="360" t="s">
        <v>787</v>
      </c>
      <c r="AR721" s="360" t="s">
        <v>788</v>
      </c>
      <c r="AS721" s="360" t="s">
        <v>789</v>
      </c>
      <c r="AT721" s="360" t="s">
        <v>790</v>
      </c>
      <c r="AU721" s="360" t="s">
        <v>791</v>
      </c>
      <c r="AV721" s="360" t="s">
        <v>792</v>
      </c>
      <c r="AW721" s="360" t="s">
        <v>793</v>
      </c>
      <c r="AX721" s="360" t="s">
        <v>794</v>
      </c>
      <c r="AY721" s="360" t="s">
        <v>795</v>
      </c>
      <c r="AZ721" s="360" t="s">
        <v>796</v>
      </c>
      <c r="BA721" s="360" t="s">
        <v>797</v>
      </c>
      <c r="BB721" s="360" t="s">
        <v>798</v>
      </c>
      <c r="BC721" s="360" t="s">
        <v>799</v>
      </c>
      <c r="BD721" s="360" t="s">
        <v>800</v>
      </c>
      <c r="BE721" s="360" t="s">
        <v>801</v>
      </c>
      <c r="BF721" s="360" t="s">
        <v>802</v>
      </c>
      <c r="BG721" s="360" t="s">
        <v>803</v>
      </c>
      <c r="BH721" s="360" t="s">
        <v>804</v>
      </c>
      <c r="BI721" s="360" t="s">
        <v>805</v>
      </c>
      <c r="BJ721" s="360" t="s">
        <v>806</v>
      </c>
      <c r="BK721" s="360" t="s">
        <v>807</v>
      </c>
      <c r="BL721" s="360" t="s">
        <v>808</v>
      </c>
      <c r="BM721" s="360" t="s">
        <v>809</v>
      </c>
      <c r="BN721" s="360" t="s">
        <v>810</v>
      </c>
      <c r="BO721" s="360" t="s">
        <v>811</v>
      </c>
      <c r="BP721" s="360" t="s">
        <v>812</v>
      </c>
      <c r="BQ721" s="360" t="s">
        <v>813</v>
      </c>
      <c r="BR721" s="360" t="s">
        <v>814</v>
      </c>
      <c r="BS721" s="360" t="s">
        <v>815</v>
      </c>
      <c r="BT721" s="360" t="s">
        <v>816</v>
      </c>
      <c r="BU721" s="360" t="s">
        <v>817</v>
      </c>
      <c r="BV721" s="360" t="s">
        <v>818</v>
      </c>
      <c r="BW721" s="360" t="s">
        <v>819</v>
      </c>
      <c r="BX721" s="360" t="s">
        <v>820</v>
      </c>
      <c r="BY721" s="360" t="s">
        <v>821</v>
      </c>
      <c r="BZ721" s="360" t="s">
        <v>822</v>
      </c>
      <c r="CA721" s="360" t="s">
        <v>823</v>
      </c>
      <c r="CB721" s="360" t="s">
        <v>824</v>
      </c>
      <c r="CC721" s="360" t="s">
        <v>825</v>
      </c>
      <c r="CD721" s="360" t="s">
        <v>1256</v>
      </c>
    </row>
    <row r="722" spans="1:84" s="358" customFormat="1" ht="12.65" customHeight="1">
      <c r="A722" s="361" t="e">
        <f>RIGHT(C83,3)&amp;"*"&amp;RIGHT(C82,4)&amp;"*"&amp;"A"</f>
        <v>#VALUE!</v>
      </c>
      <c r="B722" s="359">
        <f>ROUND(C165,0)</f>
        <v>695345</v>
      </c>
      <c r="C722" s="359">
        <f>ROUND(C166,0)</f>
        <v>138664</v>
      </c>
      <c r="D722" s="359">
        <f>ROUND(C167,0)</f>
        <v>135943</v>
      </c>
      <c r="E722" s="359">
        <f>ROUND(C168,0)</f>
        <v>767246</v>
      </c>
      <c r="F722" s="359">
        <f>ROUND(C169,0)</f>
        <v>14031</v>
      </c>
      <c r="G722" s="359">
        <f>ROUND(C170,0)</f>
        <v>0</v>
      </c>
      <c r="H722" s="359">
        <f>ROUND(C171+C172,0)</f>
        <v>94668</v>
      </c>
      <c r="I722" s="359">
        <f>ROUND(C175,0)</f>
        <v>174674</v>
      </c>
      <c r="J722" s="359">
        <f>ROUND(C176,0)</f>
        <v>446769</v>
      </c>
      <c r="K722" s="359">
        <f>ROUND(C179,0)</f>
        <v>86601</v>
      </c>
      <c r="L722" s="359">
        <f>ROUND(C180,0)</f>
        <v>25330</v>
      </c>
      <c r="M722" s="359">
        <f>ROUND(C183,0)</f>
        <v>0</v>
      </c>
      <c r="N722" s="359">
        <f>ROUND(C184,0)</f>
        <v>185821</v>
      </c>
      <c r="O722" s="359">
        <f>ROUND(C185,0)</f>
        <v>976371</v>
      </c>
      <c r="P722" s="359">
        <f>ROUND(C188,0)</f>
        <v>0</v>
      </c>
      <c r="Q722" s="359">
        <f>ROUND(C189,0)</f>
        <v>2513722</v>
      </c>
      <c r="R722" s="359">
        <f>ROUND(B195,0)</f>
        <v>3160000</v>
      </c>
      <c r="S722" s="359">
        <f>ROUND(C195,0)</f>
        <v>0</v>
      </c>
      <c r="T722" s="359">
        <f>ROUND(D195,0)</f>
        <v>0</v>
      </c>
      <c r="U722" s="359">
        <f>ROUND(B196,0)</f>
        <v>710000</v>
      </c>
      <c r="V722" s="359">
        <f>ROUND(C196,0)</f>
        <v>0</v>
      </c>
      <c r="W722" s="359">
        <f>ROUND(D196,0)</f>
        <v>0</v>
      </c>
      <c r="X722" s="359">
        <f>ROUND(B197,0)</f>
        <v>38437221</v>
      </c>
      <c r="Y722" s="359">
        <f>ROUND(C197,0)</f>
        <v>0</v>
      </c>
      <c r="Z722" s="359">
        <f>ROUND(D197,0)</f>
        <v>0</v>
      </c>
      <c r="AA722" s="359">
        <f>ROUND(B198,0)</f>
        <v>0</v>
      </c>
      <c r="AB722" s="359">
        <f>ROUND(C198,0)</f>
        <v>0</v>
      </c>
      <c r="AC722" s="359">
        <f>ROUND(D198,0)</f>
        <v>0</v>
      </c>
      <c r="AD722" s="359">
        <f>ROUND(B199,0)</f>
        <v>21305025</v>
      </c>
      <c r="AE722" s="359">
        <f>ROUND(C199,0)</f>
        <v>12313</v>
      </c>
      <c r="AF722" s="359">
        <f>ROUND(D199,0)</f>
        <v>0</v>
      </c>
      <c r="AG722" s="359">
        <f>ROUND(B200,0)</f>
        <v>14487532</v>
      </c>
      <c r="AH722" s="359">
        <f>ROUND(C200,0)</f>
        <v>207443</v>
      </c>
      <c r="AI722" s="359">
        <f>ROUND(D200,0)</f>
        <v>0</v>
      </c>
      <c r="AJ722" s="359">
        <f>ROUND(B201,0)</f>
        <v>7733715</v>
      </c>
      <c r="AK722" s="359">
        <f>ROUND(C201,0)</f>
        <v>514471</v>
      </c>
      <c r="AL722" s="359">
        <f>ROUND(D201,0)</f>
        <v>0</v>
      </c>
      <c r="AM722" s="359">
        <f>ROUND(B202,0)</f>
        <v>4521546</v>
      </c>
      <c r="AN722" s="359">
        <f>ROUND(C202,0)</f>
        <v>0</v>
      </c>
      <c r="AO722" s="359">
        <f>ROUND(D202,0)</f>
        <v>0</v>
      </c>
      <c r="AP722" s="359">
        <f>ROUND(B203,0)</f>
        <v>491978</v>
      </c>
      <c r="AQ722" s="359">
        <f>ROUND(C203,0)</f>
        <v>490344</v>
      </c>
      <c r="AR722" s="359">
        <f>ROUND(D203,0)</f>
        <v>0</v>
      </c>
      <c r="AS722" s="359"/>
      <c r="AT722" s="359"/>
      <c r="AU722" s="359"/>
      <c r="AV722" s="359">
        <f>ROUND(B209,0)</f>
        <v>414166</v>
      </c>
      <c r="AW722" s="359">
        <f>ROUND(C209,0)</f>
        <v>0</v>
      </c>
      <c r="AX722" s="359">
        <f>ROUND(D209,0)</f>
        <v>0</v>
      </c>
      <c r="AY722" s="359">
        <f>ROUND(B210,0)</f>
        <v>7719190</v>
      </c>
      <c r="AZ722" s="359">
        <f>ROUND(C210,0)</f>
        <v>0</v>
      </c>
      <c r="BA722" s="359">
        <f>ROUND(D210,0)</f>
        <v>0</v>
      </c>
      <c r="BB722" s="359">
        <f>ROUND(B211,0)</f>
        <v>0</v>
      </c>
      <c r="BC722" s="359">
        <f>ROUND(C211,0)</f>
        <v>0</v>
      </c>
      <c r="BD722" s="359">
        <f>ROUND(D211,0)</f>
        <v>0</v>
      </c>
      <c r="BE722" s="359">
        <f>ROUND(B212,0)</f>
        <v>3539791</v>
      </c>
      <c r="BF722" s="359">
        <f>ROUND(C212,0)</f>
        <v>0</v>
      </c>
      <c r="BG722" s="359">
        <f>ROUND(D212,0)</f>
        <v>0</v>
      </c>
      <c r="BH722" s="359">
        <f>ROUND(B213,0)</f>
        <v>7763942</v>
      </c>
      <c r="BI722" s="359">
        <f>ROUND(C213,0)</f>
        <v>0</v>
      </c>
      <c r="BJ722" s="359">
        <f>ROUND(D213,0)</f>
        <v>0</v>
      </c>
      <c r="BK722" s="359">
        <f>ROUND(B214,0)</f>
        <v>3130334</v>
      </c>
      <c r="BL722" s="359">
        <f>ROUND(C214,0)</f>
        <v>0</v>
      </c>
      <c r="BM722" s="359">
        <f>ROUND(D214,0)</f>
        <v>0</v>
      </c>
      <c r="BN722" s="359">
        <f>ROUND(B215,0)</f>
        <v>1553082</v>
      </c>
      <c r="BO722" s="359">
        <f>ROUND(C215,0)</f>
        <v>0</v>
      </c>
      <c r="BP722" s="359">
        <f>ROUND(D215,0)</f>
        <v>0</v>
      </c>
      <c r="BQ722" s="359">
        <f>ROUND(B216,0)</f>
        <v>0</v>
      </c>
      <c r="BR722" s="359">
        <f>ROUND(C216,0)</f>
        <v>0</v>
      </c>
      <c r="BS722" s="359">
        <f>ROUND(D216,0)</f>
        <v>0</v>
      </c>
      <c r="BT722" s="359">
        <f>ROUND(C223,0)</f>
        <v>40935943</v>
      </c>
      <c r="BU722" s="359">
        <f>ROUND(C224,0)</f>
        <v>1664479</v>
      </c>
      <c r="BV722" s="359">
        <f>ROUND(C225,0)</f>
        <v>1230332</v>
      </c>
      <c r="BW722" s="359">
        <f>ROUND(C226,0)</f>
        <v>3838853</v>
      </c>
      <c r="BX722" s="359">
        <f>ROUND(C227,0)</f>
        <v>0</v>
      </c>
      <c r="BY722" s="359">
        <f>ROUND(C228,0)</f>
        <v>70420745</v>
      </c>
      <c r="BZ722" s="359">
        <f>ROUND(C231,0)</f>
        <v>0</v>
      </c>
      <c r="CA722" s="359">
        <f>ROUND(C233,0)</f>
        <v>70926</v>
      </c>
      <c r="CB722" s="359">
        <f>ROUND(C234,0)</f>
        <v>263674</v>
      </c>
      <c r="CC722" s="359">
        <f>ROUND(C238+C239,0)</f>
        <v>0</v>
      </c>
      <c r="CD722" s="359">
        <f>D221</f>
        <v>887218</v>
      </c>
      <c r="CE722" s="359"/>
    </row>
    <row r="723" spans="1:84" ht="12.65" customHeight="1">
      <c r="B723" s="362"/>
      <c r="C723" s="362"/>
      <c r="D723" s="362"/>
      <c r="E723" s="362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62"/>
      <c r="AA723" s="362"/>
      <c r="AB723" s="362"/>
      <c r="AC723" s="362"/>
      <c r="AD723" s="362"/>
      <c r="AE723" s="362"/>
      <c r="AF723" s="362"/>
      <c r="AG723" s="362"/>
      <c r="AH723" s="362"/>
      <c r="AI723" s="362"/>
      <c r="AJ723" s="362"/>
      <c r="AK723" s="362"/>
      <c r="AL723" s="362"/>
      <c r="AM723" s="362"/>
      <c r="AN723" s="362"/>
      <c r="AO723" s="362"/>
      <c r="AP723" s="362"/>
      <c r="AQ723" s="362"/>
      <c r="AR723" s="362"/>
      <c r="AS723" s="362"/>
      <c r="AT723" s="362"/>
      <c r="AU723" s="362"/>
      <c r="AV723" s="362"/>
      <c r="AW723" s="362"/>
      <c r="AX723" s="362"/>
      <c r="AY723" s="362"/>
      <c r="AZ723" s="362"/>
      <c r="BA723" s="362"/>
      <c r="BB723" s="362"/>
      <c r="BC723" s="362"/>
      <c r="BD723" s="362"/>
      <c r="BE723" s="362"/>
      <c r="BF723" s="362"/>
      <c r="BG723" s="362"/>
      <c r="BH723" s="362"/>
      <c r="BI723" s="362"/>
      <c r="BJ723" s="362"/>
      <c r="BK723" s="362"/>
      <c r="BL723" s="362"/>
      <c r="BM723" s="362"/>
      <c r="BN723" s="362"/>
      <c r="BO723" s="362"/>
      <c r="BP723" s="362"/>
      <c r="BQ723" s="362"/>
      <c r="BR723" s="362"/>
      <c r="BS723" s="362"/>
      <c r="BT723" s="362"/>
      <c r="BU723" s="362"/>
      <c r="BV723" s="362"/>
      <c r="BW723" s="362"/>
      <c r="BX723" s="362"/>
      <c r="BY723" s="362"/>
      <c r="BZ723" s="362"/>
      <c r="CA723" s="362"/>
      <c r="CB723" s="362"/>
      <c r="CC723" s="362"/>
      <c r="CD723" s="362"/>
      <c r="CE723" s="362"/>
    </row>
    <row r="724" spans="1:84" s="358" customFormat="1" ht="12.65" customHeight="1">
      <c r="A724" s="358" t="s">
        <v>148</v>
      </c>
      <c r="B724" s="359"/>
      <c r="C724" s="359"/>
      <c r="D724" s="359"/>
      <c r="E724" s="359"/>
      <c r="F724" s="359"/>
      <c r="G724" s="359"/>
      <c r="H724" s="359"/>
      <c r="I724" s="359"/>
      <c r="J724" s="359"/>
      <c r="K724" s="359"/>
      <c r="L724" s="359"/>
      <c r="M724" s="359"/>
      <c r="N724" s="359"/>
      <c r="O724" s="359"/>
      <c r="P724" s="359"/>
      <c r="Q724" s="359"/>
      <c r="R724" s="359"/>
      <c r="S724" s="359"/>
      <c r="T724" s="359"/>
      <c r="U724" s="359"/>
      <c r="V724" s="359"/>
      <c r="W724" s="359"/>
      <c r="X724" s="359"/>
      <c r="Y724" s="359"/>
      <c r="Z724" s="359"/>
      <c r="AA724" s="359"/>
      <c r="AB724" s="359"/>
      <c r="AC724" s="359"/>
      <c r="AD724" s="359"/>
      <c r="AE724" s="359"/>
      <c r="AF724" s="359"/>
      <c r="AG724" s="359"/>
      <c r="AH724" s="359"/>
      <c r="AI724" s="359"/>
      <c r="AJ724" s="359"/>
      <c r="AK724" s="359"/>
      <c r="AL724" s="359"/>
      <c r="AM724" s="359"/>
      <c r="AN724" s="359"/>
      <c r="AO724" s="359"/>
      <c r="AP724" s="359"/>
      <c r="AQ724" s="359"/>
      <c r="AR724" s="359"/>
      <c r="AS724" s="359"/>
      <c r="AT724" s="359"/>
      <c r="AU724" s="359"/>
      <c r="AV724" s="359"/>
      <c r="AW724" s="359"/>
      <c r="AX724" s="359"/>
      <c r="AY724" s="359"/>
      <c r="AZ724" s="359"/>
      <c r="BA724" s="359"/>
      <c r="BB724" s="359"/>
      <c r="BC724" s="359"/>
      <c r="BD724" s="359"/>
      <c r="BE724" s="359"/>
      <c r="BF724" s="359"/>
      <c r="BG724" s="359"/>
      <c r="BH724" s="359"/>
      <c r="BI724" s="359"/>
      <c r="BJ724" s="359"/>
      <c r="BK724" s="359"/>
      <c r="BL724" s="359"/>
      <c r="BM724" s="359"/>
      <c r="BN724" s="359"/>
      <c r="BO724" s="359"/>
      <c r="BP724" s="359"/>
      <c r="BQ724" s="359"/>
      <c r="BR724" s="359"/>
      <c r="BS724" s="359"/>
      <c r="BT724" s="359"/>
      <c r="BU724" s="359"/>
      <c r="BV724" s="359"/>
      <c r="BW724" s="359"/>
      <c r="BX724" s="359"/>
      <c r="BY724" s="359"/>
      <c r="BZ724" s="359"/>
      <c r="CA724" s="359"/>
      <c r="CB724" s="359"/>
      <c r="CC724" s="359"/>
      <c r="CD724" s="359"/>
      <c r="CE724" s="359"/>
    </row>
    <row r="725" spans="1:84" s="360" customFormat="1" ht="12.65" customHeight="1">
      <c r="A725" s="360" t="s">
        <v>745</v>
      </c>
      <c r="B725" s="360" t="s">
        <v>826</v>
      </c>
      <c r="C725" s="360" t="s">
        <v>827</v>
      </c>
      <c r="D725" s="360" t="s">
        <v>828</v>
      </c>
      <c r="E725" s="360" t="s">
        <v>829</v>
      </c>
      <c r="F725" s="360" t="s">
        <v>830</v>
      </c>
      <c r="G725" s="360" t="s">
        <v>831</v>
      </c>
      <c r="H725" s="360" t="s">
        <v>832</v>
      </c>
      <c r="I725" s="360" t="s">
        <v>833</v>
      </c>
      <c r="J725" s="360" t="s">
        <v>834</v>
      </c>
      <c r="K725" s="360" t="s">
        <v>835</v>
      </c>
      <c r="L725" s="360" t="s">
        <v>836</v>
      </c>
      <c r="M725" s="360" t="s">
        <v>837</v>
      </c>
      <c r="N725" s="360" t="s">
        <v>838</v>
      </c>
      <c r="O725" s="360" t="s">
        <v>839</v>
      </c>
      <c r="P725" s="360" t="s">
        <v>840</v>
      </c>
      <c r="Q725" s="360" t="s">
        <v>841</v>
      </c>
      <c r="R725" s="360" t="s">
        <v>842</v>
      </c>
      <c r="S725" s="360" t="s">
        <v>843</v>
      </c>
      <c r="T725" s="360" t="s">
        <v>844</v>
      </c>
      <c r="U725" s="360" t="s">
        <v>845</v>
      </c>
      <c r="V725" s="360" t="s">
        <v>846</v>
      </c>
      <c r="W725" s="360" t="s">
        <v>847</v>
      </c>
      <c r="X725" s="360" t="s">
        <v>848</v>
      </c>
      <c r="Y725" s="360" t="s">
        <v>849</v>
      </c>
      <c r="Z725" s="360" t="s">
        <v>850</v>
      </c>
      <c r="AA725" s="360" t="s">
        <v>851</v>
      </c>
      <c r="AB725" s="360" t="s">
        <v>852</v>
      </c>
      <c r="AC725" s="360" t="s">
        <v>853</v>
      </c>
      <c r="AD725" s="360" t="s">
        <v>854</v>
      </c>
      <c r="AE725" s="360" t="s">
        <v>855</v>
      </c>
      <c r="AF725" s="360" t="s">
        <v>856</v>
      </c>
      <c r="AG725" s="360" t="s">
        <v>857</v>
      </c>
      <c r="AH725" s="360" t="s">
        <v>858</v>
      </c>
      <c r="AI725" s="360" t="s">
        <v>859</v>
      </c>
      <c r="AJ725" s="360" t="s">
        <v>860</v>
      </c>
      <c r="AK725" s="360" t="s">
        <v>861</v>
      </c>
      <c r="AL725" s="360" t="s">
        <v>862</v>
      </c>
      <c r="AM725" s="360" t="s">
        <v>863</v>
      </c>
      <c r="AN725" s="360" t="s">
        <v>864</v>
      </c>
      <c r="AO725" s="360" t="s">
        <v>865</v>
      </c>
      <c r="AP725" s="360" t="s">
        <v>866</v>
      </c>
      <c r="AQ725" s="360" t="s">
        <v>867</v>
      </c>
      <c r="AR725" s="360" t="s">
        <v>868</v>
      </c>
      <c r="AS725" s="360" t="s">
        <v>869</v>
      </c>
      <c r="AT725" s="360" t="s">
        <v>870</v>
      </c>
      <c r="AU725" s="360" t="s">
        <v>871</v>
      </c>
      <c r="AV725" s="360" t="s">
        <v>872</v>
      </c>
      <c r="AW725" s="360" t="s">
        <v>873</v>
      </c>
      <c r="AX725" s="360" t="s">
        <v>874</v>
      </c>
      <c r="AY725" s="360" t="s">
        <v>875</v>
      </c>
      <c r="AZ725" s="360" t="s">
        <v>876</v>
      </c>
      <c r="BA725" s="360" t="s">
        <v>877</v>
      </c>
      <c r="BB725" s="360" t="s">
        <v>878</v>
      </c>
      <c r="BC725" s="360" t="s">
        <v>879</v>
      </c>
      <c r="BD725" s="360" t="s">
        <v>880</v>
      </c>
      <c r="BE725" s="360" t="s">
        <v>881</v>
      </c>
      <c r="BF725" s="360" t="s">
        <v>882</v>
      </c>
      <c r="BG725" s="360" t="s">
        <v>883</v>
      </c>
      <c r="BH725" s="360" t="s">
        <v>884</v>
      </c>
      <c r="BI725" s="360" t="s">
        <v>885</v>
      </c>
      <c r="BJ725" s="360" t="s">
        <v>886</v>
      </c>
      <c r="BK725" s="360" t="s">
        <v>887</v>
      </c>
      <c r="BL725" s="360" t="s">
        <v>888</v>
      </c>
      <c r="BM725" s="360" t="s">
        <v>889</v>
      </c>
      <c r="BN725" s="360" t="s">
        <v>890</v>
      </c>
      <c r="BO725" s="360" t="s">
        <v>891</v>
      </c>
      <c r="BP725" s="360" t="s">
        <v>892</v>
      </c>
      <c r="BQ725" s="360" t="s">
        <v>893</v>
      </c>
      <c r="BR725" s="360" t="s">
        <v>894</v>
      </c>
    </row>
    <row r="726" spans="1:84" s="358" customFormat="1" ht="12.65" customHeight="1">
      <c r="A726" s="361" t="e">
        <f>RIGHT(C83,3)&amp;"*"&amp;RIGHT(C82,4)&amp;"*"&amp;"A"</f>
        <v>#VALUE!</v>
      </c>
      <c r="B726" s="359">
        <f>ROUND(C111,0)</f>
        <v>844</v>
      </c>
      <c r="C726" s="359">
        <f>ROUND(C112,0)</f>
        <v>0</v>
      </c>
      <c r="D726" s="359">
        <f>ROUND(C113,0)</f>
        <v>0</v>
      </c>
      <c r="E726" s="359">
        <f>ROUND(C114,0)</f>
        <v>150</v>
      </c>
      <c r="F726" s="359">
        <f>ROUND(D111,0)</f>
        <v>2704</v>
      </c>
      <c r="G726" s="359">
        <f>ROUND(D112,0)</f>
        <v>0</v>
      </c>
      <c r="H726" s="359">
        <f>ROUND(D113,0)</f>
        <v>0</v>
      </c>
      <c r="I726" s="359">
        <f>ROUND(D114,0)</f>
        <v>217</v>
      </c>
      <c r="J726" s="359">
        <f>ROUND(C116,0)</f>
        <v>10</v>
      </c>
      <c r="K726" s="359">
        <f>ROUND(C117,0)</f>
        <v>22</v>
      </c>
      <c r="L726" s="359">
        <f>ROUND(C118,0)</f>
        <v>41</v>
      </c>
      <c r="M726" s="359">
        <f>ROUND(C119,0)</f>
        <v>0</v>
      </c>
      <c r="N726" s="359">
        <f>ROUND(C120,0)</f>
        <v>15</v>
      </c>
      <c r="O726" s="359">
        <f>ROUND(C121,0)</f>
        <v>0</v>
      </c>
      <c r="P726" s="359">
        <f>ROUND(C122,0)</f>
        <v>0</v>
      </c>
      <c r="Q726" s="359">
        <f>ROUND(C123,0)</f>
        <v>0</v>
      </c>
      <c r="R726" s="359">
        <f>ROUND(C124,0)</f>
        <v>0</v>
      </c>
      <c r="S726" s="359">
        <f>ROUND(C125,0)</f>
        <v>0</v>
      </c>
      <c r="T726" s="359"/>
      <c r="U726" s="359">
        <f>ROUND(C126,0)</f>
        <v>0</v>
      </c>
      <c r="V726" s="359">
        <f>ROUND(C128,0)</f>
        <v>107</v>
      </c>
      <c r="W726" s="359">
        <f>ROUND(C129,0)</f>
        <v>7</v>
      </c>
      <c r="X726" s="359">
        <f>ROUND(B138,0)</f>
        <v>266</v>
      </c>
      <c r="Y726" s="359">
        <f>ROUND(B139,0)</f>
        <v>1046</v>
      </c>
      <c r="Z726" s="359">
        <f>ROUND(B140,0)</f>
        <v>4990</v>
      </c>
      <c r="AA726" s="359">
        <f>ROUND(B141,0)</f>
        <v>20935567</v>
      </c>
      <c r="AB726" s="359">
        <f>ROUND(B142,0)</f>
        <v>26305831</v>
      </c>
      <c r="AC726" s="359">
        <f>ROUND(C138,0)</f>
        <v>28</v>
      </c>
      <c r="AD726" s="359">
        <f>ROUND(C139,0)</f>
        <v>66</v>
      </c>
      <c r="AE726" s="359">
        <f>ROUND(C140,0)</f>
        <v>208</v>
      </c>
      <c r="AF726" s="359">
        <f>ROUND(C141,0)</f>
        <v>1181141</v>
      </c>
      <c r="AG726" s="359">
        <f>ROUND(C142,0)</f>
        <v>1480523</v>
      </c>
      <c r="AH726" s="359">
        <f>ROUND(D138,0)</f>
        <v>550</v>
      </c>
      <c r="AI726" s="359">
        <f>ROUND(D139,0)</f>
        <v>1592</v>
      </c>
      <c r="AJ726" s="359">
        <f>ROUND(D140,0)</f>
        <v>10749</v>
      </c>
      <c r="AK726" s="359">
        <f>ROUND(D141,0)</f>
        <v>31765231</v>
      </c>
      <c r="AL726" s="359">
        <f>ROUND(D142,0)</f>
        <v>59562763</v>
      </c>
      <c r="AM726" s="359">
        <f>ROUND(B144,0)</f>
        <v>0</v>
      </c>
      <c r="AN726" s="359">
        <f>ROUND(B145,0)</f>
        <v>0</v>
      </c>
      <c r="AO726" s="359">
        <f>ROUND(B146,0)</f>
        <v>0</v>
      </c>
      <c r="AP726" s="359">
        <f>ROUND(B147,0)</f>
        <v>0</v>
      </c>
      <c r="AQ726" s="359">
        <f>ROUND(B148,0)</f>
        <v>0</v>
      </c>
      <c r="AR726" s="359">
        <f>ROUND(C144,0)</f>
        <v>0</v>
      </c>
      <c r="AS726" s="359">
        <f>ROUND(C145,0)</f>
        <v>0</v>
      </c>
      <c r="AT726" s="359">
        <f>ROUND(C146,0)</f>
        <v>0</v>
      </c>
      <c r="AU726" s="359">
        <f>ROUND(C147,0)</f>
        <v>0</v>
      </c>
      <c r="AV726" s="359">
        <f>ROUND(C148,0)</f>
        <v>0</v>
      </c>
      <c r="AW726" s="359">
        <f>ROUND(D144,0)</f>
        <v>0</v>
      </c>
      <c r="AX726" s="359">
        <f>ROUND(D145,0)</f>
        <v>0</v>
      </c>
      <c r="AY726" s="359">
        <f>ROUND(D146,0)</f>
        <v>0</v>
      </c>
      <c r="AZ726" s="359">
        <f>ROUND(D147,0)</f>
        <v>0</v>
      </c>
      <c r="BA726" s="359">
        <f>ROUND(D148,0)</f>
        <v>0</v>
      </c>
      <c r="BB726" s="359">
        <f>ROUND(B150,0)</f>
        <v>0</v>
      </c>
      <c r="BC726" s="359">
        <f>ROUND(B151,0)</f>
        <v>0</v>
      </c>
      <c r="BD726" s="359">
        <f>ROUND(B152,0)</f>
        <v>0</v>
      </c>
      <c r="BE726" s="359">
        <f>ROUND(B153,0)</f>
        <v>0</v>
      </c>
      <c r="BF726" s="359">
        <f>ROUND(B154,0)</f>
        <v>0</v>
      </c>
      <c r="BG726" s="359">
        <f>ROUND(C150,0)</f>
        <v>0</v>
      </c>
      <c r="BH726" s="359">
        <f>ROUND(C151,0)</f>
        <v>0</v>
      </c>
      <c r="BI726" s="359">
        <f>ROUND(C152,0)</f>
        <v>0</v>
      </c>
      <c r="BJ726" s="359">
        <f>ROUND(C153,0)</f>
        <v>0</v>
      </c>
      <c r="BK726" s="359">
        <f>ROUND(C154,0)</f>
        <v>0</v>
      </c>
      <c r="BL726" s="359">
        <f>ROUND(D150,0)</f>
        <v>0</v>
      </c>
      <c r="BM726" s="359">
        <f>ROUND(D151,0)</f>
        <v>0</v>
      </c>
      <c r="BN726" s="359">
        <f>ROUND(D152,0)</f>
        <v>0</v>
      </c>
      <c r="BO726" s="359">
        <f>ROUND(D153,0)</f>
        <v>0</v>
      </c>
      <c r="BP726" s="359">
        <f>ROUND(D154,0)</f>
        <v>0</v>
      </c>
      <c r="BQ726" s="359">
        <f>ROUND(B157,0)</f>
        <v>0</v>
      </c>
      <c r="BR726" s="359">
        <f>ROUND(C157,0)</f>
        <v>0</v>
      </c>
      <c r="BS726" s="359"/>
      <c r="BT726" s="359"/>
      <c r="BU726" s="359"/>
      <c r="BV726" s="359"/>
      <c r="BW726" s="359"/>
      <c r="BX726" s="359"/>
      <c r="BY726" s="359"/>
      <c r="BZ726" s="359"/>
      <c r="CA726" s="359"/>
      <c r="CB726" s="359"/>
      <c r="CC726" s="359"/>
      <c r="CD726" s="359"/>
      <c r="CE726" s="359"/>
    </row>
    <row r="727" spans="1:84" ht="12.65" customHeight="1">
      <c r="B727" s="362"/>
      <c r="C727" s="362"/>
      <c r="D727" s="362"/>
      <c r="E727" s="362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62"/>
      <c r="AA727" s="362"/>
      <c r="AB727" s="362"/>
      <c r="AC727" s="362"/>
      <c r="AD727" s="362"/>
      <c r="AE727" s="362"/>
      <c r="AF727" s="362"/>
      <c r="AG727" s="362"/>
      <c r="AH727" s="362"/>
      <c r="AI727" s="362"/>
      <c r="AJ727" s="362"/>
      <c r="AK727" s="362"/>
      <c r="AL727" s="362"/>
      <c r="AM727" s="362"/>
      <c r="AN727" s="362"/>
      <c r="AO727" s="362"/>
      <c r="AP727" s="362"/>
      <c r="AQ727" s="362"/>
      <c r="AR727" s="362"/>
      <c r="AS727" s="362"/>
      <c r="AT727" s="362"/>
      <c r="AU727" s="362"/>
      <c r="AV727" s="362"/>
      <c r="AW727" s="362"/>
      <c r="AX727" s="362"/>
      <c r="AY727" s="362"/>
      <c r="AZ727" s="362"/>
      <c r="BA727" s="362"/>
      <c r="BB727" s="362"/>
      <c r="BC727" s="362"/>
      <c r="BD727" s="362"/>
      <c r="BE727" s="362"/>
      <c r="BF727" s="362"/>
      <c r="BG727" s="362"/>
      <c r="BH727" s="362"/>
      <c r="BI727" s="362"/>
      <c r="BJ727" s="362"/>
      <c r="BK727" s="362"/>
      <c r="BL727" s="362"/>
      <c r="BM727" s="362"/>
      <c r="BN727" s="362"/>
      <c r="BO727" s="362"/>
      <c r="BP727" s="362"/>
      <c r="BQ727" s="362"/>
      <c r="BR727" s="362"/>
      <c r="BS727" s="362"/>
      <c r="BT727" s="362"/>
      <c r="BU727" s="362"/>
      <c r="BV727" s="362"/>
      <c r="BW727" s="362"/>
      <c r="BX727" s="362"/>
      <c r="BY727" s="362"/>
      <c r="BZ727" s="362"/>
      <c r="CA727" s="362"/>
      <c r="CB727" s="362"/>
      <c r="CC727" s="362"/>
      <c r="CD727" s="362"/>
      <c r="CE727" s="362"/>
    </row>
    <row r="728" spans="1:84" s="358" customFormat="1" ht="12.65" customHeight="1">
      <c r="A728" s="358" t="s">
        <v>895</v>
      </c>
      <c r="B728" s="359"/>
      <c r="C728" s="359"/>
      <c r="D728" s="359"/>
      <c r="E728" s="359"/>
      <c r="F728" s="359"/>
      <c r="G728" s="359"/>
      <c r="H728" s="359"/>
      <c r="I728" s="359"/>
      <c r="J728" s="359"/>
      <c r="K728" s="359"/>
      <c r="L728" s="359"/>
      <c r="M728" s="359"/>
      <c r="N728" s="359"/>
      <c r="O728" s="359"/>
      <c r="P728" s="359"/>
      <c r="Q728" s="359"/>
      <c r="R728" s="359"/>
      <c r="S728" s="359"/>
      <c r="T728" s="359"/>
      <c r="U728" s="359"/>
      <c r="V728" s="359"/>
      <c r="W728" s="359"/>
      <c r="X728" s="359"/>
      <c r="Y728" s="359"/>
      <c r="Z728" s="359"/>
      <c r="AA728" s="359"/>
      <c r="AB728" s="359"/>
      <c r="AC728" s="359"/>
      <c r="AD728" s="359"/>
      <c r="AE728" s="359"/>
      <c r="AF728" s="359"/>
      <c r="AG728" s="359"/>
      <c r="AH728" s="359"/>
      <c r="AI728" s="359"/>
      <c r="AJ728" s="359"/>
      <c r="AK728" s="359"/>
      <c r="AL728" s="359"/>
      <c r="AM728" s="359"/>
      <c r="AN728" s="359"/>
      <c r="AO728" s="359"/>
      <c r="AP728" s="359"/>
      <c r="AQ728" s="359"/>
      <c r="AR728" s="359"/>
      <c r="AS728" s="359"/>
      <c r="AT728" s="359"/>
      <c r="AU728" s="359"/>
      <c r="AV728" s="359"/>
      <c r="AW728" s="359"/>
      <c r="AX728" s="359"/>
      <c r="AY728" s="359"/>
      <c r="AZ728" s="359"/>
      <c r="BA728" s="359"/>
      <c r="BB728" s="359"/>
      <c r="BC728" s="359"/>
      <c r="BD728" s="359"/>
      <c r="BE728" s="359"/>
      <c r="BF728" s="359"/>
      <c r="BG728" s="359"/>
      <c r="BH728" s="359"/>
      <c r="BI728" s="359"/>
      <c r="BJ728" s="359"/>
      <c r="BK728" s="359"/>
      <c r="BL728" s="359"/>
      <c r="BM728" s="359"/>
      <c r="BN728" s="359"/>
      <c r="BO728" s="359"/>
      <c r="BP728" s="359"/>
      <c r="BQ728" s="359"/>
      <c r="BR728" s="359"/>
      <c r="BS728" s="359"/>
      <c r="BT728" s="359"/>
      <c r="BU728" s="359"/>
      <c r="BV728" s="359"/>
      <c r="BW728" s="359"/>
      <c r="BX728" s="359"/>
      <c r="BY728" s="359"/>
      <c r="BZ728" s="359"/>
      <c r="CA728" s="359"/>
      <c r="CB728" s="359"/>
      <c r="CC728" s="359"/>
      <c r="CD728" s="359"/>
      <c r="CE728" s="359"/>
    </row>
    <row r="729" spans="1:84" s="360" customFormat="1" ht="12.65" customHeight="1">
      <c r="A729" s="360" t="s">
        <v>745</v>
      </c>
      <c r="B729" s="360" t="s">
        <v>896</v>
      </c>
      <c r="C729" s="360" t="s">
        <v>897</v>
      </c>
      <c r="D729" s="360" t="s">
        <v>898</v>
      </c>
      <c r="E729" s="360" t="s">
        <v>899</v>
      </c>
      <c r="F729" s="360" t="s">
        <v>900</v>
      </c>
      <c r="G729" s="360" t="s">
        <v>901</v>
      </c>
      <c r="H729" s="360" t="s">
        <v>902</v>
      </c>
      <c r="I729" s="360" t="s">
        <v>903</v>
      </c>
      <c r="J729" s="360" t="s">
        <v>904</v>
      </c>
      <c r="K729" s="360" t="s">
        <v>905</v>
      </c>
      <c r="L729" s="360" t="s">
        <v>906</v>
      </c>
      <c r="M729" s="360" t="s">
        <v>907</v>
      </c>
      <c r="N729" s="360" t="s">
        <v>908</v>
      </c>
      <c r="O729" s="360" t="s">
        <v>909</v>
      </c>
      <c r="P729" s="360" t="s">
        <v>910</v>
      </c>
      <c r="Q729" s="360" t="s">
        <v>911</v>
      </c>
      <c r="R729" s="360" t="s">
        <v>912</v>
      </c>
      <c r="S729" s="360" t="s">
        <v>913</v>
      </c>
      <c r="T729" s="360" t="s">
        <v>914</v>
      </c>
      <c r="U729" s="360" t="s">
        <v>915</v>
      </c>
      <c r="V729" s="360" t="s">
        <v>916</v>
      </c>
      <c r="W729" s="360" t="s">
        <v>917</v>
      </c>
      <c r="X729" s="360" t="s">
        <v>918</v>
      </c>
      <c r="Y729" s="360" t="s">
        <v>919</v>
      </c>
      <c r="Z729" s="360" t="s">
        <v>920</v>
      </c>
      <c r="AA729" s="360" t="s">
        <v>921</v>
      </c>
      <c r="AB729" s="360" t="s">
        <v>922</v>
      </c>
      <c r="AC729" s="360" t="s">
        <v>923</v>
      </c>
      <c r="AD729" s="360" t="s">
        <v>924</v>
      </c>
      <c r="AE729" s="360" t="s">
        <v>925</v>
      </c>
      <c r="AF729" s="360" t="s">
        <v>926</v>
      </c>
      <c r="AG729" s="360" t="s">
        <v>927</v>
      </c>
      <c r="AH729" s="360" t="s">
        <v>928</v>
      </c>
      <c r="AI729" s="360" t="s">
        <v>929</v>
      </c>
      <c r="AJ729" s="360" t="s">
        <v>930</v>
      </c>
      <c r="AK729" s="360" t="s">
        <v>931</v>
      </c>
      <c r="AL729" s="360" t="s">
        <v>932</v>
      </c>
      <c r="AM729" s="360" t="s">
        <v>933</v>
      </c>
      <c r="AN729" s="360" t="s">
        <v>934</v>
      </c>
      <c r="AO729" s="360" t="s">
        <v>935</v>
      </c>
      <c r="AP729" s="360" t="s">
        <v>936</v>
      </c>
      <c r="AQ729" s="360" t="s">
        <v>937</v>
      </c>
      <c r="AR729" s="360" t="s">
        <v>938</v>
      </c>
      <c r="AS729" s="360" t="s">
        <v>939</v>
      </c>
      <c r="AT729" s="360" t="s">
        <v>940</v>
      </c>
      <c r="AU729" s="360" t="s">
        <v>941</v>
      </c>
      <c r="AV729" s="360" t="s">
        <v>942</v>
      </c>
      <c r="AW729" s="360" t="s">
        <v>943</v>
      </c>
      <c r="AX729" s="360" t="s">
        <v>944</v>
      </c>
      <c r="AY729" s="360" t="s">
        <v>945</v>
      </c>
      <c r="AZ729" s="360" t="s">
        <v>946</v>
      </c>
      <c r="BA729" s="360" t="s">
        <v>947</v>
      </c>
      <c r="BB729" s="360" t="s">
        <v>948</v>
      </c>
      <c r="BC729" s="360" t="s">
        <v>949</v>
      </c>
      <c r="BD729" s="360" t="s">
        <v>950</v>
      </c>
      <c r="BE729" s="360" t="s">
        <v>951</v>
      </c>
      <c r="BF729" s="360" t="s">
        <v>952</v>
      </c>
      <c r="BG729" s="360" t="s">
        <v>953</v>
      </c>
      <c r="BH729" s="360" t="s">
        <v>954</v>
      </c>
      <c r="BI729" s="360" t="s">
        <v>955</v>
      </c>
      <c r="BJ729" s="360" t="s">
        <v>956</v>
      </c>
      <c r="BK729" s="360" t="s">
        <v>957</v>
      </c>
      <c r="BL729" s="360" t="s">
        <v>958</v>
      </c>
      <c r="BM729" s="360" t="s">
        <v>959</v>
      </c>
      <c r="BN729" s="360" t="s">
        <v>960</v>
      </c>
      <c r="BO729" s="360" t="s">
        <v>961</v>
      </c>
      <c r="BP729" s="360" t="s">
        <v>962</v>
      </c>
      <c r="BQ729" s="360" t="s">
        <v>963</v>
      </c>
      <c r="BR729" s="360" t="s">
        <v>964</v>
      </c>
      <c r="BS729" s="360" t="s">
        <v>965</v>
      </c>
      <c r="BT729" s="360" t="s">
        <v>966</v>
      </c>
      <c r="BU729" s="360" t="s">
        <v>967</v>
      </c>
      <c r="BV729" s="360" t="s">
        <v>968</v>
      </c>
      <c r="BW729" s="360" t="s">
        <v>969</v>
      </c>
      <c r="BX729" s="360" t="s">
        <v>970</v>
      </c>
      <c r="BY729" s="360" t="s">
        <v>971</v>
      </c>
      <c r="BZ729" s="360" t="s">
        <v>972</v>
      </c>
      <c r="CA729" s="360" t="s">
        <v>973</v>
      </c>
      <c r="CB729" s="360" t="s">
        <v>974</v>
      </c>
      <c r="CC729" s="360" t="s">
        <v>975</v>
      </c>
      <c r="CD729" s="360" t="s">
        <v>976</v>
      </c>
      <c r="CE729" s="360" t="s">
        <v>977</v>
      </c>
      <c r="CF729" s="360" t="s">
        <v>978</v>
      </c>
    </row>
    <row r="730" spans="1:84" s="358" customFormat="1" ht="12.65" customHeight="1">
      <c r="A730" s="361" t="e">
        <f>RIGHT(C83,3)&amp;"*"&amp;RIGHT(C82,4)&amp;"*"&amp;"A"</f>
        <v>#VALUE!</v>
      </c>
      <c r="B730" s="359">
        <f>ROUND(C250,0)</f>
        <v>-1802271</v>
      </c>
      <c r="C730" s="359">
        <f>ROUND(C251,0)</f>
        <v>0</v>
      </c>
      <c r="D730" s="359">
        <f>ROUND(C252,0)</f>
        <v>18451614</v>
      </c>
      <c r="E730" s="359">
        <f>ROUND(C253,0)</f>
        <v>6956002</v>
      </c>
      <c r="F730" s="359">
        <f>ROUND(C254,0)</f>
        <v>0</v>
      </c>
      <c r="G730" s="359">
        <f>ROUND(C255,0)</f>
        <v>1989218</v>
      </c>
      <c r="H730" s="359">
        <f>ROUND(C256,0)</f>
        <v>39449</v>
      </c>
      <c r="I730" s="359">
        <f>ROUND(C257,0)</f>
        <v>3563517</v>
      </c>
      <c r="J730" s="359">
        <f>ROUND(C258,0)</f>
        <v>976209</v>
      </c>
      <c r="K730" s="359">
        <f>ROUND(C259,0)</f>
        <v>0</v>
      </c>
      <c r="L730" s="359">
        <f>ROUND(C262,0)</f>
        <v>0</v>
      </c>
      <c r="M730" s="359">
        <f>ROUND(C263,0)</f>
        <v>0</v>
      </c>
      <c r="N730" s="359">
        <f>ROUND(C264,0)</f>
        <v>0</v>
      </c>
      <c r="O730" s="359">
        <f>ROUND(C267,0)</f>
        <v>3160000</v>
      </c>
      <c r="P730" s="359">
        <f>ROUND(C268,0)</f>
        <v>710000</v>
      </c>
      <c r="Q730" s="359">
        <f>ROUND(C269,0)</f>
        <v>44944891</v>
      </c>
      <c r="R730" s="359">
        <f>ROUND(C270,0)</f>
        <v>21305026</v>
      </c>
      <c r="S730" s="359">
        <f>ROUND(C271,0)</f>
        <v>0</v>
      </c>
      <c r="T730" s="359">
        <f>ROUND(C272,0)</f>
        <v>18964693</v>
      </c>
      <c r="U730" s="359">
        <f>ROUND(C273,0)</f>
        <v>2004656</v>
      </c>
      <c r="V730" s="359">
        <f>ROUND(C274,0)</f>
        <v>982323</v>
      </c>
      <c r="W730" s="359">
        <f>ROUND(C275,0)</f>
        <v>0</v>
      </c>
      <c r="X730" s="359">
        <f>ROUND(C276,0)</f>
        <v>24120505</v>
      </c>
      <c r="Y730" s="359">
        <f>ROUND(C279,0)</f>
        <v>0</v>
      </c>
      <c r="Z730" s="359">
        <f>ROUND(C280,0)</f>
        <v>0</v>
      </c>
      <c r="AA730" s="359">
        <f>ROUND(C281,0)</f>
        <v>448809</v>
      </c>
      <c r="AB730" s="359">
        <f>ROUND(C282,0)</f>
        <v>1799432</v>
      </c>
      <c r="AC730" s="359">
        <f>ROUND(C286,0)</f>
        <v>0</v>
      </c>
      <c r="AD730" s="359">
        <f>ROUND(C287,0)</f>
        <v>0</v>
      </c>
      <c r="AE730" s="359">
        <f>ROUND(C288,0)</f>
        <v>0</v>
      </c>
      <c r="AF730" s="359">
        <f>ROUND(C289,0)</f>
        <v>252838</v>
      </c>
      <c r="AG730" s="359">
        <f>ROUND(C304,0)</f>
        <v>0</v>
      </c>
      <c r="AH730" s="359">
        <f>ROUND(C305,0)</f>
        <v>4493423</v>
      </c>
      <c r="AI730" s="359">
        <f>ROUND(C306,0)</f>
        <v>3528620</v>
      </c>
      <c r="AJ730" s="359">
        <f>ROUND(C307,0)</f>
        <v>347596</v>
      </c>
      <c r="AK730" s="359">
        <f>ROUND(C308,0)</f>
        <v>0</v>
      </c>
      <c r="AL730" s="359">
        <f>ROUND(C309,0)</f>
        <v>0</v>
      </c>
      <c r="AM730" s="359">
        <f>ROUND(C310,0)</f>
        <v>0</v>
      </c>
      <c r="AN730" s="359">
        <f>ROUND(C311,0)</f>
        <v>0</v>
      </c>
      <c r="AO730" s="359">
        <f>ROUND(C312,0)</f>
        <v>19876907</v>
      </c>
      <c r="AP730" s="359">
        <f>ROUND(C313,0)</f>
        <v>0</v>
      </c>
      <c r="AQ730" s="359">
        <f>ROUND(C316,0)</f>
        <v>0</v>
      </c>
      <c r="AR730" s="359">
        <f>ROUND(C317,0)</f>
        <v>0</v>
      </c>
      <c r="AS730" s="359">
        <f>ROUND(C318,0)</f>
        <v>1540456</v>
      </c>
      <c r="AT730" s="359">
        <f>ROUND(C321,0)</f>
        <v>0</v>
      </c>
      <c r="AU730" s="359">
        <f>ROUND(C322,0)</f>
        <v>0</v>
      </c>
      <c r="AV730" s="359">
        <f>ROUND(C323,0)</f>
        <v>0</v>
      </c>
      <c r="AW730" s="359">
        <f>ROUND(C324,0)</f>
        <v>113282771</v>
      </c>
      <c r="AX730" s="359">
        <f>ROUND(C325,0)</f>
        <v>0</v>
      </c>
      <c r="AY730" s="359">
        <f>ROUND(C326,0)</f>
        <v>-31028499</v>
      </c>
      <c r="AZ730" s="359">
        <f>ROUND(C327,0)</f>
        <v>0</v>
      </c>
      <c r="BA730" s="359">
        <f>ROUND(C328,0)</f>
        <v>0</v>
      </c>
      <c r="BB730" s="359">
        <f>ROUND(C332,0)</f>
        <v>0</v>
      </c>
      <c r="BC730" s="359"/>
      <c r="BD730" s="359"/>
      <c r="BE730" s="359">
        <f>ROUND(C337,0)</f>
        <v>-8128883</v>
      </c>
      <c r="BF730" s="359">
        <f>ROUND(C336,0)</f>
        <v>0</v>
      </c>
      <c r="BG730" s="359"/>
      <c r="BH730" s="359"/>
      <c r="BI730" s="359">
        <f>ROUND(CE60,2)</f>
        <v>440.15</v>
      </c>
      <c r="BJ730" s="359">
        <f>ROUND(C359,0)</f>
        <v>53881939</v>
      </c>
      <c r="BK730" s="359">
        <f>ROUND(C360,0)</f>
        <v>87349117</v>
      </c>
      <c r="BL730" s="359">
        <f>ROUND(C364,0)</f>
        <v>117631015</v>
      </c>
      <c r="BM730" s="359">
        <f>ROUND(C365,0)</f>
        <v>788583</v>
      </c>
      <c r="BN730" s="359">
        <f>ROUND(C366,0)</f>
        <v>5356</v>
      </c>
      <c r="BO730" s="359">
        <f>ROUND(C370,0)</f>
        <v>48385</v>
      </c>
      <c r="BP730" s="359">
        <f>ROUND(C371,0)</f>
        <v>0</v>
      </c>
      <c r="BQ730" s="359">
        <f>ROUND(C378,0)</f>
        <v>9508095</v>
      </c>
      <c r="BR730" s="359">
        <f>ROUND(C379,0)</f>
        <v>1845898</v>
      </c>
      <c r="BS730" s="359">
        <f>ROUND(C380,0)</f>
        <v>1339041</v>
      </c>
      <c r="BT730" s="359">
        <f>ROUND(C381,0)</f>
        <v>4057074</v>
      </c>
      <c r="BU730" s="359">
        <f>ROUND(C382,0)</f>
        <v>248783</v>
      </c>
      <c r="BV730" s="359">
        <f>ROUND(C383,0)</f>
        <v>2758397</v>
      </c>
      <c r="BW730" s="359">
        <f>ROUND(C384,0)</f>
        <v>0</v>
      </c>
      <c r="BX730" s="359">
        <f>ROUND(C385,0)</f>
        <v>621444</v>
      </c>
      <c r="BY730" s="359">
        <f>ROUND(C386,0)</f>
        <v>111932</v>
      </c>
      <c r="BZ730" s="359">
        <f>ROUND(C387,0)</f>
        <v>1162192</v>
      </c>
      <c r="CA730" s="359">
        <f>ROUND(C388,0)</f>
        <v>2513722</v>
      </c>
      <c r="CB730" s="359">
        <f>C363</f>
        <v>887218</v>
      </c>
      <c r="CC730" s="359">
        <f>ROUND(C389,0)</f>
        <v>-691514</v>
      </c>
      <c r="CD730" s="359">
        <f>ROUND(C392,0)</f>
        <v>0</v>
      </c>
      <c r="CE730" s="359">
        <f>ROUND(C394,0)</f>
        <v>0</v>
      </c>
      <c r="CF730" s="358">
        <f>ROUND(C395,0)</f>
        <v>0</v>
      </c>
    </row>
    <row r="731" spans="1:84" ht="12.65" customHeight="1">
      <c r="B731" s="362"/>
      <c r="C731" s="362"/>
      <c r="D731" s="362"/>
      <c r="E731" s="362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62"/>
      <c r="AA731" s="362"/>
      <c r="AB731" s="362"/>
      <c r="AC731" s="362"/>
      <c r="AD731" s="362"/>
      <c r="AE731" s="362"/>
      <c r="AF731" s="362"/>
      <c r="AG731" s="362"/>
      <c r="AH731" s="362"/>
      <c r="AI731" s="362"/>
      <c r="AJ731" s="362"/>
      <c r="AK731" s="362"/>
      <c r="AL731" s="362"/>
      <c r="AM731" s="362"/>
      <c r="AN731" s="362"/>
      <c r="AO731" s="362"/>
      <c r="AP731" s="362"/>
      <c r="AQ731" s="362"/>
      <c r="AR731" s="362"/>
      <c r="AS731" s="362"/>
      <c r="AT731" s="362"/>
      <c r="AU731" s="362"/>
      <c r="AV731" s="362"/>
      <c r="AW731" s="362"/>
      <c r="AX731" s="362"/>
      <c r="AY731" s="362"/>
      <c r="AZ731" s="362"/>
      <c r="BA731" s="362"/>
      <c r="BB731" s="362"/>
      <c r="BC731" s="362"/>
      <c r="BD731" s="362"/>
      <c r="BE731" s="362"/>
      <c r="BF731" s="362"/>
      <c r="BG731" s="362"/>
      <c r="BH731" s="362"/>
      <c r="BI731" s="362"/>
      <c r="BJ731" s="362"/>
      <c r="BK731" s="362"/>
      <c r="BL731" s="362"/>
      <c r="BM731" s="362"/>
      <c r="BN731" s="362"/>
      <c r="BO731" s="362"/>
      <c r="BP731" s="362"/>
      <c r="BQ731" s="362"/>
      <c r="BR731" s="362"/>
      <c r="BS731" s="362"/>
      <c r="BT731" s="362"/>
      <c r="BU731" s="362"/>
      <c r="BV731" s="362"/>
      <c r="BW731" s="362"/>
      <c r="BX731" s="362"/>
      <c r="BY731" s="362"/>
      <c r="BZ731" s="362"/>
      <c r="CA731" s="362"/>
      <c r="CB731" s="362"/>
      <c r="CC731" s="362"/>
      <c r="CD731" s="362"/>
      <c r="CE731" s="362"/>
    </row>
    <row r="732" spans="1:84" s="358" customFormat="1" ht="12.65" customHeight="1">
      <c r="A732" s="358" t="s">
        <v>979</v>
      </c>
      <c r="B732" s="359"/>
      <c r="C732" s="359"/>
      <c r="D732" s="359"/>
      <c r="E732" s="359"/>
      <c r="F732" s="359"/>
      <c r="G732" s="359"/>
      <c r="H732" s="359"/>
      <c r="I732" s="359"/>
      <c r="J732" s="359"/>
      <c r="K732" s="359"/>
      <c r="L732" s="359"/>
      <c r="M732" s="359"/>
      <c r="N732" s="359"/>
      <c r="O732" s="359"/>
      <c r="P732" s="359"/>
      <c r="Q732" s="359"/>
      <c r="R732" s="359"/>
      <c r="S732" s="359"/>
      <c r="T732" s="359"/>
      <c r="U732" s="359"/>
      <c r="V732" s="359"/>
      <c r="W732" s="359"/>
      <c r="X732" s="359"/>
      <c r="Y732" s="359"/>
      <c r="Z732" s="359"/>
      <c r="AA732" s="359"/>
      <c r="AB732" s="359"/>
      <c r="AC732" s="359"/>
      <c r="AD732" s="359"/>
      <c r="AE732" s="359"/>
      <c r="AF732" s="359"/>
      <c r="AG732" s="359"/>
      <c r="AH732" s="359"/>
      <c r="AI732" s="359"/>
      <c r="AJ732" s="359"/>
      <c r="AK732" s="359"/>
      <c r="AL732" s="359"/>
      <c r="AM732" s="359"/>
      <c r="AN732" s="359"/>
      <c r="AO732" s="359"/>
      <c r="AP732" s="359"/>
      <c r="AQ732" s="359"/>
      <c r="AR732" s="359"/>
      <c r="AS732" s="359"/>
      <c r="AT732" s="359"/>
      <c r="AU732" s="359"/>
      <c r="AV732" s="359"/>
      <c r="AW732" s="359"/>
      <c r="AX732" s="359"/>
      <c r="AY732" s="359"/>
      <c r="AZ732" s="359"/>
      <c r="BA732" s="359"/>
      <c r="BB732" s="359"/>
      <c r="BC732" s="359"/>
      <c r="BD732" s="359"/>
      <c r="BE732" s="359"/>
      <c r="BF732" s="359"/>
      <c r="BG732" s="359"/>
      <c r="BH732" s="359"/>
      <c r="BI732" s="359"/>
      <c r="BJ732" s="359"/>
      <c r="BK732" s="359"/>
      <c r="BL732" s="359"/>
      <c r="BM732" s="359"/>
      <c r="BN732" s="359"/>
      <c r="BO732" s="359"/>
      <c r="BP732" s="359"/>
      <c r="BQ732" s="359"/>
      <c r="BR732" s="359"/>
      <c r="BS732" s="359"/>
      <c r="BT732" s="359"/>
      <c r="BU732" s="359"/>
      <c r="BV732" s="359"/>
      <c r="BW732" s="359"/>
      <c r="BX732" s="359"/>
      <c r="BY732" s="359"/>
      <c r="BZ732" s="359"/>
      <c r="CA732" s="359"/>
      <c r="CB732" s="359"/>
      <c r="CC732" s="359"/>
      <c r="CD732" s="359"/>
      <c r="CE732" s="359"/>
    </row>
    <row r="733" spans="1:84" s="360" customFormat="1" ht="12.65" customHeight="1">
      <c r="A733" s="360" t="s">
        <v>745</v>
      </c>
      <c r="B733" s="360" t="s">
        <v>980</v>
      </c>
      <c r="C733" s="360" t="s">
        <v>981</v>
      </c>
      <c r="D733" s="360" t="s">
        <v>982</v>
      </c>
      <c r="E733" s="360" t="s">
        <v>983</v>
      </c>
      <c r="F733" s="360" t="s">
        <v>984</v>
      </c>
      <c r="G733" s="360" t="s">
        <v>985</v>
      </c>
      <c r="H733" s="360" t="s">
        <v>986</v>
      </c>
      <c r="I733" s="360" t="s">
        <v>987</v>
      </c>
      <c r="J733" s="360" t="s">
        <v>988</v>
      </c>
      <c r="K733" s="360" t="s">
        <v>989</v>
      </c>
      <c r="L733" s="360" t="s">
        <v>990</v>
      </c>
      <c r="M733" s="360" t="s">
        <v>991</v>
      </c>
      <c r="N733" s="360" t="s">
        <v>992</v>
      </c>
      <c r="O733" s="360" t="s">
        <v>993</v>
      </c>
      <c r="P733" s="360" t="s">
        <v>994</v>
      </c>
      <c r="Q733" s="360" t="s">
        <v>995</v>
      </c>
      <c r="R733" s="360" t="s">
        <v>996</v>
      </c>
      <c r="S733" s="360" t="s">
        <v>997</v>
      </c>
      <c r="T733" s="360" t="s">
        <v>998</v>
      </c>
      <c r="U733" s="360" t="s">
        <v>999</v>
      </c>
      <c r="V733" s="360" t="s">
        <v>1000</v>
      </c>
      <c r="W733" s="360" t="s">
        <v>1001</v>
      </c>
      <c r="X733" s="360" t="s">
        <v>1002</v>
      </c>
      <c r="Y733" s="360" t="s">
        <v>1003</v>
      </c>
    </row>
    <row r="734" spans="1:84" s="358" customFormat="1" ht="12.65" customHeight="1">
      <c r="A734" s="361" t="e">
        <f>RIGHT($C$83,3)&amp;"*"&amp;RIGHT($C$82,4)&amp;"*"&amp;C$55&amp;"*"&amp;"A"</f>
        <v>#VALUE!</v>
      </c>
      <c r="B734" s="359">
        <f>ROUND(C59,0)</f>
        <v>1382</v>
      </c>
      <c r="C734" s="359">
        <f>ROUND(C60,2)</f>
        <v>52.08</v>
      </c>
      <c r="D734" s="359">
        <f>ROUND(C61,0)</f>
        <v>1316573</v>
      </c>
      <c r="E734" s="359">
        <f>ROUND(C62,0)</f>
        <v>256727</v>
      </c>
      <c r="F734" s="359">
        <f>ROUND(C63,0)</f>
        <v>129300</v>
      </c>
      <c r="G734" s="359">
        <f>ROUND(C64,0)</f>
        <v>55397</v>
      </c>
      <c r="H734" s="359">
        <f>ROUND(C65,0)</f>
        <v>0</v>
      </c>
      <c r="I734" s="359">
        <f>ROUND(C66,0)</f>
        <v>15692</v>
      </c>
      <c r="J734" s="359">
        <f>ROUND(C67,0)</f>
        <v>0</v>
      </c>
      <c r="K734" s="359">
        <f>ROUND(C68,0)</f>
        <v>8674</v>
      </c>
      <c r="L734" s="359">
        <f>ROUND(C69,0)</f>
        <v>48178</v>
      </c>
      <c r="M734" s="359">
        <f>ROUND(C70,0)</f>
        <v>0</v>
      </c>
      <c r="N734" s="359">
        <f>ROUND(C75,0)</f>
        <v>8064018</v>
      </c>
      <c r="O734" s="359">
        <f>ROUND(C73,0)</f>
        <v>7591322</v>
      </c>
      <c r="P734" s="359">
        <f>IF(C76&gt;0,ROUND(C76,0),0)</f>
        <v>8412</v>
      </c>
      <c r="Q734" s="359">
        <f>IF(C77&gt;0,ROUND(C77,0),0)</f>
        <v>920</v>
      </c>
      <c r="R734" s="359">
        <f>IF(C78&gt;0,ROUND(C78,0),0)</f>
        <v>550</v>
      </c>
      <c r="S734" s="359">
        <f>IF(C79&gt;0,ROUND(C79,0),0)</f>
        <v>17681</v>
      </c>
      <c r="T734" s="359">
        <f>IF(C80&gt;0,ROUND(C80,2),0)</f>
        <v>44.38</v>
      </c>
      <c r="U734" s="359"/>
      <c r="V734" s="359"/>
      <c r="W734" s="359"/>
      <c r="X734" s="359"/>
      <c r="Y734" s="359">
        <f t="shared" ref="Y734:Y779" si="22">IF(M668&lt;&gt;0,ROUND(M668,0),0)</f>
        <v>780444</v>
      </c>
      <c r="Z734" s="359"/>
      <c r="AA734" s="359"/>
      <c r="AB734" s="359"/>
      <c r="AC734" s="359"/>
      <c r="AD734" s="359"/>
      <c r="AE734" s="359"/>
      <c r="AF734" s="359"/>
      <c r="AG734" s="359"/>
      <c r="AH734" s="359"/>
      <c r="AI734" s="359"/>
      <c r="AJ734" s="359"/>
      <c r="AK734" s="359"/>
      <c r="AL734" s="359"/>
      <c r="AM734" s="359"/>
      <c r="AN734" s="359"/>
      <c r="AO734" s="359"/>
      <c r="AP734" s="359"/>
      <c r="AQ734" s="359"/>
      <c r="AR734" s="359"/>
      <c r="AS734" s="359"/>
      <c r="AT734" s="359"/>
      <c r="AU734" s="359"/>
      <c r="AV734" s="359"/>
      <c r="AW734" s="359"/>
      <c r="AX734" s="359"/>
      <c r="AY734" s="359"/>
      <c r="AZ734" s="359"/>
      <c r="BA734" s="359"/>
      <c r="BB734" s="359"/>
      <c r="BC734" s="359"/>
      <c r="BD734" s="359"/>
      <c r="BE734" s="359"/>
      <c r="BF734" s="359"/>
      <c r="BG734" s="359"/>
      <c r="BH734" s="359"/>
      <c r="BI734" s="359"/>
      <c r="BJ734" s="359"/>
      <c r="BK734" s="359"/>
      <c r="BL734" s="359"/>
      <c r="BM734" s="359"/>
      <c r="BN734" s="359"/>
      <c r="BO734" s="359"/>
      <c r="BP734" s="359"/>
      <c r="BQ734" s="359"/>
      <c r="BR734" s="359"/>
      <c r="BS734" s="359"/>
      <c r="BT734" s="359"/>
      <c r="BU734" s="359"/>
      <c r="BV734" s="359"/>
      <c r="BW734" s="359"/>
      <c r="BX734" s="359"/>
      <c r="BY734" s="359"/>
      <c r="BZ734" s="359"/>
      <c r="CA734" s="359"/>
      <c r="CB734" s="359"/>
      <c r="CC734" s="359"/>
      <c r="CD734" s="359"/>
      <c r="CE734" s="359"/>
    </row>
    <row r="735" spans="1:84" ht="12.65" customHeight="1">
      <c r="A735" s="363" t="e">
        <f>RIGHT($C$83,3)&amp;"*"&amp;RIGHT($C$82,4)&amp;"*"&amp;D$55&amp;"*"&amp;"A"</f>
        <v>#VALUE!</v>
      </c>
      <c r="B735" s="359">
        <f>ROUND(D59,0)</f>
        <v>0</v>
      </c>
      <c r="C735" s="364">
        <f>ROUND(D60,2)</f>
        <v>0</v>
      </c>
      <c r="D735" s="359">
        <f>ROUND(D61,0)</f>
        <v>0</v>
      </c>
      <c r="E735" s="359">
        <f>ROUND(D62,0)</f>
        <v>0</v>
      </c>
      <c r="F735" s="359">
        <f>ROUND(D63,0)</f>
        <v>0</v>
      </c>
      <c r="G735" s="359">
        <f>ROUND(D64,0)</f>
        <v>0</v>
      </c>
      <c r="H735" s="359">
        <f>ROUND(D65,0)</f>
        <v>0</v>
      </c>
      <c r="I735" s="359">
        <f>ROUND(D66,0)</f>
        <v>0</v>
      </c>
      <c r="J735" s="359">
        <f>ROUND(D67,0)</f>
        <v>0</v>
      </c>
      <c r="K735" s="359">
        <f>ROUND(D68,0)</f>
        <v>0</v>
      </c>
      <c r="L735" s="359">
        <f>ROUND(D69,0)</f>
        <v>0</v>
      </c>
      <c r="M735" s="359">
        <f>ROUND(D70,0)</f>
        <v>0</v>
      </c>
      <c r="N735" s="359">
        <f>ROUND(D75,0)</f>
        <v>0</v>
      </c>
      <c r="O735" s="359">
        <f>ROUND(D73,0)</f>
        <v>0</v>
      </c>
      <c r="P735" s="359">
        <f>IF(D76&gt;0,ROUND(D76,0),0)</f>
        <v>0</v>
      </c>
      <c r="Q735" s="359">
        <f>IF(D77&gt;0,ROUND(D77,0),0)</f>
        <v>0</v>
      </c>
      <c r="R735" s="359">
        <f>IF(D78&gt;0,ROUND(D78,0),0)</f>
        <v>0</v>
      </c>
      <c r="S735" s="359">
        <f>IF(D79&gt;0,ROUND(D79,0),0)</f>
        <v>0</v>
      </c>
      <c r="T735" s="364">
        <f>IF(D80&gt;0,ROUND(D80,2),0)</f>
        <v>0</v>
      </c>
      <c r="U735" s="359"/>
      <c r="V735" s="362"/>
      <c r="W735" s="359"/>
      <c r="X735" s="359"/>
      <c r="Y735" s="359">
        <f t="shared" si="22"/>
        <v>0</v>
      </c>
      <c r="Z735" s="362"/>
      <c r="AA735" s="362"/>
      <c r="AB735" s="362"/>
      <c r="AC735" s="362"/>
      <c r="AD735" s="362"/>
      <c r="AE735" s="362"/>
      <c r="AF735" s="362"/>
      <c r="AG735" s="362"/>
      <c r="AH735" s="362"/>
      <c r="AI735" s="362"/>
      <c r="AJ735" s="362"/>
      <c r="AK735" s="362"/>
      <c r="AL735" s="362"/>
      <c r="AM735" s="362"/>
      <c r="AN735" s="362"/>
      <c r="AO735" s="362"/>
      <c r="AP735" s="362"/>
      <c r="AQ735" s="362"/>
      <c r="AR735" s="362"/>
      <c r="AS735" s="362"/>
      <c r="AT735" s="362"/>
      <c r="AU735" s="362"/>
      <c r="AV735" s="362"/>
      <c r="AW735" s="362"/>
      <c r="AX735" s="362"/>
      <c r="AY735" s="362"/>
      <c r="AZ735" s="362"/>
      <c r="BA735" s="362"/>
      <c r="BB735" s="362"/>
      <c r="BC735" s="362"/>
      <c r="BD735" s="362"/>
      <c r="BE735" s="362"/>
      <c r="BF735" s="362"/>
      <c r="BG735" s="362"/>
      <c r="BH735" s="362"/>
      <c r="BI735" s="362"/>
      <c r="BJ735" s="362"/>
      <c r="BK735" s="362"/>
      <c r="BL735" s="362"/>
      <c r="BM735" s="362"/>
      <c r="BN735" s="362"/>
      <c r="BO735" s="362"/>
      <c r="BP735" s="362"/>
      <c r="BQ735" s="362"/>
      <c r="BR735" s="362"/>
      <c r="BS735" s="362"/>
      <c r="BT735" s="362"/>
      <c r="BU735" s="362"/>
      <c r="BV735" s="362"/>
      <c r="BW735" s="362"/>
      <c r="BX735" s="362"/>
      <c r="BY735" s="362"/>
      <c r="BZ735" s="362"/>
      <c r="CA735" s="362"/>
      <c r="CB735" s="362"/>
      <c r="CC735" s="362"/>
      <c r="CD735" s="362"/>
      <c r="CE735" s="362"/>
    </row>
    <row r="736" spans="1:84" ht="12.65" customHeight="1">
      <c r="A736" s="363" t="e">
        <f>RIGHT($C$83,3)&amp;"*"&amp;RIGHT($C$82,4)&amp;"*"&amp;E$55&amp;"*"&amp;"A"</f>
        <v>#VALUE!</v>
      </c>
      <c r="B736" s="359">
        <f>ROUND(E59,0)</f>
        <v>1194</v>
      </c>
      <c r="C736" s="364">
        <f>ROUND(E60,2)</f>
        <v>37.32</v>
      </c>
      <c r="D736" s="359">
        <f>ROUND(E61,0)</f>
        <v>821747</v>
      </c>
      <c r="E736" s="359">
        <f>ROUND(E62,0)</f>
        <v>159468</v>
      </c>
      <c r="F736" s="359">
        <f>ROUND(E63,0)</f>
        <v>0</v>
      </c>
      <c r="G736" s="359">
        <f>ROUND(E64,0)</f>
        <v>43008</v>
      </c>
      <c r="H736" s="359">
        <f>ROUND(E65,0)</f>
        <v>0</v>
      </c>
      <c r="I736" s="359">
        <f>ROUND(E66,0)</f>
        <v>9864</v>
      </c>
      <c r="J736" s="359">
        <f>ROUND(E67,0)</f>
        <v>0</v>
      </c>
      <c r="K736" s="359">
        <f>ROUND(E68,0)</f>
        <v>13324</v>
      </c>
      <c r="L736" s="359">
        <f>ROUND(E69,0)</f>
        <v>10324</v>
      </c>
      <c r="M736" s="359">
        <f>ROUND(E70,0)</f>
        <v>0</v>
      </c>
      <c r="N736" s="359">
        <f>ROUND(E75,0)</f>
        <v>3425125</v>
      </c>
      <c r="O736" s="359">
        <f>ROUND(E73,0)</f>
        <v>3146150</v>
      </c>
      <c r="P736" s="359">
        <f>IF(E76&gt;0,ROUND(E76,0),0)</f>
        <v>11950</v>
      </c>
      <c r="Q736" s="359">
        <f>IF(E77&gt;0,ROUND(E77,0),0)</f>
        <v>3545</v>
      </c>
      <c r="R736" s="359">
        <f>IF(E78&gt;0,ROUND(E78,0),0)</f>
        <v>781</v>
      </c>
      <c r="S736" s="359">
        <f>IF(E79&gt;0,ROUND(E79,0),0)</f>
        <v>32648</v>
      </c>
      <c r="T736" s="364">
        <f>IF(E80&gt;0,ROUND(E80,2),0)</f>
        <v>31.68</v>
      </c>
      <c r="U736" s="359"/>
      <c r="V736" s="362"/>
      <c r="W736" s="359"/>
      <c r="X736" s="359"/>
      <c r="Y736" s="359">
        <f t="shared" si="22"/>
        <v>768868</v>
      </c>
      <c r="Z736" s="362"/>
      <c r="AA736" s="362"/>
      <c r="AB736" s="362"/>
      <c r="AC736" s="362"/>
      <c r="AD736" s="362"/>
      <c r="AE736" s="362"/>
      <c r="AF736" s="362"/>
      <c r="AG736" s="362"/>
      <c r="AH736" s="362"/>
      <c r="AI736" s="362"/>
      <c r="AJ736" s="362"/>
      <c r="AK736" s="362"/>
      <c r="AL736" s="362"/>
      <c r="AM736" s="362"/>
      <c r="AN736" s="362"/>
      <c r="AO736" s="362"/>
      <c r="AP736" s="362"/>
      <c r="AQ736" s="362"/>
      <c r="AR736" s="362"/>
      <c r="AS736" s="362"/>
      <c r="AT736" s="362"/>
      <c r="AU736" s="362"/>
      <c r="AV736" s="362"/>
      <c r="AW736" s="362"/>
      <c r="AX736" s="362"/>
      <c r="AY736" s="362"/>
      <c r="AZ736" s="362"/>
      <c r="BA736" s="362"/>
      <c r="BB736" s="362"/>
      <c r="BC736" s="362"/>
      <c r="BD736" s="362"/>
      <c r="BE736" s="362"/>
      <c r="BF736" s="362"/>
      <c r="BG736" s="362"/>
      <c r="BH736" s="362"/>
      <c r="BI736" s="362"/>
      <c r="BJ736" s="362"/>
      <c r="BK736" s="362"/>
      <c r="BL736" s="362"/>
      <c r="BM736" s="362"/>
      <c r="BN736" s="362"/>
      <c r="BO736" s="362"/>
      <c r="BP736" s="362"/>
      <c r="BQ736" s="362"/>
      <c r="BR736" s="362"/>
      <c r="BS736" s="362"/>
      <c r="BT736" s="362"/>
      <c r="BU736" s="362"/>
      <c r="BV736" s="362"/>
      <c r="BW736" s="362"/>
      <c r="BX736" s="362"/>
      <c r="BY736" s="362"/>
      <c r="BZ736" s="362"/>
      <c r="CA736" s="362"/>
      <c r="CB736" s="362"/>
      <c r="CC736" s="362"/>
      <c r="CD736" s="362"/>
      <c r="CE736" s="362"/>
    </row>
    <row r="737" spans="1:83" ht="12.65" customHeight="1">
      <c r="A737" s="363" t="e">
        <f>RIGHT($C$83,3)&amp;"*"&amp;RIGHT($C$82,4)&amp;"*"&amp;F$55&amp;"*"&amp;"A"</f>
        <v>#VALUE!</v>
      </c>
      <c r="B737" s="359">
        <f>ROUND(F59,0)</f>
        <v>0</v>
      </c>
      <c r="C737" s="364">
        <f>ROUND(F60,2)</f>
        <v>0</v>
      </c>
      <c r="D737" s="359">
        <f>ROUND(F61,0)</f>
        <v>0</v>
      </c>
      <c r="E737" s="359">
        <f>ROUND(F62,0)</f>
        <v>0</v>
      </c>
      <c r="F737" s="359">
        <f>ROUND(F63,0)</f>
        <v>0</v>
      </c>
      <c r="G737" s="359">
        <f>ROUND(F64,0)</f>
        <v>0</v>
      </c>
      <c r="H737" s="359">
        <f>ROUND(F65,0)</f>
        <v>0</v>
      </c>
      <c r="I737" s="359">
        <f>ROUND(F66,0)</f>
        <v>0</v>
      </c>
      <c r="J737" s="359">
        <f>ROUND(F67,0)</f>
        <v>0</v>
      </c>
      <c r="K737" s="359">
        <f>ROUND(F68,0)</f>
        <v>0</v>
      </c>
      <c r="L737" s="359">
        <f>ROUND(F69,0)</f>
        <v>0</v>
      </c>
      <c r="M737" s="359">
        <f>ROUND(F70,0)</f>
        <v>0</v>
      </c>
      <c r="N737" s="359">
        <f>ROUND(F75,0)</f>
        <v>0</v>
      </c>
      <c r="O737" s="359">
        <f>ROUND(F73,0)</f>
        <v>0</v>
      </c>
      <c r="P737" s="359">
        <f>IF(F76&gt;0,ROUND(F76,0),0)</f>
        <v>0</v>
      </c>
      <c r="Q737" s="359">
        <f>IF(F77&gt;0,ROUND(F77,0),0)</f>
        <v>0</v>
      </c>
      <c r="R737" s="359">
        <f>IF(F78&gt;0,ROUND(F78,0),0)</f>
        <v>0</v>
      </c>
      <c r="S737" s="359">
        <f>IF(F79&gt;0,ROUND(F79,0),0)</f>
        <v>0</v>
      </c>
      <c r="T737" s="364">
        <f>IF(F80&gt;0,ROUND(F80,2),0)</f>
        <v>0</v>
      </c>
      <c r="U737" s="359"/>
      <c r="V737" s="362"/>
      <c r="W737" s="359"/>
      <c r="X737" s="359"/>
      <c r="Y737" s="359">
        <f t="shared" si="22"/>
        <v>0</v>
      </c>
      <c r="Z737" s="362"/>
      <c r="AA737" s="362"/>
      <c r="AB737" s="362"/>
      <c r="AC737" s="362"/>
      <c r="AD737" s="362"/>
      <c r="AE737" s="362"/>
      <c r="AF737" s="362"/>
      <c r="AG737" s="362"/>
      <c r="AH737" s="362"/>
      <c r="AI737" s="362"/>
      <c r="AJ737" s="362"/>
      <c r="AK737" s="362"/>
      <c r="AL737" s="362"/>
      <c r="AM737" s="362"/>
      <c r="AN737" s="362"/>
      <c r="AO737" s="362"/>
      <c r="AP737" s="362"/>
      <c r="AQ737" s="362"/>
      <c r="AR737" s="362"/>
      <c r="AS737" s="362"/>
      <c r="AT737" s="362"/>
      <c r="AU737" s="362"/>
      <c r="AV737" s="362"/>
      <c r="AW737" s="362"/>
      <c r="AX737" s="362"/>
      <c r="AY737" s="362"/>
      <c r="AZ737" s="362"/>
      <c r="BA737" s="362"/>
      <c r="BB737" s="362"/>
      <c r="BC737" s="362"/>
      <c r="BD737" s="362"/>
      <c r="BE737" s="362"/>
      <c r="BF737" s="362"/>
      <c r="BG737" s="362"/>
      <c r="BH737" s="362"/>
      <c r="BI737" s="362"/>
      <c r="BJ737" s="362"/>
      <c r="BK737" s="362"/>
      <c r="BL737" s="362"/>
      <c r="BM737" s="362"/>
      <c r="BN737" s="362"/>
      <c r="BO737" s="362"/>
      <c r="BP737" s="362"/>
      <c r="BQ737" s="362"/>
      <c r="BR737" s="362"/>
      <c r="BS737" s="362"/>
      <c r="BT737" s="362"/>
      <c r="BU737" s="362"/>
      <c r="BV737" s="362"/>
      <c r="BW737" s="362"/>
      <c r="BX737" s="362"/>
      <c r="BY737" s="362"/>
      <c r="BZ737" s="362"/>
      <c r="CA737" s="362"/>
      <c r="CB737" s="362"/>
      <c r="CC737" s="362"/>
      <c r="CD737" s="362"/>
      <c r="CE737" s="362"/>
    </row>
    <row r="738" spans="1:83" ht="12.65" customHeight="1">
      <c r="A738" s="363" t="e">
        <f>RIGHT($C$83,3)&amp;"*"&amp;RIGHT($C$82,4)&amp;"*"&amp;G$55&amp;"*"&amp;"A"</f>
        <v>#VALUE!</v>
      </c>
      <c r="B738" s="359">
        <f>ROUND(G59,0)</f>
        <v>0</v>
      </c>
      <c r="C738" s="364">
        <f>ROUND(G60,2)</f>
        <v>0</v>
      </c>
      <c r="D738" s="359">
        <f>ROUND(G61,0)</f>
        <v>0</v>
      </c>
      <c r="E738" s="359">
        <f>ROUND(G62,0)</f>
        <v>0</v>
      </c>
      <c r="F738" s="359">
        <f>ROUND(G63,0)</f>
        <v>0</v>
      </c>
      <c r="G738" s="359">
        <f>ROUND(G64,0)</f>
        <v>0</v>
      </c>
      <c r="H738" s="359">
        <f>ROUND(G65,0)</f>
        <v>0</v>
      </c>
      <c r="I738" s="359">
        <f>ROUND(G66,0)</f>
        <v>0</v>
      </c>
      <c r="J738" s="359">
        <f>ROUND(G67,0)</f>
        <v>0</v>
      </c>
      <c r="K738" s="359">
        <f>ROUND(G68,0)</f>
        <v>0</v>
      </c>
      <c r="L738" s="359">
        <f>ROUND(G69,0)</f>
        <v>0</v>
      </c>
      <c r="M738" s="359">
        <f>ROUND(G70,0)</f>
        <v>0</v>
      </c>
      <c r="N738" s="359">
        <f>ROUND(G75,0)</f>
        <v>0</v>
      </c>
      <c r="O738" s="359">
        <f>ROUND(G73,0)</f>
        <v>0</v>
      </c>
      <c r="P738" s="359">
        <f>IF(G76&gt;0,ROUND(G76,0),0)</f>
        <v>0</v>
      </c>
      <c r="Q738" s="359">
        <f>IF(G77&gt;0,ROUND(G77,0),0)</f>
        <v>0</v>
      </c>
      <c r="R738" s="359">
        <f>IF(G78&gt;0,ROUND(G78,0),0)</f>
        <v>0</v>
      </c>
      <c r="S738" s="359">
        <f>IF(G79&gt;0,ROUND(G79,0),0)</f>
        <v>0</v>
      </c>
      <c r="T738" s="364">
        <f>IF(G80&gt;0,ROUND(G80,2),0)</f>
        <v>0</v>
      </c>
      <c r="U738" s="359"/>
      <c r="V738" s="362"/>
      <c r="W738" s="359"/>
      <c r="X738" s="359"/>
      <c r="Y738" s="359">
        <f t="shared" si="22"/>
        <v>0</v>
      </c>
      <c r="Z738" s="362"/>
      <c r="AA738" s="362"/>
      <c r="AB738" s="362"/>
      <c r="AC738" s="362"/>
      <c r="AD738" s="362"/>
      <c r="AE738" s="362"/>
      <c r="AF738" s="362"/>
      <c r="AG738" s="362"/>
      <c r="AH738" s="362"/>
      <c r="AI738" s="362"/>
      <c r="AJ738" s="362"/>
      <c r="AK738" s="362"/>
      <c r="AL738" s="362"/>
      <c r="AM738" s="362"/>
      <c r="AN738" s="362"/>
      <c r="AO738" s="362"/>
      <c r="AP738" s="362"/>
      <c r="AQ738" s="362"/>
      <c r="AR738" s="362"/>
      <c r="AS738" s="362"/>
      <c r="AT738" s="362"/>
      <c r="AU738" s="362"/>
      <c r="AV738" s="362"/>
      <c r="AW738" s="362"/>
      <c r="AX738" s="362"/>
      <c r="AY738" s="362"/>
      <c r="AZ738" s="362"/>
      <c r="BA738" s="362"/>
      <c r="BB738" s="362"/>
      <c r="BC738" s="362"/>
      <c r="BD738" s="362"/>
      <c r="BE738" s="362"/>
      <c r="BF738" s="362"/>
      <c r="BG738" s="362"/>
      <c r="BH738" s="362"/>
      <c r="BI738" s="362"/>
      <c r="BJ738" s="362"/>
      <c r="BK738" s="362"/>
      <c r="BL738" s="362"/>
      <c r="BM738" s="362"/>
      <c r="BN738" s="362"/>
      <c r="BO738" s="362"/>
      <c r="BP738" s="362"/>
      <c r="BQ738" s="362"/>
      <c r="BR738" s="362"/>
      <c r="BS738" s="362"/>
      <c r="BT738" s="362"/>
      <c r="BU738" s="362"/>
      <c r="BV738" s="362"/>
      <c r="BW738" s="362"/>
      <c r="BX738" s="362"/>
      <c r="BY738" s="362"/>
      <c r="BZ738" s="362"/>
      <c r="CA738" s="362"/>
      <c r="CB738" s="362"/>
      <c r="CC738" s="362"/>
      <c r="CD738" s="362"/>
      <c r="CE738" s="362"/>
    </row>
    <row r="739" spans="1:83" ht="12.65" customHeight="1">
      <c r="A739" s="363" t="e">
        <f>RIGHT($C$83,3)&amp;"*"&amp;RIGHT($C$82,4)&amp;"*"&amp;H$55&amp;"*"&amp;"A"</f>
        <v>#VALUE!</v>
      </c>
      <c r="B739" s="359">
        <f>ROUND(H59,0)</f>
        <v>0</v>
      </c>
      <c r="C739" s="364">
        <f>ROUND(H60,2)</f>
        <v>0</v>
      </c>
      <c r="D739" s="359">
        <f>ROUND(H61,0)</f>
        <v>0</v>
      </c>
      <c r="E739" s="359">
        <f>ROUND(H62,0)</f>
        <v>0</v>
      </c>
      <c r="F739" s="359">
        <f>ROUND(H63,0)</f>
        <v>0</v>
      </c>
      <c r="G739" s="359">
        <f>ROUND(H64,0)</f>
        <v>0</v>
      </c>
      <c r="H739" s="359">
        <f>ROUND(H65,0)</f>
        <v>0</v>
      </c>
      <c r="I739" s="359">
        <f>ROUND(H66,0)</f>
        <v>0</v>
      </c>
      <c r="J739" s="359">
        <f>ROUND(H67,0)</f>
        <v>0</v>
      </c>
      <c r="K739" s="359">
        <f>ROUND(H68,0)</f>
        <v>0</v>
      </c>
      <c r="L739" s="359">
        <f>ROUND(H69,0)</f>
        <v>0</v>
      </c>
      <c r="M739" s="359">
        <f>ROUND(H70,0)</f>
        <v>0</v>
      </c>
      <c r="N739" s="359">
        <f>ROUND(H75,0)</f>
        <v>0</v>
      </c>
      <c r="O739" s="359">
        <f>ROUND(H73,0)</f>
        <v>0</v>
      </c>
      <c r="P739" s="359">
        <f>IF(H76&gt;0,ROUND(H76,0),0)</f>
        <v>0</v>
      </c>
      <c r="Q739" s="359">
        <f>IF(H77&gt;0,ROUND(H77,0),0)</f>
        <v>0</v>
      </c>
      <c r="R739" s="359">
        <f>IF(H78&gt;0,ROUND(H78,0),0)</f>
        <v>0</v>
      </c>
      <c r="S739" s="359">
        <f>IF(H79&gt;0,ROUND(H79,0),0)</f>
        <v>0</v>
      </c>
      <c r="T739" s="364">
        <f>IF(H80&gt;0,ROUND(H80,2),0)</f>
        <v>0</v>
      </c>
      <c r="U739" s="359"/>
      <c r="V739" s="362"/>
      <c r="W739" s="359"/>
      <c r="X739" s="359"/>
      <c r="Y739" s="359">
        <f t="shared" si="22"/>
        <v>0</v>
      </c>
      <c r="Z739" s="362"/>
      <c r="AA739" s="362"/>
      <c r="AB739" s="362"/>
      <c r="AC739" s="362"/>
      <c r="AD739" s="362"/>
      <c r="AE739" s="362"/>
      <c r="AF739" s="362"/>
      <c r="AG739" s="362"/>
      <c r="AH739" s="362"/>
      <c r="AI739" s="362"/>
      <c r="AJ739" s="362"/>
      <c r="AK739" s="362"/>
      <c r="AL739" s="362"/>
      <c r="AM739" s="362"/>
      <c r="AN739" s="362"/>
      <c r="AO739" s="362"/>
      <c r="AP739" s="362"/>
      <c r="AQ739" s="362"/>
      <c r="AR739" s="362"/>
      <c r="AS739" s="362"/>
      <c r="AT739" s="362"/>
      <c r="AU739" s="362"/>
      <c r="AV739" s="362"/>
      <c r="AW739" s="362"/>
      <c r="AX739" s="362"/>
      <c r="AY739" s="362"/>
      <c r="AZ739" s="362"/>
      <c r="BA739" s="362"/>
      <c r="BB739" s="362"/>
      <c r="BC739" s="362"/>
      <c r="BD739" s="362"/>
      <c r="BE739" s="362"/>
      <c r="BF739" s="362"/>
      <c r="BG739" s="362"/>
      <c r="BH739" s="362"/>
      <c r="BI739" s="362"/>
      <c r="BJ739" s="362"/>
      <c r="BK739" s="362"/>
      <c r="BL739" s="362"/>
      <c r="BM739" s="362"/>
      <c r="BN739" s="362"/>
      <c r="BO739" s="362"/>
      <c r="BP739" s="362"/>
      <c r="BQ739" s="362"/>
      <c r="BR739" s="362"/>
      <c r="BS739" s="362"/>
      <c r="BT739" s="362"/>
      <c r="BU739" s="362"/>
      <c r="BV739" s="362"/>
      <c r="BW739" s="362"/>
      <c r="BX739" s="362"/>
      <c r="BY739" s="362"/>
      <c r="BZ739" s="362"/>
      <c r="CA739" s="362"/>
      <c r="CB739" s="362"/>
      <c r="CC739" s="362"/>
      <c r="CD739" s="362"/>
      <c r="CE739" s="362"/>
    </row>
    <row r="740" spans="1:83" ht="12.65" customHeight="1">
      <c r="A740" s="363" t="e">
        <f>RIGHT($C$83,3)&amp;"*"&amp;RIGHT($C$82,4)&amp;"*"&amp;I$55&amp;"*"&amp;"A"</f>
        <v>#VALUE!</v>
      </c>
      <c r="B740" s="359">
        <f>ROUND(I59,0)</f>
        <v>0</v>
      </c>
      <c r="C740" s="364">
        <f>ROUND(I60,2)</f>
        <v>0</v>
      </c>
      <c r="D740" s="359">
        <f>ROUND(I61,0)</f>
        <v>0</v>
      </c>
      <c r="E740" s="359">
        <f>ROUND(I62,0)</f>
        <v>0</v>
      </c>
      <c r="F740" s="359">
        <f>ROUND(I63,0)</f>
        <v>0</v>
      </c>
      <c r="G740" s="359">
        <f>ROUND(I64,0)</f>
        <v>0</v>
      </c>
      <c r="H740" s="359">
        <f>ROUND(I65,0)</f>
        <v>0</v>
      </c>
      <c r="I740" s="359">
        <f>ROUND(I66,0)</f>
        <v>0</v>
      </c>
      <c r="J740" s="359">
        <f>ROUND(I67,0)</f>
        <v>0</v>
      </c>
      <c r="K740" s="359">
        <f>ROUND(I68,0)</f>
        <v>0</v>
      </c>
      <c r="L740" s="359">
        <f>ROUND(I69,0)</f>
        <v>0</v>
      </c>
      <c r="M740" s="359">
        <f>ROUND(I70,0)</f>
        <v>0</v>
      </c>
      <c r="N740" s="359">
        <f>ROUND(I75,0)</f>
        <v>0</v>
      </c>
      <c r="O740" s="359">
        <f>ROUND(I73,0)</f>
        <v>0</v>
      </c>
      <c r="P740" s="359">
        <f>IF(I76&gt;0,ROUND(I76,0),0)</f>
        <v>0</v>
      </c>
      <c r="Q740" s="359">
        <f>IF(I77&gt;0,ROUND(I77,0),0)</f>
        <v>0</v>
      </c>
      <c r="R740" s="359">
        <f>IF(I78&gt;0,ROUND(I78,0),0)</f>
        <v>0</v>
      </c>
      <c r="S740" s="359">
        <f>IF(I79&gt;0,ROUND(I79,0),0)</f>
        <v>0</v>
      </c>
      <c r="T740" s="364">
        <f>IF(I80&gt;0,ROUND(I80,2),0)</f>
        <v>0</v>
      </c>
      <c r="U740" s="359"/>
      <c r="V740" s="362"/>
      <c r="W740" s="359"/>
      <c r="X740" s="359"/>
      <c r="Y740" s="359">
        <f t="shared" si="22"/>
        <v>0</v>
      </c>
      <c r="Z740" s="362"/>
      <c r="AA740" s="362"/>
      <c r="AB740" s="362"/>
      <c r="AC740" s="362"/>
      <c r="AD740" s="362"/>
      <c r="AE740" s="362"/>
      <c r="AF740" s="362"/>
      <c r="AG740" s="362"/>
      <c r="AH740" s="362"/>
      <c r="AI740" s="362"/>
      <c r="AJ740" s="362"/>
      <c r="AK740" s="362"/>
      <c r="AL740" s="362"/>
      <c r="AM740" s="362"/>
      <c r="AN740" s="362"/>
      <c r="AO740" s="362"/>
      <c r="AP740" s="362"/>
      <c r="AQ740" s="362"/>
      <c r="AR740" s="362"/>
      <c r="AS740" s="362"/>
      <c r="AT740" s="362"/>
      <c r="AU740" s="362"/>
      <c r="AV740" s="362"/>
      <c r="AW740" s="362"/>
      <c r="AX740" s="362"/>
      <c r="AY740" s="362"/>
      <c r="AZ740" s="362"/>
      <c r="BA740" s="362"/>
      <c r="BB740" s="362"/>
      <c r="BC740" s="362"/>
      <c r="BD740" s="362"/>
      <c r="BE740" s="362"/>
      <c r="BF740" s="362"/>
      <c r="BG740" s="362"/>
      <c r="BH740" s="362"/>
      <c r="BI740" s="362"/>
      <c r="BJ740" s="362"/>
      <c r="BK740" s="362"/>
      <c r="BL740" s="362"/>
      <c r="BM740" s="362"/>
      <c r="BN740" s="362"/>
      <c r="BO740" s="362"/>
      <c r="BP740" s="362"/>
      <c r="BQ740" s="362"/>
      <c r="BR740" s="362"/>
      <c r="BS740" s="362"/>
      <c r="BT740" s="362"/>
      <c r="BU740" s="362"/>
      <c r="BV740" s="362"/>
      <c r="BW740" s="362"/>
      <c r="BX740" s="362"/>
      <c r="BY740" s="362"/>
      <c r="BZ740" s="362"/>
      <c r="CA740" s="362"/>
      <c r="CB740" s="362"/>
      <c r="CC740" s="362"/>
      <c r="CD740" s="362"/>
      <c r="CE740" s="362"/>
    </row>
    <row r="741" spans="1:83" ht="12.65" customHeight="1">
      <c r="A741" s="363" t="e">
        <f>RIGHT($C$83,3)&amp;"*"&amp;RIGHT($C$82,4)&amp;"*"&amp;J$55&amp;"*"&amp;"A"</f>
        <v>#VALUE!</v>
      </c>
      <c r="B741" s="359">
        <f>ROUND(J59,0)</f>
        <v>233</v>
      </c>
      <c r="C741" s="364">
        <f>ROUND(J60,2)</f>
        <v>0</v>
      </c>
      <c r="D741" s="359">
        <f>ROUND(J61,0)</f>
        <v>0</v>
      </c>
      <c r="E741" s="359">
        <f>ROUND(J62,0)</f>
        <v>0</v>
      </c>
      <c r="F741" s="359">
        <f>ROUND(J63,0)</f>
        <v>165337</v>
      </c>
      <c r="G741" s="359">
        <f>ROUND(J64,0)</f>
        <v>4493</v>
      </c>
      <c r="H741" s="359">
        <f>ROUND(J65,0)</f>
        <v>0</v>
      </c>
      <c r="I741" s="359">
        <f>ROUND(J66,0)</f>
        <v>18372</v>
      </c>
      <c r="J741" s="359">
        <f>ROUND(J67,0)</f>
        <v>0</v>
      </c>
      <c r="K741" s="359">
        <f>ROUND(J68,0)</f>
        <v>0</v>
      </c>
      <c r="L741" s="359">
        <f>ROUND(J69,0)</f>
        <v>357</v>
      </c>
      <c r="M741" s="359">
        <f>ROUND(J70,0)</f>
        <v>0</v>
      </c>
      <c r="N741" s="359">
        <f>ROUND(J75,0)</f>
        <v>851673</v>
      </c>
      <c r="O741" s="359">
        <f>ROUND(J73,0)</f>
        <v>850287</v>
      </c>
      <c r="P741" s="359">
        <f>IF(J76&gt;0,ROUND(J76,0),0)</f>
        <v>713</v>
      </c>
      <c r="Q741" s="359">
        <f>IF(J77&gt;0,ROUND(J77,0),0)</f>
        <v>689</v>
      </c>
      <c r="R741" s="359">
        <f>IF(J78&gt;0,ROUND(J78,0),0)</f>
        <v>47</v>
      </c>
      <c r="S741" s="359">
        <f>IF(J79&gt;0,ROUND(J79,0),0)</f>
        <v>117</v>
      </c>
      <c r="T741" s="364">
        <f>IF(J80&gt;0,ROUND(J80,2),0)</f>
        <v>0</v>
      </c>
      <c r="U741" s="359"/>
      <c r="V741" s="362"/>
      <c r="W741" s="359"/>
      <c r="X741" s="359"/>
      <c r="Y741" s="359">
        <f t="shared" si="22"/>
        <v>95282</v>
      </c>
      <c r="Z741" s="362"/>
      <c r="AA741" s="362"/>
      <c r="AB741" s="362"/>
      <c r="AC741" s="362"/>
      <c r="AD741" s="362"/>
      <c r="AE741" s="362"/>
      <c r="AF741" s="362"/>
      <c r="AG741" s="362"/>
      <c r="AH741" s="362"/>
      <c r="AI741" s="362"/>
      <c r="AJ741" s="362"/>
      <c r="AK741" s="362"/>
      <c r="AL741" s="362"/>
      <c r="AM741" s="362"/>
      <c r="AN741" s="362"/>
      <c r="AO741" s="362"/>
      <c r="AP741" s="362"/>
      <c r="AQ741" s="362"/>
      <c r="AR741" s="362"/>
      <c r="AS741" s="362"/>
      <c r="AT741" s="362"/>
      <c r="AU741" s="362"/>
      <c r="AV741" s="362"/>
      <c r="AW741" s="362"/>
      <c r="AX741" s="362"/>
      <c r="AY741" s="362"/>
      <c r="AZ741" s="362"/>
      <c r="BA741" s="362"/>
      <c r="BB741" s="362"/>
      <c r="BC741" s="362"/>
      <c r="BD741" s="362"/>
      <c r="BE741" s="362"/>
      <c r="BF741" s="362"/>
      <c r="BG741" s="362"/>
      <c r="BH741" s="362"/>
      <c r="BI741" s="362"/>
      <c r="BJ741" s="362"/>
      <c r="BK741" s="362"/>
      <c r="BL741" s="362"/>
      <c r="BM741" s="362"/>
      <c r="BN741" s="362"/>
      <c r="BO741" s="362"/>
      <c r="BP741" s="362"/>
      <c r="BQ741" s="362"/>
      <c r="BR741" s="362"/>
      <c r="BS741" s="362"/>
      <c r="BT741" s="362"/>
      <c r="BU741" s="362"/>
      <c r="BV741" s="362"/>
      <c r="BW741" s="362"/>
      <c r="BX741" s="362"/>
      <c r="BY741" s="362"/>
      <c r="BZ741" s="362"/>
      <c r="CA741" s="362"/>
      <c r="CB741" s="362"/>
      <c r="CC741" s="362"/>
      <c r="CD741" s="362"/>
      <c r="CE741" s="362"/>
    </row>
    <row r="742" spans="1:83" ht="12.65" customHeight="1">
      <c r="A742" s="363" t="e">
        <f>RIGHT($C$83,3)&amp;"*"&amp;RIGHT($C$82,4)&amp;"*"&amp;K$55&amp;"*"&amp;"A"</f>
        <v>#VALUE!</v>
      </c>
      <c r="B742" s="359">
        <f>ROUND(K59,0)</f>
        <v>0</v>
      </c>
      <c r="C742" s="364">
        <f>ROUND(K60,2)</f>
        <v>0</v>
      </c>
      <c r="D742" s="359">
        <f>ROUND(K61,0)</f>
        <v>0</v>
      </c>
      <c r="E742" s="359">
        <f>ROUND(K62,0)</f>
        <v>0</v>
      </c>
      <c r="F742" s="359">
        <f>ROUND(K63,0)</f>
        <v>0</v>
      </c>
      <c r="G742" s="359">
        <f>ROUND(K64,0)</f>
        <v>0</v>
      </c>
      <c r="H742" s="359">
        <f>ROUND(K65,0)</f>
        <v>0</v>
      </c>
      <c r="I742" s="359">
        <f>ROUND(K66,0)</f>
        <v>0</v>
      </c>
      <c r="J742" s="359">
        <f>ROUND(K67,0)</f>
        <v>0</v>
      </c>
      <c r="K742" s="359">
        <f>ROUND(K68,0)</f>
        <v>0</v>
      </c>
      <c r="L742" s="359">
        <f>ROUND(K69,0)</f>
        <v>0</v>
      </c>
      <c r="M742" s="359">
        <f>ROUND(K70,0)</f>
        <v>0</v>
      </c>
      <c r="N742" s="359">
        <f>ROUND(K75,0)</f>
        <v>0</v>
      </c>
      <c r="O742" s="359">
        <f>ROUND(K73,0)</f>
        <v>0</v>
      </c>
      <c r="P742" s="359">
        <f>IF(K76&gt;0,ROUND(K76,0),0)</f>
        <v>0</v>
      </c>
      <c r="Q742" s="359">
        <f>IF(K77&gt;0,ROUND(K77,0),0)</f>
        <v>0</v>
      </c>
      <c r="R742" s="359">
        <f>IF(K78&gt;0,ROUND(K78,0),0)</f>
        <v>0</v>
      </c>
      <c r="S742" s="359">
        <f>IF(K79&gt;0,ROUND(K79,0),0)</f>
        <v>0</v>
      </c>
      <c r="T742" s="364">
        <f>IF(K80&gt;0,ROUND(K80,2),0)</f>
        <v>0</v>
      </c>
      <c r="U742" s="359"/>
      <c r="V742" s="362"/>
      <c r="W742" s="359"/>
      <c r="X742" s="359"/>
      <c r="Y742" s="359">
        <f t="shared" si="22"/>
        <v>0</v>
      </c>
      <c r="Z742" s="362"/>
      <c r="AA742" s="362"/>
      <c r="AB742" s="362"/>
      <c r="AC742" s="362"/>
      <c r="AD742" s="362"/>
      <c r="AE742" s="362"/>
      <c r="AF742" s="362"/>
      <c r="AG742" s="362"/>
      <c r="AH742" s="362"/>
      <c r="AI742" s="362"/>
      <c r="AJ742" s="362"/>
      <c r="AK742" s="362"/>
      <c r="AL742" s="362"/>
      <c r="AM742" s="362"/>
      <c r="AN742" s="362"/>
      <c r="AO742" s="362"/>
      <c r="AP742" s="362"/>
      <c r="AQ742" s="362"/>
      <c r="AR742" s="362"/>
      <c r="AS742" s="362"/>
      <c r="AT742" s="362"/>
      <c r="AU742" s="362"/>
      <c r="AV742" s="362"/>
      <c r="AW742" s="362"/>
      <c r="AX742" s="362"/>
      <c r="AY742" s="362"/>
      <c r="AZ742" s="362"/>
      <c r="BA742" s="362"/>
      <c r="BB742" s="362"/>
      <c r="BC742" s="362"/>
      <c r="BD742" s="362"/>
      <c r="BE742" s="362"/>
      <c r="BF742" s="362"/>
      <c r="BG742" s="362"/>
      <c r="BH742" s="362"/>
      <c r="BI742" s="362"/>
      <c r="BJ742" s="362"/>
      <c r="BK742" s="362"/>
      <c r="BL742" s="362"/>
      <c r="BM742" s="362"/>
      <c r="BN742" s="362"/>
      <c r="BO742" s="362"/>
      <c r="BP742" s="362"/>
      <c r="BQ742" s="362"/>
      <c r="BR742" s="362"/>
      <c r="BS742" s="362"/>
      <c r="BT742" s="362"/>
      <c r="BU742" s="362"/>
      <c r="BV742" s="362"/>
      <c r="BW742" s="362"/>
      <c r="BX742" s="362"/>
      <c r="BY742" s="362"/>
      <c r="BZ742" s="362"/>
      <c r="CA742" s="362"/>
      <c r="CB742" s="362"/>
      <c r="CC742" s="362"/>
      <c r="CD742" s="362"/>
      <c r="CE742" s="362"/>
    </row>
    <row r="743" spans="1:83" ht="12.65" customHeight="1">
      <c r="A743" s="363" t="e">
        <f>RIGHT($C$83,3)&amp;"*"&amp;RIGHT($C$82,4)&amp;"*"&amp;L$55&amp;"*"&amp;"A"</f>
        <v>#VALUE!</v>
      </c>
      <c r="B743" s="359">
        <f>ROUND(L59,0)</f>
        <v>0</v>
      </c>
      <c r="C743" s="364">
        <f>ROUND(L60,2)</f>
        <v>0</v>
      </c>
      <c r="D743" s="359">
        <f>ROUND(L61,0)</f>
        <v>0</v>
      </c>
      <c r="E743" s="359">
        <f>ROUND(L62,0)</f>
        <v>0</v>
      </c>
      <c r="F743" s="359">
        <f>ROUND(L63,0)</f>
        <v>0</v>
      </c>
      <c r="G743" s="359">
        <f>ROUND(L64,0)</f>
        <v>0</v>
      </c>
      <c r="H743" s="359">
        <f>ROUND(L65,0)</f>
        <v>0</v>
      </c>
      <c r="I743" s="359">
        <f>ROUND(L66,0)</f>
        <v>0</v>
      </c>
      <c r="J743" s="359">
        <f>ROUND(L67,0)</f>
        <v>0</v>
      </c>
      <c r="K743" s="359">
        <f>ROUND(L68,0)</f>
        <v>0</v>
      </c>
      <c r="L743" s="359">
        <f>ROUND(L69,0)</f>
        <v>0</v>
      </c>
      <c r="M743" s="359">
        <f>ROUND(L70,0)</f>
        <v>0</v>
      </c>
      <c r="N743" s="359">
        <f>ROUND(L75,0)</f>
        <v>0</v>
      </c>
      <c r="O743" s="359">
        <f>ROUND(L73,0)</f>
        <v>0</v>
      </c>
      <c r="P743" s="359">
        <f>IF(L76&gt;0,ROUND(L76,0),0)</f>
        <v>0</v>
      </c>
      <c r="Q743" s="359">
        <f>IF(L77&gt;0,ROUND(L77,0),0)</f>
        <v>0</v>
      </c>
      <c r="R743" s="359">
        <f>IF(L78&gt;0,ROUND(L78,0),0)</f>
        <v>0</v>
      </c>
      <c r="S743" s="359">
        <f>IF(L79&gt;0,ROUND(L79,0),0)</f>
        <v>0</v>
      </c>
      <c r="T743" s="364">
        <f>IF(L80&gt;0,ROUND(L80,2),0)</f>
        <v>0</v>
      </c>
      <c r="U743" s="359"/>
      <c r="V743" s="362"/>
      <c r="W743" s="359"/>
      <c r="X743" s="359"/>
      <c r="Y743" s="359">
        <f t="shared" si="22"/>
        <v>0</v>
      </c>
      <c r="Z743" s="362"/>
      <c r="AA743" s="362"/>
      <c r="AB743" s="362"/>
      <c r="AC743" s="362"/>
      <c r="AD743" s="362"/>
      <c r="AE743" s="362"/>
      <c r="AF743" s="362"/>
      <c r="AG743" s="362"/>
      <c r="AH743" s="362"/>
      <c r="AI743" s="362"/>
      <c r="AJ743" s="362"/>
      <c r="AK743" s="362"/>
      <c r="AL743" s="362"/>
      <c r="AM743" s="362"/>
      <c r="AN743" s="362"/>
      <c r="AO743" s="362"/>
      <c r="AP743" s="362"/>
      <c r="AQ743" s="362"/>
      <c r="AR743" s="362"/>
      <c r="AS743" s="362"/>
      <c r="AT743" s="362"/>
      <c r="AU743" s="362"/>
      <c r="AV743" s="362"/>
      <c r="AW743" s="362"/>
      <c r="AX743" s="362"/>
      <c r="AY743" s="362"/>
      <c r="AZ743" s="362"/>
      <c r="BA743" s="362"/>
      <c r="BB743" s="362"/>
      <c r="BC743" s="362"/>
      <c r="BD743" s="362"/>
      <c r="BE743" s="362"/>
      <c r="BF743" s="362"/>
      <c r="BG743" s="362"/>
      <c r="BH743" s="362"/>
      <c r="BI743" s="362"/>
      <c r="BJ743" s="362"/>
      <c r="BK743" s="362"/>
      <c r="BL743" s="362"/>
      <c r="BM743" s="362"/>
      <c r="BN743" s="362"/>
      <c r="BO743" s="362"/>
      <c r="BP743" s="362"/>
      <c r="BQ743" s="362"/>
      <c r="BR743" s="362"/>
      <c r="BS743" s="362"/>
      <c r="BT743" s="362"/>
      <c r="BU743" s="362"/>
      <c r="BV743" s="362"/>
      <c r="BW743" s="362"/>
      <c r="BX743" s="362"/>
      <c r="BY743" s="362"/>
      <c r="BZ743" s="362"/>
      <c r="CA743" s="362"/>
      <c r="CB743" s="362"/>
      <c r="CC743" s="362"/>
      <c r="CD743" s="362"/>
      <c r="CE743" s="362"/>
    </row>
    <row r="744" spans="1:83" ht="12.65" customHeight="1">
      <c r="A744" s="363" t="e">
        <f>RIGHT($C$83,3)&amp;"*"&amp;RIGHT($C$82,4)&amp;"*"&amp;M$55&amp;"*"&amp;"A"</f>
        <v>#VALUE!</v>
      </c>
      <c r="B744" s="359">
        <f>ROUND(M59,0)</f>
        <v>0</v>
      </c>
      <c r="C744" s="364">
        <f>ROUND(M60,2)</f>
        <v>0</v>
      </c>
      <c r="D744" s="359">
        <f>ROUND(M61,0)</f>
        <v>0</v>
      </c>
      <c r="E744" s="359">
        <f>ROUND(M62,0)</f>
        <v>0</v>
      </c>
      <c r="F744" s="359">
        <f>ROUND(M63,0)</f>
        <v>0</v>
      </c>
      <c r="G744" s="359">
        <f>ROUND(M64,0)</f>
        <v>0</v>
      </c>
      <c r="H744" s="359">
        <f>ROUND(M65,0)</f>
        <v>0</v>
      </c>
      <c r="I744" s="359">
        <f>ROUND(M66,0)</f>
        <v>0</v>
      </c>
      <c r="J744" s="359">
        <f>ROUND(M67,0)</f>
        <v>0</v>
      </c>
      <c r="K744" s="359">
        <f>ROUND(M68,0)</f>
        <v>0</v>
      </c>
      <c r="L744" s="359">
        <f>ROUND(M69,0)</f>
        <v>0</v>
      </c>
      <c r="M744" s="359">
        <f>ROUND(M70,0)</f>
        <v>0</v>
      </c>
      <c r="N744" s="359">
        <f>ROUND(M75,0)</f>
        <v>0</v>
      </c>
      <c r="O744" s="359">
        <f>ROUND(M73,0)</f>
        <v>0</v>
      </c>
      <c r="P744" s="359">
        <f>IF(M76&gt;0,ROUND(M76,0),0)</f>
        <v>0</v>
      </c>
      <c r="Q744" s="359">
        <f>IF(M77&gt;0,ROUND(M77,0),0)</f>
        <v>0</v>
      </c>
      <c r="R744" s="359">
        <f>IF(M78&gt;0,ROUND(M78,0),0)</f>
        <v>0</v>
      </c>
      <c r="S744" s="359">
        <f>IF(M79&gt;0,ROUND(M79,0),0)</f>
        <v>0</v>
      </c>
      <c r="T744" s="364">
        <f>IF(M80&gt;0,ROUND(M80,2),0)</f>
        <v>0</v>
      </c>
      <c r="U744" s="359"/>
      <c r="V744" s="362"/>
      <c r="W744" s="359"/>
      <c r="X744" s="359"/>
      <c r="Y744" s="359">
        <f t="shared" si="22"/>
        <v>0</v>
      </c>
      <c r="Z744" s="362"/>
      <c r="AA744" s="362"/>
      <c r="AB744" s="362"/>
      <c r="AC744" s="362"/>
      <c r="AD744" s="362"/>
      <c r="AE744" s="362"/>
      <c r="AF744" s="362"/>
      <c r="AG744" s="362"/>
      <c r="AH744" s="362"/>
      <c r="AI744" s="362"/>
      <c r="AJ744" s="362"/>
      <c r="AK744" s="362"/>
      <c r="AL744" s="362"/>
      <c r="AM744" s="362"/>
      <c r="AN744" s="362"/>
      <c r="AO744" s="362"/>
      <c r="AP744" s="362"/>
      <c r="AQ744" s="362"/>
      <c r="AR744" s="362"/>
      <c r="AS744" s="362"/>
      <c r="AT744" s="362"/>
      <c r="AU744" s="362"/>
      <c r="AV744" s="362"/>
      <c r="AW744" s="362"/>
      <c r="AX744" s="362"/>
      <c r="AY744" s="362"/>
      <c r="AZ744" s="362"/>
      <c r="BA744" s="362"/>
      <c r="BB744" s="362"/>
      <c r="BC744" s="362"/>
      <c r="BD744" s="362"/>
      <c r="BE744" s="362"/>
      <c r="BF744" s="362"/>
      <c r="BG744" s="362"/>
      <c r="BH744" s="362"/>
      <c r="BI744" s="362"/>
      <c r="BJ744" s="362"/>
      <c r="BK744" s="362"/>
      <c r="BL744" s="362"/>
      <c r="BM744" s="362"/>
      <c r="BN744" s="362"/>
      <c r="BO744" s="362"/>
      <c r="BP744" s="362"/>
      <c r="BQ744" s="362"/>
      <c r="BR744" s="362"/>
      <c r="BS744" s="362"/>
      <c r="BT744" s="362"/>
      <c r="BU744" s="362"/>
      <c r="BV744" s="362"/>
      <c r="BW744" s="362"/>
      <c r="BX744" s="362"/>
      <c r="BY744" s="362"/>
      <c r="BZ744" s="362"/>
      <c r="CA744" s="362"/>
      <c r="CB744" s="362"/>
      <c r="CC744" s="362"/>
      <c r="CD744" s="362"/>
      <c r="CE744" s="362"/>
    </row>
    <row r="745" spans="1:83" ht="12.65" customHeight="1">
      <c r="A745" s="363" t="e">
        <f>RIGHT($C$83,3)&amp;"*"&amp;RIGHT($C$82,4)&amp;"*"&amp;N$55&amp;"*"&amp;"A"</f>
        <v>#VALUE!</v>
      </c>
      <c r="B745" s="359">
        <f>ROUND(N59,0)</f>
        <v>0</v>
      </c>
      <c r="C745" s="364">
        <f>ROUND(N60,2)</f>
        <v>0</v>
      </c>
      <c r="D745" s="359">
        <f>ROUND(N61,0)</f>
        <v>0</v>
      </c>
      <c r="E745" s="359">
        <f>ROUND(N62,0)</f>
        <v>0</v>
      </c>
      <c r="F745" s="359">
        <f>ROUND(N63,0)</f>
        <v>0</v>
      </c>
      <c r="G745" s="359">
        <f>ROUND(N64,0)</f>
        <v>0</v>
      </c>
      <c r="H745" s="359">
        <f>ROUND(N65,0)</f>
        <v>0</v>
      </c>
      <c r="I745" s="359">
        <f>ROUND(N66,0)</f>
        <v>0</v>
      </c>
      <c r="J745" s="359">
        <f>ROUND(N67,0)</f>
        <v>0</v>
      </c>
      <c r="K745" s="359">
        <f>ROUND(N68,0)</f>
        <v>0</v>
      </c>
      <c r="L745" s="359">
        <f>ROUND(N69,0)</f>
        <v>0</v>
      </c>
      <c r="M745" s="359">
        <f>ROUND(N70,0)</f>
        <v>0</v>
      </c>
      <c r="N745" s="359">
        <f>ROUND(N75,0)</f>
        <v>0</v>
      </c>
      <c r="O745" s="359">
        <f>ROUND(N73,0)</f>
        <v>0</v>
      </c>
      <c r="P745" s="359">
        <f>IF(N76&gt;0,ROUND(N76,0),0)</f>
        <v>0</v>
      </c>
      <c r="Q745" s="359">
        <f>IF(N77&gt;0,ROUND(N77,0),0)</f>
        <v>0</v>
      </c>
      <c r="R745" s="359">
        <f>IF(N78&gt;0,ROUND(N78,0),0)</f>
        <v>0</v>
      </c>
      <c r="S745" s="359">
        <f>IF(N79&gt;0,ROUND(N79,0),0)</f>
        <v>0</v>
      </c>
      <c r="T745" s="364">
        <f>IF(N80&gt;0,ROUND(N80,2),0)</f>
        <v>0</v>
      </c>
      <c r="U745" s="359"/>
      <c r="V745" s="362"/>
      <c r="W745" s="359"/>
      <c r="X745" s="359"/>
      <c r="Y745" s="359">
        <f t="shared" si="22"/>
        <v>0</v>
      </c>
      <c r="Z745" s="362"/>
      <c r="AA745" s="362"/>
      <c r="AB745" s="362"/>
      <c r="AC745" s="362"/>
      <c r="AD745" s="362"/>
      <c r="AE745" s="362"/>
      <c r="AF745" s="362"/>
      <c r="AG745" s="362"/>
      <c r="AH745" s="362"/>
      <c r="AI745" s="362"/>
      <c r="AJ745" s="362"/>
      <c r="AK745" s="362"/>
      <c r="AL745" s="362"/>
      <c r="AM745" s="362"/>
      <c r="AN745" s="362"/>
      <c r="AO745" s="362"/>
      <c r="AP745" s="362"/>
      <c r="AQ745" s="362"/>
      <c r="AR745" s="362"/>
      <c r="AS745" s="362"/>
      <c r="AT745" s="362"/>
      <c r="AU745" s="362"/>
      <c r="AV745" s="362"/>
      <c r="AW745" s="362"/>
      <c r="AX745" s="362"/>
      <c r="AY745" s="362"/>
      <c r="AZ745" s="362"/>
      <c r="BA745" s="362"/>
      <c r="BB745" s="362"/>
      <c r="BC745" s="362"/>
      <c r="BD745" s="362"/>
      <c r="BE745" s="362"/>
      <c r="BF745" s="362"/>
      <c r="BG745" s="362"/>
      <c r="BH745" s="362"/>
      <c r="BI745" s="362"/>
      <c r="BJ745" s="362"/>
      <c r="BK745" s="362"/>
      <c r="BL745" s="362"/>
      <c r="BM745" s="362"/>
      <c r="BN745" s="362"/>
      <c r="BO745" s="362"/>
      <c r="BP745" s="362"/>
      <c r="BQ745" s="362"/>
      <c r="BR745" s="362"/>
      <c r="BS745" s="362"/>
      <c r="BT745" s="362"/>
      <c r="BU745" s="362"/>
      <c r="BV745" s="362"/>
      <c r="BW745" s="362"/>
      <c r="BX745" s="362"/>
      <c r="BY745" s="362"/>
      <c r="BZ745" s="362"/>
      <c r="CA745" s="362"/>
      <c r="CB745" s="362"/>
      <c r="CC745" s="362"/>
      <c r="CD745" s="362"/>
      <c r="CE745" s="362"/>
    </row>
    <row r="746" spans="1:83" ht="12.65" customHeight="1">
      <c r="A746" s="363" t="e">
        <f>RIGHT($C$83,3)&amp;"*"&amp;RIGHT($C$82,4)&amp;"*"&amp;O$55&amp;"*"&amp;"A"</f>
        <v>#VALUE!</v>
      </c>
      <c r="B746" s="359">
        <f>ROUND(O59,0)</f>
        <v>7707</v>
      </c>
      <c r="C746" s="364">
        <f>ROUND(O60,2)</f>
        <v>27.65</v>
      </c>
      <c r="D746" s="359">
        <f>ROUND(O61,0)</f>
        <v>732446</v>
      </c>
      <c r="E746" s="359">
        <f>ROUND(O62,0)</f>
        <v>143063</v>
      </c>
      <c r="F746" s="359">
        <f>ROUND(O63,0)</f>
        <v>20884</v>
      </c>
      <c r="G746" s="359">
        <f>ROUND(O64,0)</f>
        <v>41534</v>
      </c>
      <c r="H746" s="359">
        <f>ROUND(O65,0)</f>
        <v>0</v>
      </c>
      <c r="I746" s="359">
        <f>ROUND(O66,0)</f>
        <v>412</v>
      </c>
      <c r="J746" s="359">
        <f>ROUND(O67,0)</f>
        <v>0</v>
      </c>
      <c r="K746" s="359">
        <f>ROUND(O68,0)</f>
        <v>25</v>
      </c>
      <c r="L746" s="359">
        <f>ROUND(O69,0)</f>
        <v>60236</v>
      </c>
      <c r="M746" s="359">
        <f>ROUND(O70,0)</f>
        <v>0</v>
      </c>
      <c r="N746" s="359">
        <f>ROUND(O75,0)</f>
        <v>5307776</v>
      </c>
      <c r="O746" s="359">
        <f>ROUND(O73,0)</f>
        <v>5044465</v>
      </c>
      <c r="P746" s="359">
        <f>IF(O76&gt;0,ROUND(O76,0),0)</f>
        <v>22555</v>
      </c>
      <c r="Q746" s="359">
        <f>IF(O77&gt;0,ROUND(O77,0),0)</f>
        <v>4116</v>
      </c>
      <c r="R746" s="359">
        <f>IF(O78&gt;0,ROUND(O78,0),0)</f>
        <v>1474</v>
      </c>
      <c r="S746" s="359">
        <f>IF(O79&gt;0,ROUND(O79,0),0)</f>
        <v>14424</v>
      </c>
      <c r="T746" s="364">
        <f>IF(O80&gt;0,ROUND(O80,2),0)</f>
        <v>19.5</v>
      </c>
      <c r="U746" s="359"/>
      <c r="V746" s="362"/>
      <c r="W746" s="359"/>
      <c r="X746" s="359"/>
      <c r="Y746" s="359">
        <f t="shared" si="22"/>
        <v>895399</v>
      </c>
      <c r="Z746" s="362"/>
      <c r="AA746" s="362"/>
      <c r="AB746" s="362"/>
      <c r="AC746" s="362"/>
      <c r="AD746" s="362"/>
      <c r="AE746" s="362"/>
      <c r="AF746" s="362"/>
      <c r="AG746" s="362"/>
      <c r="AH746" s="362"/>
      <c r="AI746" s="362"/>
      <c r="AJ746" s="362"/>
      <c r="AK746" s="362"/>
      <c r="AL746" s="362"/>
      <c r="AM746" s="362"/>
      <c r="AN746" s="362"/>
      <c r="AO746" s="362"/>
      <c r="AP746" s="362"/>
      <c r="AQ746" s="362"/>
      <c r="AR746" s="362"/>
      <c r="AS746" s="362"/>
      <c r="AT746" s="362"/>
      <c r="AU746" s="362"/>
      <c r="AV746" s="362"/>
      <c r="AW746" s="362"/>
      <c r="AX746" s="362"/>
      <c r="AY746" s="362"/>
      <c r="AZ746" s="362"/>
      <c r="BA746" s="362"/>
      <c r="BB746" s="362"/>
      <c r="BC746" s="362"/>
      <c r="BD746" s="362"/>
      <c r="BE746" s="362"/>
      <c r="BF746" s="362"/>
      <c r="BG746" s="362"/>
      <c r="BH746" s="362"/>
      <c r="BI746" s="362"/>
      <c r="BJ746" s="362"/>
      <c r="BK746" s="362"/>
      <c r="BL746" s="362"/>
      <c r="BM746" s="362"/>
      <c r="BN746" s="362"/>
      <c r="BO746" s="362"/>
      <c r="BP746" s="362"/>
      <c r="BQ746" s="362"/>
      <c r="BR746" s="362"/>
      <c r="BS746" s="362"/>
      <c r="BT746" s="362"/>
      <c r="BU746" s="362"/>
      <c r="BV746" s="362"/>
      <c r="BW746" s="362"/>
      <c r="BX746" s="362"/>
      <c r="BY746" s="362"/>
      <c r="BZ746" s="362"/>
      <c r="CA746" s="362"/>
      <c r="CB746" s="362"/>
      <c r="CC746" s="362"/>
      <c r="CD746" s="362"/>
      <c r="CE746" s="362"/>
    </row>
    <row r="747" spans="1:83" ht="12.65" customHeight="1">
      <c r="A747" s="363" t="e">
        <f>RIGHT($C$83,3)&amp;"*"&amp;RIGHT($C$82,4)&amp;"*"&amp;P$55&amp;"*"&amp;"A"</f>
        <v>#VALUE!</v>
      </c>
      <c r="B747" s="359">
        <f>ROUND(P59,0)</f>
        <v>80002</v>
      </c>
      <c r="C747" s="364">
        <f>ROUND(P60,2)</f>
        <v>17.760000000000002</v>
      </c>
      <c r="D747" s="359">
        <f>ROUND(P61,0)</f>
        <v>314186</v>
      </c>
      <c r="E747" s="359">
        <f>ROUND(P62,0)</f>
        <v>61215</v>
      </c>
      <c r="F747" s="359">
        <f>ROUND(P63,0)</f>
        <v>90063</v>
      </c>
      <c r="G747" s="359">
        <f>ROUND(P64,0)</f>
        <v>466385</v>
      </c>
      <c r="H747" s="359">
        <f>ROUND(P65,0)</f>
        <v>0</v>
      </c>
      <c r="I747" s="359">
        <f>ROUND(P66,0)</f>
        <v>69829</v>
      </c>
      <c r="J747" s="359">
        <f>ROUND(P67,0)</f>
        <v>0</v>
      </c>
      <c r="K747" s="359">
        <f>ROUND(P68,0)</f>
        <v>79627</v>
      </c>
      <c r="L747" s="359">
        <f>ROUND(P69,0)</f>
        <v>458544</v>
      </c>
      <c r="M747" s="359">
        <f>ROUND(P70,0)</f>
        <v>0</v>
      </c>
      <c r="N747" s="359">
        <f>ROUND(P75,0)</f>
        <v>19073156</v>
      </c>
      <c r="O747" s="359">
        <f>ROUND(P73,0)</f>
        <v>6655965</v>
      </c>
      <c r="P747" s="359">
        <f>IF(P76&gt;0,ROUND(P76,0),0)</f>
        <v>2259</v>
      </c>
      <c r="Q747" s="359">
        <f>IF(P77&gt;0,ROUND(P77,0),0)</f>
        <v>0</v>
      </c>
      <c r="R747" s="359">
        <f>IF(P78&gt;0,ROUND(P78,0),0)</f>
        <v>148</v>
      </c>
      <c r="S747" s="359">
        <f>IF(P79&gt;0,ROUND(P79,0),0)</f>
        <v>20636</v>
      </c>
      <c r="T747" s="364">
        <f>IF(P80&gt;0,ROUND(P80,2),0)</f>
        <v>11.66</v>
      </c>
      <c r="U747" s="359"/>
      <c r="V747" s="362"/>
      <c r="W747" s="359"/>
      <c r="X747" s="359"/>
      <c r="Y747" s="359">
        <f t="shared" si="22"/>
        <v>1122328</v>
      </c>
      <c r="Z747" s="362"/>
      <c r="AA747" s="362"/>
      <c r="AB747" s="362"/>
      <c r="AC747" s="362"/>
      <c r="AD747" s="362"/>
      <c r="AE747" s="362"/>
      <c r="AF747" s="362"/>
      <c r="AG747" s="362"/>
      <c r="AH747" s="362"/>
      <c r="AI747" s="362"/>
      <c r="AJ747" s="362"/>
      <c r="AK747" s="362"/>
      <c r="AL747" s="362"/>
      <c r="AM747" s="362"/>
      <c r="AN747" s="362"/>
      <c r="AO747" s="362"/>
      <c r="AP747" s="362"/>
      <c r="AQ747" s="362"/>
      <c r="AR747" s="362"/>
      <c r="AS747" s="362"/>
      <c r="AT747" s="362"/>
      <c r="AU747" s="362"/>
      <c r="AV747" s="362"/>
      <c r="AW747" s="362"/>
      <c r="AX747" s="362"/>
      <c r="AY747" s="362"/>
      <c r="AZ747" s="362"/>
      <c r="BA747" s="362"/>
      <c r="BB747" s="362"/>
      <c r="BC747" s="362"/>
      <c r="BD747" s="362"/>
      <c r="BE747" s="362"/>
      <c r="BF747" s="362"/>
      <c r="BG747" s="362"/>
      <c r="BH747" s="362"/>
      <c r="BI747" s="362"/>
      <c r="BJ747" s="362"/>
      <c r="BK747" s="362"/>
      <c r="BL747" s="362"/>
      <c r="BM747" s="362"/>
      <c r="BN747" s="362"/>
      <c r="BO747" s="362"/>
      <c r="BP747" s="362"/>
      <c r="BQ747" s="362"/>
      <c r="BR747" s="362"/>
      <c r="BS747" s="362"/>
      <c r="BT747" s="362"/>
      <c r="BU747" s="362"/>
      <c r="BV747" s="362"/>
      <c r="BW747" s="362"/>
      <c r="BX747" s="362"/>
      <c r="BY747" s="362"/>
      <c r="BZ747" s="362"/>
      <c r="CA747" s="362"/>
      <c r="CB747" s="362"/>
      <c r="CC747" s="362"/>
      <c r="CD747" s="362"/>
      <c r="CE747" s="362"/>
    </row>
    <row r="748" spans="1:83" ht="12.65" customHeight="1">
      <c r="A748" s="363" t="e">
        <f>RIGHT($C$83,3)&amp;"*"&amp;RIGHT($C$82,4)&amp;"*"&amp;Q$55&amp;"*"&amp;"A"</f>
        <v>#VALUE!</v>
      </c>
      <c r="B748" s="359">
        <f>ROUND(Q59,0)</f>
        <v>70645</v>
      </c>
      <c r="C748" s="364">
        <f>ROUND(Q60,2)</f>
        <v>6.22</v>
      </c>
      <c r="D748" s="359">
        <f>ROUND(Q61,0)</f>
        <v>232451</v>
      </c>
      <c r="E748" s="359">
        <f>ROUND(Q62,0)</f>
        <v>45657</v>
      </c>
      <c r="F748" s="359">
        <f>ROUND(Q63,0)</f>
        <v>0</v>
      </c>
      <c r="G748" s="359">
        <f>ROUND(Q64,0)</f>
        <v>14868</v>
      </c>
      <c r="H748" s="359">
        <f>ROUND(Q65,0)</f>
        <v>0</v>
      </c>
      <c r="I748" s="359">
        <f>ROUND(Q66,0)</f>
        <v>80</v>
      </c>
      <c r="J748" s="359">
        <f>ROUND(Q67,0)</f>
        <v>0</v>
      </c>
      <c r="K748" s="359">
        <f>ROUND(Q68,0)</f>
        <v>0</v>
      </c>
      <c r="L748" s="359">
        <f>ROUND(Q69,0)</f>
        <v>863</v>
      </c>
      <c r="M748" s="359">
        <f>ROUND(Q70,0)</f>
        <v>0</v>
      </c>
      <c r="N748" s="359">
        <f>ROUND(Q75,0)</f>
        <v>5969811</v>
      </c>
      <c r="O748" s="359">
        <f>ROUND(Q73,0)</f>
        <v>1797350</v>
      </c>
      <c r="P748" s="359">
        <f>IF(Q76&gt;0,ROUND(Q76,0),0)</f>
        <v>2872</v>
      </c>
      <c r="Q748" s="359">
        <f>IF(Q77&gt;0,ROUND(Q77,0),0)</f>
        <v>0</v>
      </c>
      <c r="R748" s="359">
        <f>IF(Q78&gt;0,ROUND(Q78,0),0)</f>
        <v>188</v>
      </c>
      <c r="S748" s="359">
        <f>IF(Q79&gt;0,ROUND(Q79,0),0)</f>
        <v>0</v>
      </c>
      <c r="T748" s="364">
        <f>IF(Q80&gt;0,ROUND(Q80,2),0)</f>
        <v>5.38</v>
      </c>
      <c r="U748" s="359"/>
      <c r="V748" s="362"/>
      <c r="W748" s="359"/>
      <c r="X748" s="359"/>
      <c r="Y748" s="359">
        <f t="shared" si="22"/>
        <v>217856</v>
      </c>
      <c r="Z748" s="362"/>
      <c r="AA748" s="362"/>
      <c r="AB748" s="362"/>
      <c r="AC748" s="362"/>
      <c r="AD748" s="362"/>
      <c r="AE748" s="362"/>
      <c r="AF748" s="362"/>
      <c r="AG748" s="362"/>
      <c r="AH748" s="362"/>
      <c r="AI748" s="362"/>
      <c r="AJ748" s="362"/>
      <c r="AK748" s="362"/>
      <c r="AL748" s="362"/>
      <c r="AM748" s="362"/>
      <c r="AN748" s="362"/>
      <c r="AO748" s="362"/>
      <c r="AP748" s="362"/>
      <c r="AQ748" s="362"/>
      <c r="AR748" s="362"/>
      <c r="AS748" s="362"/>
      <c r="AT748" s="362"/>
      <c r="AU748" s="362"/>
      <c r="AV748" s="362"/>
      <c r="AW748" s="362"/>
      <c r="AX748" s="362"/>
      <c r="AY748" s="362"/>
      <c r="AZ748" s="362"/>
      <c r="BA748" s="362"/>
      <c r="BB748" s="362"/>
      <c r="BC748" s="362"/>
      <c r="BD748" s="362"/>
      <c r="BE748" s="362"/>
      <c r="BF748" s="362"/>
      <c r="BG748" s="362"/>
      <c r="BH748" s="362"/>
      <c r="BI748" s="362"/>
      <c r="BJ748" s="362"/>
      <c r="BK748" s="362"/>
      <c r="BL748" s="362"/>
      <c r="BM748" s="362"/>
      <c r="BN748" s="362"/>
      <c r="BO748" s="362"/>
      <c r="BP748" s="362"/>
      <c r="BQ748" s="362"/>
      <c r="BR748" s="362"/>
      <c r="BS748" s="362"/>
      <c r="BT748" s="362"/>
      <c r="BU748" s="362"/>
      <c r="BV748" s="362"/>
      <c r="BW748" s="362"/>
      <c r="BX748" s="362"/>
      <c r="BY748" s="362"/>
      <c r="BZ748" s="362"/>
      <c r="CA748" s="362"/>
      <c r="CB748" s="362"/>
      <c r="CC748" s="362"/>
      <c r="CD748" s="362"/>
      <c r="CE748" s="362"/>
    </row>
    <row r="749" spans="1:83" ht="12.65" customHeight="1">
      <c r="A749" s="363" t="e">
        <f>RIGHT($C$83,3)&amp;"*"&amp;RIGHT($C$82,4)&amp;"*"&amp;R$55&amp;"*"&amp;"A"</f>
        <v>#VALUE!</v>
      </c>
      <c r="B749" s="359">
        <f>ROUND(R59,0)</f>
        <v>94279</v>
      </c>
      <c r="C749" s="364">
        <f>ROUND(R60,2)</f>
        <v>1.88</v>
      </c>
      <c r="D749" s="359">
        <f>ROUND(R61,0)</f>
        <v>43139</v>
      </c>
      <c r="E749" s="359">
        <f>ROUND(R62,0)</f>
        <v>8318</v>
      </c>
      <c r="F749" s="359">
        <f>ROUND(R63,0)</f>
        <v>286749</v>
      </c>
      <c r="G749" s="359">
        <f>ROUND(R64,0)</f>
        <v>57316</v>
      </c>
      <c r="H749" s="359">
        <f>ROUND(R65,0)</f>
        <v>0</v>
      </c>
      <c r="I749" s="359">
        <f>ROUND(R66,0)</f>
        <v>16</v>
      </c>
      <c r="J749" s="359">
        <f>ROUND(R67,0)</f>
        <v>0</v>
      </c>
      <c r="K749" s="359">
        <f>ROUND(R68,0)</f>
        <v>32123</v>
      </c>
      <c r="L749" s="359">
        <f>ROUND(R69,0)</f>
        <v>2411</v>
      </c>
      <c r="M749" s="359">
        <f>ROUND(R70,0)</f>
        <v>0</v>
      </c>
      <c r="N749" s="359">
        <f>ROUND(R75,0)</f>
        <v>3553194</v>
      </c>
      <c r="O749" s="359">
        <f>ROUND(R73,0)</f>
        <v>1159690</v>
      </c>
      <c r="P749" s="359">
        <f>IF(R76&gt;0,ROUND(R76,0),0)</f>
        <v>343</v>
      </c>
      <c r="Q749" s="359">
        <f>IF(R77&gt;0,ROUND(R77,0),0)</f>
        <v>0</v>
      </c>
      <c r="R749" s="359">
        <f>IF(R78&gt;0,ROUND(R78,0),0)</f>
        <v>22</v>
      </c>
      <c r="S749" s="359">
        <f>IF(R79&gt;0,ROUND(R79,0),0)</f>
        <v>0</v>
      </c>
      <c r="T749" s="364">
        <f>IF(R80&gt;0,ROUND(R80,2),0)</f>
        <v>1.61</v>
      </c>
      <c r="U749" s="359"/>
      <c r="V749" s="362"/>
      <c r="W749" s="359"/>
      <c r="X749" s="359"/>
      <c r="Y749" s="359">
        <f t="shared" si="22"/>
        <v>181104</v>
      </c>
      <c r="Z749" s="362"/>
      <c r="AA749" s="362"/>
      <c r="AB749" s="362"/>
      <c r="AC749" s="362"/>
      <c r="AD749" s="362"/>
      <c r="AE749" s="362"/>
      <c r="AF749" s="362"/>
      <c r="AG749" s="362"/>
      <c r="AH749" s="362"/>
      <c r="AI749" s="362"/>
      <c r="AJ749" s="362"/>
      <c r="AK749" s="362"/>
      <c r="AL749" s="362"/>
      <c r="AM749" s="362"/>
      <c r="AN749" s="362"/>
      <c r="AO749" s="362"/>
      <c r="AP749" s="362"/>
      <c r="AQ749" s="362"/>
      <c r="AR749" s="362"/>
      <c r="AS749" s="362"/>
      <c r="AT749" s="362"/>
      <c r="AU749" s="362"/>
      <c r="AV749" s="362"/>
      <c r="AW749" s="362"/>
      <c r="AX749" s="362"/>
      <c r="AY749" s="362"/>
      <c r="AZ749" s="362"/>
      <c r="BA749" s="362"/>
      <c r="BB749" s="362"/>
      <c r="BC749" s="362"/>
      <c r="BD749" s="362"/>
      <c r="BE749" s="362"/>
      <c r="BF749" s="362"/>
      <c r="BG749" s="362"/>
      <c r="BH749" s="362"/>
      <c r="BI749" s="362"/>
      <c r="BJ749" s="362"/>
      <c r="BK749" s="362"/>
      <c r="BL749" s="362"/>
      <c r="BM749" s="362"/>
      <c r="BN749" s="362"/>
      <c r="BO749" s="362"/>
      <c r="BP749" s="362"/>
      <c r="BQ749" s="362"/>
      <c r="BR749" s="362"/>
      <c r="BS749" s="362"/>
      <c r="BT749" s="362"/>
      <c r="BU749" s="362"/>
      <c r="BV749" s="362"/>
      <c r="BW749" s="362"/>
      <c r="BX749" s="362"/>
      <c r="BY749" s="362"/>
      <c r="BZ749" s="362"/>
      <c r="CA749" s="362"/>
      <c r="CB749" s="362"/>
      <c r="CC749" s="362"/>
      <c r="CD749" s="362"/>
      <c r="CE749" s="362"/>
    </row>
    <row r="750" spans="1:83" ht="12.65" customHeight="1">
      <c r="A750" s="363" t="e">
        <f>RIGHT($C$83,3)&amp;"*"&amp;RIGHT($C$82,4)&amp;"*"&amp;S$55&amp;"*"&amp;"A"</f>
        <v>#VALUE!</v>
      </c>
      <c r="B750" s="359"/>
      <c r="C750" s="364">
        <f>ROUND(S60,2)</f>
        <v>10.16</v>
      </c>
      <c r="D750" s="359">
        <f>ROUND(S61,0)</f>
        <v>135411</v>
      </c>
      <c r="E750" s="359">
        <f>ROUND(S62,0)</f>
        <v>26435</v>
      </c>
      <c r="F750" s="359">
        <f>ROUND(S63,0)</f>
        <v>0</v>
      </c>
      <c r="G750" s="359">
        <f>ROUND(S64,0)</f>
        <v>100655</v>
      </c>
      <c r="H750" s="359">
        <f>ROUND(S65,0)</f>
        <v>0</v>
      </c>
      <c r="I750" s="359">
        <f>ROUND(S66,0)</f>
        <v>377442</v>
      </c>
      <c r="J750" s="359">
        <f>ROUND(S67,0)</f>
        <v>0</v>
      </c>
      <c r="K750" s="359">
        <f>ROUND(S68,0)</f>
        <v>2505</v>
      </c>
      <c r="L750" s="359">
        <f>ROUND(S69,0)</f>
        <v>149587</v>
      </c>
      <c r="M750" s="359">
        <f>ROUND(S70,0)</f>
        <v>0</v>
      </c>
      <c r="N750" s="359">
        <f>ROUND(S75,0)</f>
        <v>0</v>
      </c>
      <c r="O750" s="359">
        <f>ROUND(S73,0)</f>
        <v>0</v>
      </c>
      <c r="P750" s="359">
        <f>IF(S76&gt;0,ROUND(S76,0),0)</f>
        <v>2887</v>
      </c>
      <c r="Q750" s="359">
        <f>IF(S77&gt;0,ROUND(S77,0),0)</f>
        <v>0</v>
      </c>
      <c r="R750" s="359">
        <f>IF(S78&gt;0,ROUND(S78,0),0)</f>
        <v>189</v>
      </c>
      <c r="S750" s="359">
        <f>IF(S79&gt;0,ROUND(S79,0),0)</f>
        <v>0</v>
      </c>
      <c r="T750" s="364">
        <f>IF(S80&gt;0,ROUND(S80,2),0)</f>
        <v>7.88</v>
      </c>
      <c r="U750" s="359"/>
      <c r="V750" s="362"/>
      <c r="W750" s="359"/>
      <c r="X750" s="359"/>
      <c r="Y750" s="359">
        <f t="shared" si="22"/>
        <v>254210</v>
      </c>
      <c r="Z750" s="362"/>
      <c r="AA750" s="362"/>
      <c r="AB750" s="362"/>
      <c r="AC750" s="362"/>
      <c r="AD750" s="362"/>
      <c r="AE750" s="362"/>
      <c r="AF750" s="362"/>
      <c r="AG750" s="362"/>
      <c r="AH750" s="362"/>
      <c r="AI750" s="362"/>
      <c r="AJ750" s="362"/>
      <c r="AK750" s="362"/>
      <c r="AL750" s="362"/>
      <c r="AM750" s="362"/>
      <c r="AN750" s="362"/>
      <c r="AO750" s="362"/>
      <c r="AP750" s="362"/>
      <c r="AQ750" s="362"/>
      <c r="AR750" s="362"/>
      <c r="AS750" s="362"/>
      <c r="AT750" s="362"/>
      <c r="AU750" s="362"/>
      <c r="AV750" s="362"/>
      <c r="AW750" s="362"/>
      <c r="AX750" s="362"/>
      <c r="AY750" s="362"/>
      <c r="AZ750" s="362"/>
      <c r="BA750" s="362"/>
      <c r="BB750" s="362"/>
      <c r="BC750" s="362"/>
      <c r="BD750" s="362"/>
      <c r="BE750" s="362"/>
      <c r="BF750" s="362"/>
      <c r="BG750" s="362"/>
      <c r="BH750" s="362"/>
      <c r="BI750" s="362"/>
      <c r="BJ750" s="362"/>
      <c r="BK750" s="362"/>
      <c r="BL750" s="362"/>
      <c r="BM750" s="362"/>
      <c r="BN750" s="362"/>
      <c r="BO750" s="362"/>
      <c r="BP750" s="362"/>
      <c r="BQ750" s="362"/>
      <c r="BR750" s="362"/>
      <c r="BS750" s="362"/>
      <c r="BT750" s="362"/>
      <c r="BU750" s="362"/>
      <c r="BV750" s="362"/>
      <c r="BW750" s="362"/>
      <c r="BX750" s="362"/>
      <c r="BY750" s="362"/>
      <c r="BZ750" s="362"/>
      <c r="CA750" s="362"/>
      <c r="CB750" s="362"/>
      <c r="CC750" s="362"/>
      <c r="CD750" s="362"/>
      <c r="CE750" s="362"/>
    </row>
    <row r="751" spans="1:83" ht="12.65" customHeight="1">
      <c r="A751" s="363" t="e">
        <f>RIGHT($C$83,3)&amp;"*"&amp;RIGHT($C$82,4)&amp;"*"&amp;T$55&amp;"*"&amp;"A"</f>
        <v>#VALUE!</v>
      </c>
      <c r="B751" s="359"/>
      <c r="C751" s="364">
        <f>ROUND(T60,2)</f>
        <v>0</v>
      </c>
      <c r="D751" s="359">
        <f>ROUND(T61,0)</f>
        <v>0</v>
      </c>
      <c r="E751" s="359">
        <f>ROUND(T62,0)</f>
        <v>0</v>
      </c>
      <c r="F751" s="359">
        <f>ROUND(T63,0)</f>
        <v>0</v>
      </c>
      <c r="G751" s="359">
        <f>ROUND(T64,0)</f>
        <v>0</v>
      </c>
      <c r="H751" s="359">
        <f>ROUND(T65,0)</f>
        <v>0</v>
      </c>
      <c r="I751" s="359">
        <f>ROUND(T66,0)</f>
        <v>0</v>
      </c>
      <c r="J751" s="359">
        <f>ROUND(T67,0)</f>
        <v>0</v>
      </c>
      <c r="K751" s="359">
        <f>ROUND(T68,0)</f>
        <v>0</v>
      </c>
      <c r="L751" s="359">
        <f>ROUND(T69,0)</f>
        <v>0</v>
      </c>
      <c r="M751" s="359">
        <f>ROUND(T70,0)</f>
        <v>0</v>
      </c>
      <c r="N751" s="359">
        <f>ROUND(T75,0)</f>
        <v>0</v>
      </c>
      <c r="O751" s="359">
        <f>ROUND(T73,0)</f>
        <v>0</v>
      </c>
      <c r="P751" s="359">
        <f>IF(T76&gt;0,ROUND(T76,0),0)</f>
        <v>0</v>
      </c>
      <c r="Q751" s="359">
        <f>IF(T77&gt;0,ROUND(T77,0),0)</f>
        <v>0</v>
      </c>
      <c r="R751" s="359">
        <f>IF(T78&gt;0,ROUND(T78,0),0)</f>
        <v>0</v>
      </c>
      <c r="S751" s="359">
        <f>IF(T79&gt;0,ROUND(T79,0),0)</f>
        <v>0</v>
      </c>
      <c r="T751" s="364">
        <f>IF(T80&gt;0,ROUND(T80,2),0)</f>
        <v>0</v>
      </c>
      <c r="U751" s="359"/>
      <c r="V751" s="362"/>
      <c r="W751" s="359"/>
      <c r="X751" s="359"/>
      <c r="Y751" s="359">
        <f t="shared" si="22"/>
        <v>0</v>
      </c>
      <c r="Z751" s="362"/>
      <c r="AA751" s="362"/>
      <c r="AB751" s="362"/>
      <c r="AC751" s="362"/>
      <c r="AD751" s="362"/>
      <c r="AE751" s="362"/>
      <c r="AF751" s="362"/>
      <c r="AG751" s="362"/>
      <c r="AH751" s="362"/>
      <c r="AI751" s="362"/>
      <c r="AJ751" s="362"/>
      <c r="AK751" s="362"/>
      <c r="AL751" s="362"/>
      <c r="AM751" s="362"/>
      <c r="AN751" s="362"/>
      <c r="AO751" s="362"/>
      <c r="AP751" s="362"/>
      <c r="AQ751" s="362"/>
      <c r="AR751" s="362"/>
      <c r="AS751" s="362"/>
      <c r="AT751" s="362"/>
      <c r="AU751" s="362"/>
      <c r="AV751" s="362"/>
      <c r="AW751" s="362"/>
      <c r="AX751" s="362"/>
      <c r="AY751" s="362"/>
      <c r="AZ751" s="362"/>
      <c r="BA751" s="362"/>
      <c r="BB751" s="362"/>
      <c r="BC751" s="362"/>
      <c r="BD751" s="362"/>
      <c r="BE751" s="362"/>
      <c r="BF751" s="362"/>
      <c r="BG751" s="362"/>
      <c r="BH751" s="362"/>
      <c r="BI751" s="362"/>
      <c r="BJ751" s="362"/>
      <c r="BK751" s="362"/>
      <c r="BL751" s="362"/>
      <c r="BM751" s="362"/>
      <c r="BN751" s="362"/>
      <c r="BO751" s="362"/>
      <c r="BP751" s="362"/>
      <c r="BQ751" s="362"/>
      <c r="BR751" s="362"/>
      <c r="BS751" s="362"/>
      <c r="BT751" s="362"/>
      <c r="BU751" s="362"/>
      <c r="BV751" s="362"/>
      <c r="BW751" s="362"/>
      <c r="BX751" s="362"/>
      <c r="BY751" s="362"/>
      <c r="BZ751" s="362"/>
      <c r="CA751" s="362"/>
      <c r="CB751" s="362"/>
      <c r="CC751" s="362"/>
      <c r="CD751" s="362"/>
      <c r="CE751" s="362"/>
    </row>
    <row r="752" spans="1:83" ht="12.65" customHeight="1">
      <c r="A752" s="363" t="e">
        <f>RIGHT($C$83,3)&amp;"*"&amp;RIGHT($C$82,4)&amp;"*"&amp;U$55&amp;"*"&amp;"A"</f>
        <v>#VALUE!</v>
      </c>
      <c r="B752" s="359">
        <f>ROUND(U59,0)</f>
        <v>54906</v>
      </c>
      <c r="C752" s="364">
        <f>ROUND(U60,2)</f>
        <v>18.62</v>
      </c>
      <c r="D752" s="359">
        <f>ROUND(U61,0)</f>
        <v>362025</v>
      </c>
      <c r="E752" s="359">
        <f>ROUND(U62,0)</f>
        <v>72325</v>
      </c>
      <c r="F752" s="359">
        <f>ROUND(U63,0)</f>
        <v>7452</v>
      </c>
      <c r="G752" s="359">
        <f>ROUND(U64,0)</f>
        <v>203038</v>
      </c>
      <c r="H752" s="359">
        <f>ROUND(U65,0)</f>
        <v>0</v>
      </c>
      <c r="I752" s="359">
        <f>ROUND(U66,0)</f>
        <v>105342</v>
      </c>
      <c r="J752" s="359">
        <f>ROUND(U67,0)</f>
        <v>0</v>
      </c>
      <c r="K752" s="359">
        <f>ROUND(U68,0)</f>
        <v>55770</v>
      </c>
      <c r="L752" s="359">
        <f>ROUND(U69,0)</f>
        <v>37703</v>
      </c>
      <c r="M752" s="359">
        <f>ROUND(U70,0)</f>
        <v>0</v>
      </c>
      <c r="N752" s="359">
        <f>ROUND(U75,0)</f>
        <v>11349233</v>
      </c>
      <c r="O752" s="359">
        <f>ROUND(U73,0)</f>
        <v>5557114</v>
      </c>
      <c r="P752" s="359">
        <f>IF(U76&gt;0,ROUND(U76,0),0)</f>
        <v>2744</v>
      </c>
      <c r="Q752" s="359">
        <f>IF(U77&gt;0,ROUND(U77,0),0)</f>
        <v>0</v>
      </c>
      <c r="R752" s="359">
        <f>IF(U78&gt;0,ROUND(U78,0),0)</f>
        <v>179</v>
      </c>
      <c r="S752" s="359">
        <f>IF(U79&gt;0,ROUND(U79,0),0)</f>
        <v>650</v>
      </c>
      <c r="T752" s="364">
        <f>IF(U80&gt;0,ROUND(U80,2),0)</f>
        <v>16.97</v>
      </c>
      <c r="U752" s="359"/>
      <c r="V752" s="362"/>
      <c r="W752" s="359"/>
      <c r="X752" s="359"/>
      <c r="Y752" s="359">
        <f t="shared" si="22"/>
        <v>637930</v>
      </c>
      <c r="Z752" s="362"/>
      <c r="AA752" s="362"/>
      <c r="AB752" s="362"/>
      <c r="AC752" s="362"/>
      <c r="AD752" s="362"/>
      <c r="AE752" s="362"/>
      <c r="AF752" s="362"/>
      <c r="AG752" s="362"/>
      <c r="AH752" s="362"/>
      <c r="AI752" s="362"/>
      <c r="AJ752" s="362"/>
      <c r="AK752" s="362"/>
      <c r="AL752" s="362"/>
      <c r="AM752" s="362"/>
      <c r="AN752" s="362"/>
      <c r="AO752" s="362"/>
      <c r="AP752" s="362"/>
      <c r="AQ752" s="362"/>
      <c r="AR752" s="362"/>
      <c r="AS752" s="362"/>
      <c r="AT752" s="362"/>
      <c r="AU752" s="362"/>
      <c r="AV752" s="362"/>
      <c r="AW752" s="362"/>
      <c r="AX752" s="362"/>
      <c r="AY752" s="362"/>
      <c r="AZ752" s="362"/>
      <c r="BA752" s="362"/>
      <c r="BB752" s="362"/>
      <c r="BC752" s="362"/>
      <c r="BD752" s="362"/>
      <c r="BE752" s="362"/>
      <c r="BF752" s="362"/>
      <c r="BG752" s="362"/>
      <c r="BH752" s="362"/>
      <c r="BI752" s="362"/>
      <c r="BJ752" s="362"/>
      <c r="BK752" s="362"/>
      <c r="BL752" s="362"/>
      <c r="BM752" s="362"/>
      <c r="BN752" s="362"/>
      <c r="BO752" s="362"/>
      <c r="BP752" s="362"/>
      <c r="BQ752" s="362"/>
      <c r="BR752" s="362"/>
      <c r="BS752" s="362"/>
      <c r="BT752" s="362"/>
      <c r="BU752" s="362"/>
      <c r="BV752" s="362"/>
      <c r="BW752" s="362"/>
      <c r="BX752" s="362"/>
      <c r="BY752" s="362"/>
      <c r="BZ752" s="362"/>
      <c r="CA752" s="362"/>
      <c r="CB752" s="362"/>
      <c r="CC752" s="362"/>
      <c r="CD752" s="362"/>
      <c r="CE752" s="362"/>
    </row>
    <row r="753" spans="1:83" ht="12.65" customHeight="1">
      <c r="A753" s="363" t="e">
        <f>RIGHT($C$83,3)&amp;"*"&amp;RIGHT($C$82,4)&amp;"*"&amp;V$55&amp;"*"&amp;"A"</f>
        <v>#VALUE!</v>
      </c>
      <c r="B753" s="359">
        <f>ROUND(V59,0)</f>
        <v>0</v>
      </c>
      <c r="C753" s="364">
        <f>ROUND(V60,2)</f>
        <v>0</v>
      </c>
      <c r="D753" s="359">
        <f>ROUND(V61,0)</f>
        <v>0</v>
      </c>
      <c r="E753" s="359">
        <f>ROUND(V62,0)</f>
        <v>0</v>
      </c>
      <c r="F753" s="359">
        <f>ROUND(V63,0)</f>
        <v>0</v>
      </c>
      <c r="G753" s="359">
        <f>ROUND(V64,0)</f>
        <v>0</v>
      </c>
      <c r="H753" s="359">
        <f>ROUND(V65,0)</f>
        <v>0</v>
      </c>
      <c r="I753" s="359">
        <f>ROUND(V66,0)</f>
        <v>0</v>
      </c>
      <c r="J753" s="359">
        <f>ROUND(V67,0)</f>
        <v>0</v>
      </c>
      <c r="K753" s="359">
        <f>ROUND(V68,0)</f>
        <v>0</v>
      </c>
      <c r="L753" s="359">
        <f>ROUND(V69,0)</f>
        <v>0</v>
      </c>
      <c r="M753" s="359">
        <f>ROUND(V70,0)</f>
        <v>0</v>
      </c>
      <c r="N753" s="359">
        <f>ROUND(V75,0)</f>
        <v>0</v>
      </c>
      <c r="O753" s="359">
        <f>ROUND(V73,0)</f>
        <v>0</v>
      </c>
      <c r="P753" s="359">
        <f>IF(V76&gt;0,ROUND(V76,0),0)</f>
        <v>0</v>
      </c>
      <c r="Q753" s="359">
        <f>IF(V77&gt;0,ROUND(V77,0),0)</f>
        <v>0</v>
      </c>
      <c r="R753" s="359">
        <f>IF(V78&gt;0,ROUND(V78,0),0)</f>
        <v>0</v>
      </c>
      <c r="S753" s="359">
        <f>IF(V79&gt;0,ROUND(V79,0),0)</f>
        <v>0</v>
      </c>
      <c r="T753" s="364">
        <f>IF(V80&gt;0,ROUND(V80,2),0)</f>
        <v>0</v>
      </c>
      <c r="U753" s="359"/>
      <c r="V753" s="362"/>
      <c r="W753" s="359"/>
      <c r="X753" s="359"/>
      <c r="Y753" s="359">
        <f t="shared" si="22"/>
        <v>0</v>
      </c>
      <c r="Z753" s="362"/>
      <c r="AA753" s="362"/>
      <c r="AB753" s="362"/>
      <c r="AC753" s="362"/>
      <c r="AD753" s="362"/>
      <c r="AE753" s="362"/>
      <c r="AF753" s="362"/>
      <c r="AG753" s="362"/>
      <c r="AH753" s="362"/>
      <c r="AI753" s="362"/>
      <c r="AJ753" s="362"/>
      <c r="AK753" s="362"/>
      <c r="AL753" s="362"/>
      <c r="AM753" s="362"/>
      <c r="AN753" s="362"/>
      <c r="AO753" s="362"/>
      <c r="AP753" s="362"/>
      <c r="AQ753" s="362"/>
      <c r="AR753" s="362"/>
      <c r="AS753" s="362"/>
      <c r="AT753" s="362"/>
      <c r="AU753" s="362"/>
      <c r="AV753" s="362"/>
      <c r="AW753" s="362"/>
      <c r="AX753" s="362"/>
      <c r="AY753" s="362"/>
      <c r="AZ753" s="362"/>
      <c r="BA753" s="362"/>
      <c r="BB753" s="362"/>
      <c r="BC753" s="362"/>
      <c r="BD753" s="362"/>
      <c r="BE753" s="362"/>
      <c r="BF753" s="362"/>
      <c r="BG753" s="362"/>
      <c r="BH753" s="362"/>
      <c r="BI753" s="362"/>
      <c r="BJ753" s="362"/>
      <c r="BK753" s="362"/>
      <c r="BL753" s="362"/>
      <c r="BM753" s="362"/>
      <c r="BN753" s="362"/>
      <c r="BO753" s="362"/>
      <c r="BP753" s="362"/>
      <c r="BQ753" s="362"/>
      <c r="BR753" s="362"/>
      <c r="BS753" s="362"/>
      <c r="BT753" s="362"/>
      <c r="BU753" s="362"/>
      <c r="BV753" s="362"/>
      <c r="BW753" s="362"/>
      <c r="BX753" s="362"/>
      <c r="BY753" s="362"/>
      <c r="BZ753" s="362"/>
      <c r="CA753" s="362"/>
      <c r="CB753" s="362"/>
      <c r="CC753" s="362"/>
      <c r="CD753" s="362"/>
      <c r="CE753" s="362"/>
    </row>
    <row r="754" spans="1:83" ht="12.65" customHeight="1">
      <c r="A754" s="363" t="e">
        <f>RIGHT($C$83,3)&amp;"*"&amp;RIGHT($C$82,4)&amp;"*"&amp;W$55&amp;"*"&amp;"A"</f>
        <v>#VALUE!</v>
      </c>
      <c r="B754" s="359">
        <f>ROUND(W59,0)</f>
        <v>133</v>
      </c>
      <c r="C754" s="364">
        <f>ROUND(W60,2)</f>
        <v>1.37</v>
      </c>
      <c r="D754" s="359">
        <f>ROUND(W61,0)</f>
        <v>41587</v>
      </c>
      <c r="E754" s="359">
        <f>ROUND(W62,0)</f>
        <v>8033</v>
      </c>
      <c r="F754" s="359">
        <f>ROUND(W63,0)</f>
        <v>0</v>
      </c>
      <c r="G754" s="359">
        <f>ROUND(W64,0)</f>
        <v>-1962</v>
      </c>
      <c r="H754" s="359">
        <f>ROUND(W65,0)</f>
        <v>0</v>
      </c>
      <c r="I754" s="359">
        <f>ROUND(W66,0)</f>
        <v>0</v>
      </c>
      <c r="J754" s="359">
        <f>ROUND(W67,0)</f>
        <v>0</v>
      </c>
      <c r="K754" s="359">
        <f>ROUND(W68,0)</f>
        <v>0</v>
      </c>
      <c r="L754" s="359">
        <f>ROUND(W69,0)</f>
        <v>22334</v>
      </c>
      <c r="M754" s="359">
        <f>ROUND(W70,0)</f>
        <v>0</v>
      </c>
      <c r="N754" s="359">
        <f>ROUND(W75,0)</f>
        <v>947182</v>
      </c>
      <c r="O754" s="359">
        <f>ROUND(W73,0)</f>
        <v>324702</v>
      </c>
      <c r="P754" s="359">
        <f>IF(W76&gt;0,ROUND(W76,0),0)</f>
        <v>882</v>
      </c>
      <c r="Q754" s="359">
        <f>IF(W77&gt;0,ROUND(W77,0),0)</f>
        <v>0</v>
      </c>
      <c r="R754" s="359">
        <f>IF(W78&gt;0,ROUND(W78,0),0)</f>
        <v>58</v>
      </c>
      <c r="S754" s="359">
        <f>IF(W79&gt;0,ROUND(W79,0),0)</f>
        <v>1064</v>
      </c>
      <c r="T754" s="364">
        <f>IF(W80&gt;0,ROUND(W80,2),0)</f>
        <v>1.17</v>
      </c>
      <c r="U754" s="359"/>
      <c r="V754" s="362"/>
      <c r="W754" s="359"/>
      <c r="X754" s="359"/>
      <c r="Y754" s="359">
        <f t="shared" si="22"/>
        <v>37901</v>
      </c>
      <c r="Z754" s="362"/>
      <c r="AA754" s="362"/>
      <c r="AB754" s="362"/>
      <c r="AC754" s="362"/>
      <c r="AD754" s="362"/>
      <c r="AE754" s="362"/>
      <c r="AF754" s="362"/>
      <c r="AG754" s="362"/>
      <c r="AH754" s="362"/>
      <c r="AI754" s="362"/>
      <c r="AJ754" s="362"/>
      <c r="AK754" s="362"/>
      <c r="AL754" s="362"/>
      <c r="AM754" s="362"/>
      <c r="AN754" s="362"/>
      <c r="AO754" s="362"/>
      <c r="AP754" s="362"/>
      <c r="AQ754" s="362"/>
      <c r="AR754" s="362"/>
      <c r="AS754" s="362"/>
      <c r="AT754" s="362"/>
      <c r="AU754" s="362"/>
      <c r="AV754" s="362"/>
      <c r="AW754" s="362"/>
      <c r="AX754" s="362"/>
      <c r="AY754" s="362"/>
      <c r="AZ754" s="362"/>
      <c r="BA754" s="362"/>
      <c r="BB754" s="362"/>
      <c r="BC754" s="362"/>
      <c r="BD754" s="362"/>
      <c r="BE754" s="362"/>
      <c r="BF754" s="362"/>
      <c r="BG754" s="362"/>
      <c r="BH754" s="362"/>
      <c r="BI754" s="362"/>
      <c r="BJ754" s="362"/>
      <c r="BK754" s="362"/>
      <c r="BL754" s="362"/>
      <c r="BM754" s="362"/>
      <c r="BN754" s="362"/>
      <c r="BO754" s="362"/>
      <c r="BP754" s="362"/>
      <c r="BQ754" s="362"/>
      <c r="BR754" s="362"/>
      <c r="BS754" s="362"/>
      <c r="BT754" s="362"/>
      <c r="BU754" s="362"/>
      <c r="BV754" s="362"/>
      <c r="BW754" s="362"/>
      <c r="BX754" s="362"/>
      <c r="BY754" s="362"/>
      <c r="BZ754" s="362"/>
      <c r="CA754" s="362"/>
      <c r="CB754" s="362"/>
      <c r="CC754" s="362"/>
      <c r="CD754" s="362"/>
      <c r="CE754" s="362"/>
    </row>
    <row r="755" spans="1:83" ht="12.65" customHeight="1">
      <c r="A755" s="363" t="e">
        <f>RIGHT($C$83,3)&amp;"*"&amp;RIGHT($C$82,4)&amp;"*"&amp;X$55&amp;"*"&amp;"A"</f>
        <v>#VALUE!</v>
      </c>
      <c r="B755" s="359">
        <f>ROUND(X59,0)</f>
        <v>4138</v>
      </c>
      <c r="C755" s="364">
        <f>ROUND(X60,2)</f>
        <v>5.31</v>
      </c>
      <c r="D755" s="359">
        <f>ROUND(X61,0)</f>
        <v>122334</v>
      </c>
      <c r="E755" s="359">
        <f>ROUND(X62,0)</f>
        <v>23832</v>
      </c>
      <c r="F755" s="359">
        <f>ROUND(X63,0)</f>
        <v>0</v>
      </c>
      <c r="G755" s="359">
        <f>ROUND(X64,0)</f>
        <v>15941</v>
      </c>
      <c r="H755" s="359">
        <f>ROUND(X65,0)</f>
        <v>1087</v>
      </c>
      <c r="I755" s="359">
        <f>ROUND(X66,0)</f>
        <v>117776</v>
      </c>
      <c r="J755" s="359">
        <f>ROUND(X67,0)</f>
        <v>0</v>
      </c>
      <c r="K755" s="359">
        <f>ROUND(X68,0)</f>
        <v>153842</v>
      </c>
      <c r="L755" s="359">
        <f>ROUND(X69,0)</f>
        <v>69170</v>
      </c>
      <c r="M755" s="359">
        <f>ROUND(X70,0)</f>
        <v>0</v>
      </c>
      <c r="N755" s="359">
        <f>ROUND(X75,0)</f>
        <v>19380285</v>
      </c>
      <c r="O755" s="359">
        <f>ROUND(X73,0)</f>
        <v>2829976</v>
      </c>
      <c r="P755" s="359">
        <f>IF(X76&gt;0,ROUND(X76,0),0)</f>
        <v>5984</v>
      </c>
      <c r="Q755" s="359">
        <f>IF(X77&gt;0,ROUND(X77,0),0)</f>
        <v>0</v>
      </c>
      <c r="R755" s="359">
        <f>IF(X78&gt;0,ROUND(X78,0),0)</f>
        <v>391</v>
      </c>
      <c r="S755" s="359">
        <f>IF(X79&gt;0,ROUND(X79,0),0)</f>
        <v>1599</v>
      </c>
      <c r="T755" s="364">
        <f>IF(X80&gt;0,ROUND(X80,2),0)</f>
        <v>5.26</v>
      </c>
      <c r="U755" s="359"/>
      <c r="V755" s="362"/>
      <c r="W755" s="359"/>
      <c r="X755" s="359"/>
      <c r="Y755" s="359">
        <f t="shared" si="22"/>
        <v>527946</v>
      </c>
      <c r="Z755" s="362"/>
      <c r="AA755" s="362"/>
      <c r="AB755" s="362"/>
      <c r="AC755" s="362"/>
      <c r="AD755" s="362"/>
      <c r="AE755" s="362"/>
      <c r="AF755" s="362"/>
      <c r="AG755" s="362"/>
      <c r="AH755" s="362"/>
      <c r="AI755" s="362"/>
      <c r="AJ755" s="362"/>
      <c r="AK755" s="362"/>
      <c r="AL755" s="362"/>
      <c r="AM755" s="362"/>
      <c r="AN755" s="362"/>
      <c r="AO755" s="362"/>
      <c r="AP755" s="362"/>
      <c r="AQ755" s="362"/>
      <c r="AR755" s="362"/>
      <c r="AS755" s="362"/>
      <c r="AT755" s="362"/>
      <c r="AU755" s="362"/>
      <c r="AV755" s="362"/>
      <c r="AW755" s="362"/>
      <c r="AX755" s="362"/>
      <c r="AY755" s="362"/>
      <c r="AZ755" s="362"/>
      <c r="BA755" s="362"/>
      <c r="BB755" s="362"/>
      <c r="BC755" s="362"/>
      <c r="BD755" s="362"/>
      <c r="BE755" s="362"/>
      <c r="BF755" s="362"/>
      <c r="BG755" s="362"/>
      <c r="BH755" s="362"/>
      <c r="BI755" s="362"/>
      <c r="BJ755" s="362"/>
      <c r="BK755" s="362"/>
      <c r="BL755" s="362"/>
      <c r="BM755" s="362"/>
      <c r="BN755" s="362"/>
      <c r="BO755" s="362"/>
      <c r="BP755" s="362"/>
      <c r="BQ755" s="362"/>
      <c r="BR755" s="362"/>
      <c r="BS755" s="362"/>
      <c r="BT755" s="362"/>
      <c r="BU755" s="362"/>
      <c r="BV755" s="362"/>
      <c r="BW755" s="362"/>
      <c r="BX755" s="362"/>
      <c r="BY755" s="362"/>
      <c r="BZ755" s="362"/>
      <c r="CA755" s="362"/>
      <c r="CB755" s="362"/>
      <c r="CC755" s="362"/>
      <c r="CD755" s="362"/>
      <c r="CE755" s="362"/>
    </row>
    <row r="756" spans="1:83" ht="12.65" customHeight="1">
      <c r="A756" s="363" t="e">
        <f>RIGHT($C$83,3)&amp;"*"&amp;RIGHT($C$82,4)&amp;"*"&amp;Y$55&amp;"*"&amp;"A"</f>
        <v>#VALUE!</v>
      </c>
      <c r="B756" s="359">
        <f>ROUND(Y59,0)</f>
        <v>6391</v>
      </c>
      <c r="C756" s="364">
        <f>ROUND(Y60,2)</f>
        <v>31.11</v>
      </c>
      <c r="D756" s="359">
        <f>ROUND(Y61,0)</f>
        <v>729721</v>
      </c>
      <c r="E756" s="359">
        <f>ROUND(Y62,0)</f>
        <v>142348</v>
      </c>
      <c r="F756" s="359">
        <f>ROUND(Y63,0)</f>
        <v>59266</v>
      </c>
      <c r="G756" s="359">
        <f>ROUND(Y64,0)</f>
        <v>-11627</v>
      </c>
      <c r="H756" s="359">
        <f>ROUND(Y65,0)</f>
        <v>0</v>
      </c>
      <c r="I756" s="359">
        <f>ROUND(Y66,0)</f>
        <v>113589</v>
      </c>
      <c r="J756" s="359">
        <f>ROUND(Y67,0)</f>
        <v>0</v>
      </c>
      <c r="K756" s="359">
        <f>ROUND(Y68,0)</f>
        <v>694</v>
      </c>
      <c r="L756" s="359">
        <f>ROUND(Y69,0)</f>
        <v>530124</v>
      </c>
      <c r="M756" s="359">
        <f>ROUND(Y70,0)</f>
        <v>0</v>
      </c>
      <c r="N756" s="359">
        <f>ROUND(Y75,0)</f>
        <v>12743547</v>
      </c>
      <c r="O756" s="359">
        <f>ROUND(Y73,0)</f>
        <v>4076745</v>
      </c>
      <c r="P756" s="359">
        <f>IF(Y76&gt;0,ROUND(Y76,0),0)</f>
        <v>14061</v>
      </c>
      <c r="Q756" s="359">
        <f>IF(Y77&gt;0,ROUND(Y77,0),0)</f>
        <v>0</v>
      </c>
      <c r="R756" s="359">
        <f>IF(Y78&gt;0,ROUND(Y78,0),0)</f>
        <v>919</v>
      </c>
      <c r="S756" s="359">
        <f>IF(Y79&gt;0,ROUND(Y79,0),0)</f>
        <v>9370</v>
      </c>
      <c r="T756" s="364">
        <f>IF(Y80&gt;0,ROUND(Y80,2),0)</f>
        <v>21.88</v>
      </c>
      <c r="U756" s="359"/>
      <c r="V756" s="362"/>
      <c r="W756" s="359"/>
      <c r="X756" s="359"/>
      <c r="Y756" s="359">
        <f t="shared" si="22"/>
        <v>655469</v>
      </c>
      <c r="Z756" s="362"/>
      <c r="AA756" s="362"/>
      <c r="AB756" s="362"/>
      <c r="AC756" s="362"/>
      <c r="AD756" s="362"/>
      <c r="AE756" s="362"/>
      <c r="AF756" s="362"/>
      <c r="AG756" s="362"/>
      <c r="AH756" s="362"/>
      <c r="AI756" s="362"/>
      <c r="AJ756" s="362"/>
      <c r="AK756" s="362"/>
      <c r="AL756" s="362"/>
      <c r="AM756" s="362"/>
      <c r="AN756" s="362"/>
      <c r="AO756" s="362"/>
      <c r="AP756" s="362"/>
      <c r="AQ756" s="362"/>
      <c r="AR756" s="362"/>
      <c r="AS756" s="362"/>
      <c r="AT756" s="362"/>
      <c r="AU756" s="362"/>
      <c r="AV756" s="362"/>
      <c r="AW756" s="362"/>
      <c r="AX756" s="362"/>
      <c r="AY756" s="362"/>
      <c r="AZ756" s="362"/>
      <c r="BA756" s="362"/>
      <c r="BB756" s="362"/>
      <c r="BC756" s="362"/>
      <c r="BD756" s="362"/>
      <c r="BE756" s="362"/>
      <c r="BF756" s="362"/>
      <c r="BG756" s="362"/>
      <c r="BH756" s="362"/>
      <c r="BI756" s="362"/>
      <c r="BJ756" s="362"/>
      <c r="BK756" s="362"/>
      <c r="BL756" s="362"/>
      <c r="BM756" s="362"/>
      <c r="BN756" s="362"/>
      <c r="BO756" s="362"/>
      <c r="BP756" s="362"/>
      <c r="BQ756" s="362"/>
      <c r="BR756" s="362"/>
      <c r="BS756" s="362"/>
      <c r="BT756" s="362"/>
      <c r="BU756" s="362"/>
      <c r="BV756" s="362"/>
      <c r="BW756" s="362"/>
      <c r="BX756" s="362"/>
      <c r="BY756" s="362"/>
      <c r="BZ756" s="362"/>
      <c r="CA756" s="362"/>
      <c r="CB756" s="362"/>
      <c r="CC756" s="362"/>
      <c r="CD756" s="362"/>
      <c r="CE756" s="362"/>
    </row>
    <row r="757" spans="1:83" ht="12.65" customHeight="1">
      <c r="A757" s="363" t="e">
        <f>RIGHT($C$83,3)&amp;"*"&amp;RIGHT($C$82,4)&amp;"*"&amp;Z$55&amp;"*"&amp;"A"</f>
        <v>#VALUE!</v>
      </c>
      <c r="B757" s="359">
        <f>ROUND(Z59,0)</f>
        <v>3703</v>
      </c>
      <c r="C757" s="364">
        <f>ROUND(Z60,2)</f>
        <v>6.13</v>
      </c>
      <c r="D757" s="359">
        <f>ROUND(Z61,0)</f>
        <v>145493</v>
      </c>
      <c r="E757" s="359">
        <f>ROUND(Z62,0)</f>
        <v>28230</v>
      </c>
      <c r="F757" s="359">
        <f>ROUND(Z63,0)</f>
        <v>0</v>
      </c>
      <c r="G757" s="359">
        <f>ROUND(Z64,0)</f>
        <v>1024</v>
      </c>
      <c r="H757" s="359">
        <f>ROUND(Z65,0)</f>
        <v>0</v>
      </c>
      <c r="I757" s="359">
        <f>ROUND(Z66,0)</f>
        <v>124728</v>
      </c>
      <c r="J757" s="359">
        <f>ROUND(Z67,0)</f>
        <v>0</v>
      </c>
      <c r="K757" s="359">
        <f>ROUND(Z68,0)</f>
        <v>232</v>
      </c>
      <c r="L757" s="359">
        <f>ROUND(Z69,0)</f>
        <v>69841</v>
      </c>
      <c r="M757" s="359">
        <f>ROUND(Z70,0)</f>
        <v>0</v>
      </c>
      <c r="N757" s="359">
        <f>ROUND(Z75,0)</f>
        <v>9928200</v>
      </c>
      <c r="O757" s="359">
        <f>ROUND(Z73,0)</f>
        <v>29791</v>
      </c>
      <c r="P757" s="359">
        <f>IF(Z76&gt;0,ROUND(Z76,0),0)</f>
        <v>5034</v>
      </c>
      <c r="Q757" s="359">
        <f>IF(Z77&gt;0,ROUND(Z77,0),0)</f>
        <v>0</v>
      </c>
      <c r="R757" s="359">
        <f>IF(Z78&gt;0,ROUND(Z78,0),0)</f>
        <v>329</v>
      </c>
      <c r="S757" s="359">
        <f>IF(Z79&gt;0,ROUND(Z79,0),0)</f>
        <v>0</v>
      </c>
      <c r="T757" s="364">
        <f>IF(Z80&gt;0,ROUND(Z80,2),0)</f>
        <v>5.54</v>
      </c>
      <c r="U757" s="359"/>
      <c r="V757" s="362"/>
      <c r="W757" s="359"/>
      <c r="X757" s="359"/>
      <c r="Y757" s="359">
        <f t="shared" si="22"/>
        <v>308328</v>
      </c>
      <c r="Z757" s="362"/>
      <c r="AA757" s="362"/>
      <c r="AB757" s="362"/>
      <c r="AC757" s="362"/>
      <c r="AD757" s="362"/>
      <c r="AE757" s="362"/>
      <c r="AF757" s="362"/>
      <c r="AG757" s="362"/>
      <c r="AH757" s="362"/>
      <c r="AI757" s="362"/>
      <c r="AJ757" s="362"/>
      <c r="AK757" s="362"/>
      <c r="AL757" s="362"/>
      <c r="AM757" s="362"/>
      <c r="AN757" s="362"/>
      <c r="AO757" s="362"/>
      <c r="AP757" s="362"/>
      <c r="AQ757" s="362"/>
      <c r="AR757" s="362"/>
      <c r="AS757" s="362"/>
      <c r="AT757" s="362"/>
      <c r="AU757" s="362"/>
      <c r="AV757" s="362"/>
      <c r="AW757" s="362"/>
      <c r="AX757" s="362"/>
      <c r="AY757" s="362"/>
      <c r="AZ757" s="362"/>
      <c r="BA757" s="362"/>
      <c r="BB757" s="362"/>
      <c r="BC757" s="362"/>
      <c r="BD757" s="362"/>
      <c r="BE757" s="362"/>
      <c r="BF757" s="362"/>
      <c r="BG757" s="362"/>
      <c r="BH757" s="362"/>
      <c r="BI757" s="362"/>
      <c r="BJ757" s="362"/>
      <c r="BK757" s="362"/>
      <c r="BL757" s="362"/>
      <c r="BM757" s="362"/>
      <c r="BN757" s="362"/>
      <c r="BO757" s="362"/>
      <c r="BP757" s="362"/>
      <c r="BQ757" s="362"/>
      <c r="BR757" s="362"/>
      <c r="BS757" s="362"/>
      <c r="BT757" s="362"/>
      <c r="BU757" s="362"/>
      <c r="BV757" s="362"/>
      <c r="BW757" s="362"/>
      <c r="BX757" s="362"/>
      <c r="BY757" s="362"/>
      <c r="BZ757" s="362"/>
      <c r="CA757" s="362"/>
      <c r="CB757" s="362"/>
      <c r="CC757" s="362"/>
      <c r="CD757" s="362"/>
      <c r="CE757" s="362"/>
    </row>
    <row r="758" spans="1:83" ht="12.65" customHeight="1">
      <c r="A758" s="363" t="e">
        <f>RIGHT($C$83,3)&amp;"*"&amp;RIGHT($C$82,4)&amp;"*"&amp;AA$55&amp;"*"&amp;"A"</f>
        <v>#VALUE!</v>
      </c>
      <c r="B758" s="359">
        <f>ROUND(AA59,0)</f>
        <v>312</v>
      </c>
      <c r="C758" s="364">
        <f>ROUND(AA60,2)</f>
        <v>1.46</v>
      </c>
      <c r="D758" s="359">
        <f>ROUND(AA61,0)</f>
        <v>49619</v>
      </c>
      <c r="E758" s="359">
        <f>ROUND(AA62,0)</f>
        <v>9758</v>
      </c>
      <c r="F758" s="359">
        <f>ROUND(AA63,0)</f>
        <v>0</v>
      </c>
      <c r="G758" s="359">
        <f>ROUND(AA64,0)</f>
        <v>20720</v>
      </c>
      <c r="H758" s="359">
        <f>ROUND(AA65,0)</f>
        <v>0</v>
      </c>
      <c r="I758" s="359">
        <f>ROUND(AA66,0)</f>
        <v>6858</v>
      </c>
      <c r="J758" s="359">
        <f>ROUND(AA67,0)</f>
        <v>0</v>
      </c>
      <c r="K758" s="359">
        <f>ROUND(AA68,0)</f>
        <v>0</v>
      </c>
      <c r="L758" s="359">
        <f>ROUND(AA69,0)</f>
        <v>14447</v>
      </c>
      <c r="M758" s="359">
        <f>ROUND(AA70,0)</f>
        <v>0</v>
      </c>
      <c r="N758" s="359">
        <f>ROUND(AA75,0)</f>
        <v>933475</v>
      </c>
      <c r="O758" s="359">
        <f>ROUND(AA73,0)</f>
        <v>214324</v>
      </c>
      <c r="P758" s="359">
        <f>IF(AA76&gt;0,ROUND(AA76,0),0)</f>
        <v>364</v>
      </c>
      <c r="Q758" s="359">
        <f>IF(AA77&gt;0,ROUND(AA77,0),0)</f>
        <v>0</v>
      </c>
      <c r="R758" s="359">
        <f>IF(AA78&gt;0,ROUND(AA78,0),0)</f>
        <v>24</v>
      </c>
      <c r="S758" s="359">
        <f>IF(AA79&gt;0,ROUND(AA79,0),0)</f>
        <v>315</v>
      </c>
      <c r="T758" s="364">
        <f>IF(AA80&gt;0,ROUND(AA80,2),0)</f>
        <v>1.1299999999999999</v>
      </c>
      <c r="U758" s="359"/>
      <c r="V758" s="362"/>
      <c r="W758" s="359"/>
      <c r="X758" s="359"/>
      <c r="Y758" s="359">
        <f t="shared" si="22"/>
        <v>60298</v>
      </c>
      <c r="Z758" s="362"/>
      <c r="AA758" s="362"/>
      <c r="AB758" s="362"/>
      <c r="AC758" s="362"/>
      <c r="AD758" s="362"/>
      <c r="AE758" s="362"/>
      <c r="AF758" s="362"/>
      <c r="AG758" s="362"/>
      <c r="AH758" s="362"/>
      <c r="AI758" s="362"/>
      <c r="AJ758" s="362"/>
      <c r="AK758" s="362"/>
      <c r="AL758" s="362"/>
      <c r="AM758" s="362"/>
      <c r="AN758" s="362"/>
      <c r="AO758" s="362"/>
      <c r="AP758" s="362"/>
      <c r="AQ758" s="362"/>
      <c r="AR758" s="362"/>
      <c r="AS758" s="362"/>
      <c r="AT758" s="362"/>
      <c r="AU758" s="362"/>
      <c r="AV758" s="362"/>
      <c r="AW758" s="362"/>
      <c r="AX758" s="362"/>
      <c r="AY758" s="362"/>
      <c r="AZ758" s="362"/>
      <c r="BA758" s="362"/>
      <c r="BB758" s="362"/>
      <c r="BC758" s="362"/>
      <c r="BD758" s="362"/>
      <c r="BE758" s="362"/>
      <c r="BF758" s="362"/>
      <c r="BG758" s="362"/>
      <c r="BH758" s="362"/>
      <c r="BI758" s="362"/>
      <c r="BJ758" s="362"/>
      <c r="BK758" s="362"/>
      <c r="BL758" s="362"/>
      <c r="BM758" s="362"/>
      <c r="BN758" s="362"/>
      <c r="BO758" s="362"/>
      <c r="BP758" s="362"/>
      <c r="BQ758" s="362"/>
      <c r="BR758" s="362"/>
      <c r="BS758" s="362"/>
      <c r="BT758" s="362"/>
      <c r="BU758" s="362"/>
      <c r="BV758" s="362"/>
      <c r="BW758" s="362"/>
      <c r="BX758" s="362"/>
      <c r="BY758" s="362"/>
      <c r="BZ758" s="362"/>
      <c r="CA758" s="362"/>
      <c r="CB758" s="362"/>
      <c r="CC758" s="362"/>
      <c r="CD758" s="362"/>
      <c r="CE758" s="362"/>
    </row>
    <row r="759" spans="1:83" ht="12.65" customHeight="1">
      <c r="A759" s="363" t="e">
        <f>RIGHT($C$83,3)&amp;"*"&amp;RIGHT($C$82,4)&amp;"*"&amp;AB$55&amp;"*"&amp;"A"</f>
        <v>#VALUE!</v>
      </c>
      <c r="B759" s="359"/>
      <c r="C759" s="364">
        <f>ROUND(AB60,2)</f>
        <v>0.96</v>
      </c>
      <c r="D759" s="359">
        <f>ROUND(AB61,0)</f>
        <v>331476</v>
      </c>
      <c r="E759" s="359">
        <f>ROUND(AB62,0)</f>
        <v>67064</v>
      </c>
      <c r="F759" s="359">
        <f>ROUND(AB63,0)</f>
        <v>0</v>
      </c>
      <c r="G759" s="359">
        <f>ROUND(AB64,0)</f>
        <v>666786</v>
      </c>
      <c r="H759" s="359">
        <f>ROUND(AB65,0)</f>
        <v>0</v>
      </c>
      <c r="I759" s="359">
        <f>ROUND(AB66,0)</f>
        <v>24888</v>
      </c>
      <c r="J759" s="359">
        <f>ROUND(AB67,0)</f>
        <v>0</v>
      </c>
      <c r="K759" s="359">
        <f>ROUND(AB68,0)</f>
        <v>69256</v>
      </c>
      <c r="L759" s="359">
        <f>ROUND(AB69,0)</f>
        <v>22771</v>
      </c>
      <c r="M759" s="359">
        <f>ROUND(AB70,0)</f>
        <v>0</v>
      </c>
      <c r="N759" s="359">
        <f>ROUND(AB75,0)</f>
        <v>4887184</v>
      </c>
      <c r="O759" s="359">
        <f>ROUND(AB73,0)</f>
        <v>2822175</v>
      </c>
      <c r="P759" s="359">
        <f>IF(AB76&gt;0,ROUND(AB76,0),0)</f>
        <v>1258</v>
      </c>
      <c r="Q759" s="359">
        <f>IF(AB77&gt;0,ROUND(AB77,0),0)</f>
        <v>0</v>
      </c>
      <c r="R759" s="359">
        <f>IF(AB78&gt;0,ROUND(AB78,0),0)</f>
        <v>82</v>
      </c>
      <c r="S759" s="359">
        <f>IF(AB79&gt;0,ROUND(AB79,0),0)</f>
        <v>2886</v>
      </c>
      <c r="T759" s="364">
        <f>IF(AB80&gt;0,ROUND(AB80,2),0)</f>
        <v>10.87</v>
      </c>
      <c r="U759" s="359"/>
      <c r="V759" s="362"/>
      <c r="W759" s="359"/>
      <c r="X759" s="359"/>
      <c r="Y759" s="359">
        <f t="shared" si="22"/>
        <v>959833</v>
      </c>
      <c r="Z759" s="362"/>
      <c r="AA759" s="362"/>
      <c r="AB759" s="362"/>
      <c r="AC759" s="362"/>
      <c r="AD759" s="362"/>
      <c r="AE759" s="362"/>
      <c r="AF759" s="362"/>
      <c r="AG759" s="362"/>
      <c r="AH759" s="362"/>
      <c r="AI759" s="362"/>
      <c r="AJ759" s="362"/>
      <c r="AK759" s="362"/>
      <c r="AL759" s="362"/>
      <c r="AM759" s="362"/>
      <c r="AN759" s="362"/>
      <c r="AO759" s="362"/>
      <c r="AP759" s="362"/>
      <c r="AQ759" s="362"/>
      <c r="AR759" s="362"/>
      <c r="AS759" s="362"/>
      <c r="AT759" s="362"/>
      <c r="AU759" s="362"/>
      <c r="AV759" s="362"/>
      <c r="AW759" s="362"/>
      <c r="AX759" s="362"/>
      <c r="AY759" s="362"/>
      <c r="AZ759" s="362"/>
      <c r="BA759" s="362"/>
      <c r="BB759" s="362"/>
      <c r="BC759" s="362"/>
      <c r="BD759" s="362"/>
      <c r="BE759" s="362"/>
      <c r="BF759" s="362"/>
      <c r="BG759" s="362"/>
      <c r="BH759" s="362"/>
      <c r="BI759" s="362"/>
      <c r="BJ759" s="362"/>
      <c r="BK759" s="362"/>
      <c r="BL759" s="362"/>
      <c r="BM759" s="362"/>
      <c r="BN759" s="362"/>
      <c r="BO759" s="362"/>
      <c r="BP759" s="362"/>
      <c r="BQ759" s="362"/>
      <c r="BR759" s="362"/>
      <c r="BS759" s="362"/>
      <c r="BT759" s="362"/>
      <c r="BU759" s="362"/>
      <c r="BV759" s="362"/>
      <c r="BW759" s="362"/>
      <c r="BX759" s="362"/>
      <c r="BY759" s="362"/>
      <c r="BZ759" s="362"/>
      <c r="CA759" s="362"/>
      <c r="CB759" s="362"/>
      <c r="CC759" s="362"/>
      <c r="CD759" s="362"/>
      <c r="CE759" s="362"/>
    </row>
    <row r="760" spans="1:83" ht="12.65" customHeight="1">
      <c r="A760" s="363" t="e">
        <f>RIGHT($C$83,3)&amp;"*"&amp;RIGHT($C$82,4)&amp;"*"&amp;AC$55&amp;"*"&amp;"A"</f>
        <v>#VALUE!</v>
      </c>
      <c r="B760" s="359">
        <f>ROUND(AC59,0)</f>
        <v>345</v>
      </c>
      <c r="C760" s="364">
        <f>ROUND(AC60,2)</f>
        <v>11.8</v>
      </c>
      <c r="D760" s="359">
        <f>ROUND(AC61,0)</f>
        <v>287300</v>
      </c>
      <c r="E760" s="359">
        <f>ROUND(AC62,0)</f>
        <v>56040</v>
      </c>
      <c r="F760" s="359">
        <f>ROUND(AC63,0)</f>
        <v>8127</v>
      </c>
      <c r="G760" s="359">
        <f>ROUND(AC64,0)</f>
        <v>34291</v>
      </c>
      <c r="H760" s="359">
        <f>ROUND(AC65,0)</f>
        <v>0</v>
      </c>
      <c r="I760" s="359">
        <f>ROUND(AC66,0)</f>
        <v>6651</v>
      </c>
      <c r="J760" s="359">
        <f>ROUND(AC67,0)</f>
        <v>0</v>
      </c>
      <c r="K760" s="359">
        <f>ROUND(AC68,0)</f>
        <v>44698</v>
      </c>
      <c r="L760" s="359">
        <f>ROUND(AC69,0)</f>
        <v>661</v>
      </c>
      <c r="M760" s="359">
        <f>ROUND(AC70,0)</f>
        <v>0</v>
      </c>
      <c r="N760" s="359">
        <f>ROUND(AC75,0)</f>
        <v>2608248</v>
      </c>
      <c r="O760" s="359">
        <f>ROUND(AC73,0)</f>
        <v>1490751</v>
      </c>
      <c r="P760" s="359">
        <f>IF(AC76&gt;0,ROUND(AC76,0),0)</f>
        <v>4235</v>
      </c>
      <c r="Q760" s="359">
        <f>IF(AC77&gt;0,ROUND(AC77,0),0)</f>
        <v>0</v>
      </c>
      <c r="R760" s="359">
        <f>IF(AC78&gt;0,ROUND(AC78,0),0)</f>
        <v>277</v>
      </c>
      <c r="S760" s="359">
        <f>IF(AC79&gt;0,ROUND(AC79,0),0)</f>
        <v>646</v>
      </c>
      <c r="T760" s="364">
        <f>IF(AC80&gt;0,ROUND(AC80,2),0)</f>
        <v>10.07</v>
      </c>
      <c r="U760" s="359"/>
      <c r="V760" s="362"/>
      <c r="W760" s="359"/>
      <c r="X760" s="359"/>
      <c r="Y760" s="359">
        <f t="shared" si="22"/>
        <v>226164</v>
      </c>
      <c r="Z760" s="362"/>
      <c r="AA760" s="362"/>
      <c r="AB760" s="362"/>
      <c r="AC760" s="362"/>
      <c r="AD760" s="362"/>
      <c r="AE760" s="362"/>
      <c r="AF760" s="362"/>
      <c r="AG760" s="362"/>
      <c r="AH760" s="362"/>
      <c r="AI760" s="362"/>
      <c r="AJ760" s="362"/>
      <c r="AK760" s="362"/>
      <c r="AL760" s="362"/>
      <c r="AM760" s="362"/>
      <c r="AN760" s="362"/>
      <c r="AO760" s="362"/>
      <c r="AP760" s="362"/>
      <c r="AQ760" s="362"/>
      <c r="AR760" s="362"/>
      <c r="AS760" s="362"/>
      <c r="AT760" s="362"/>
      <c r="AU760" s="362"/>
      <c r="AV760" s="362"/>
      <c r="AW760" s="362"/>
      <c r="AX760" s="362"/>
      <c r="AY760" s="362"/>
      <c r="AZ760" s="362"/>
      <c r="BA760" s="362"/>
      <c r="BB760" s="362"/>
      <c r="BC760" s="362"/>
      <c r="BD760" s="362"/>
      <c r="BE760" s="362"/>
      <c r="BF760" s="362"/>
      <c r="BG760" s="362"/>
      <c r="BH760" s="362"/>
      <c r="BI760" s="362"/>
      <c r="BJ760" s="362"/>
      <c r="BK760" s="362"/>
      <c r="BL760" s="362"/>
      <c r="BM760" s="362"/>
      <c r="BN760" s="362"/>
      <c r="BO760" s="362"/>
      <c r="BP760" s="362"/>
      <c r="BQ760" s="362"/>
      <c r="BR760" s="362"/>
      <c r="BS760" s="362"/>
      <c r="BT760" s="362"/>
      <c r="BU760" s="362"/>
      <c r="BV760" s="362"/>
      <c r="BW760" s="362"/>
      <c r="BX760" s="362"/>
      <c r="BY760" s="362"/>
      <c r="BZ760" s="362"/>
      <c r="CA760" s="362"/>
      <c r="CB760" s="362"/>
      <c r="CC760" s="362"/>
      <c r="CD760" s="362"/>
      <c r="CE760" s="362"/>
    </row>
    <row r="761" spans="1:83" ht="12.65" customHeight="1">
      <c r="A761" s="363" t="e">
        <f>RIGHT($C$83,3)&amp;"*"&amp;RIGHT($C$82,4)&amp;"*"&amp;AD$55&amp;"*"&amp;"A"</f>
        <v>#VALUE!</v>
      </c>
      <c r="B761" s="359">
        <f>ROUND(AD59,0)</f>
        <v>0</v>
      </c>
      <c r="C761" s="364">
        <f>ROUND(AD60,2)</f>
        <v>0</v>
      </c>
      <c r="D761" s="359">
        <f>ROUND(AD61,0)</f>
        <v>0</v>
      </c>
      <c r="E761" s="359">
        <f>ROUND(AD62,0)</f>
        <v>0</v>
      </c>
      <c r="F761" s="359">
        <f>ROUND(AD63,0)</f>
        <v>0</v>
      </c>
      <c r="G761" s="359">
        <f>ROUND(AD64,0)</f>
        <v>0</v>
      </c>
      <c r="H761" s="359">
        <f>ROUND(AD65,0)</f>
        <v>0</v>
      </c>
      <c r="I761" s="359">
        <f>ROUND(AD66,0)</f>
        <v>0</v>
      </c>
      <c r="J761" s="359">
        <f>ROUND(AD67,0)</f>
        <v>0</v>
      </c>
      <c r="K761" s="359">
        <f>ROUND(AD68,0)</f>
        <v>0</v>
      </c>
      <c r="L761" s="359">
        <f>ROUND(AD69,0)</f>
        <v>0</v>
      </c>
      <c r="M761" s="359">
        <f>ROUND(AD70,0)</f>
        <v>0</v>
      </c>
      <c r="N761" s="359">
        <f>ROUND(AD75,0)</f>
        <v>0</v>
      </c>
      <c r="O761" s="359">
        <f>ROUND(AD73,0)</f>
        <v>0</v>
      </c>
      <c r="P761" s="359">
        <f>IF(AD76&gt;0,ROUND(AD76,0),0)</f>
        <v>0</v>
      </c>
      <c r="Q761" s="359">
        <f>IF(AD77&gt;0,ROUND(AD77,0),0)</f>
        <v>0</v>
      </c>
      <c r="R761" s="359">
        <f>IF(AD78&gt;0,ROUND(AD78,0),0)</f>
        <v>0</v>
      </c>
      <c r="S761" s="359">
        <f>IF(AD79&gt;0,ROUND(AD79,0),0)</f>
        <v>0</v>
      </c>
      <c r="T761" s="364">
        <f>IF(AD80&gt;0,ROUND(AD80,2),0)</f>
        <v>0</v>
      </c>
      <c r="U761" s="359"/>
      <c r="V761" s="362"/>
      <c r="W761" s="359"/>
      <c r="X761" s="359"/>
      <c r="Y761" s="359">
        <f t="shared" si="22"/>
        <v>0</v>
      </c>
      <c r="Z761" s="362"/>
      <c r="AA761" s="362"/>
      <c r="AB761" s="362"/>
      <c r="AC761" s="362"/>
      <c r="AD761" s="362"/>
      <c r="AE761" s="362"/>
      <c r="AF761" s="362"/>
      <c r="AG761" s="362"/>
      <c r="AH761" s="362"/>
      <c r="AI761" s="362"/>
      <c r="AJ761" s="362"/>
      <c r="AK761" s="362"/>
      <c r="AL761" s="362"/>
      <c r="AM761" s="362"/>
      <c r="AN761" s="362"/>
      <c r="AO761" s="362"/>
      <c r="AP761" s="362"/>
      <c r="AQ761" s="362"/>
      <c r="AR761" s="362"/>
      <c r="AS761" s="362"/>
      <c r="AT761" s="362"/>
      <c r="AU761" s="362"/>
      <c r="AV761" s="362"/>
      <c r="AW761" s="362"/>
      <c r="AX761" s="362"/>
      <c r="AY761" s="362"/>
      <c r="AZ761" s="362"/>
      <c r="BA761" s="362"/>
      <c r="BB761" s="362"/>
      <c r="BC761" s="362"/>
      <c r="BD761" s="362"/>
      <c r="BE761" s="362"/>
      <c r="BF761" s="362"/>
      <c r="BG761" s="362"/>
      <c r="BH761" s="362"/>
      <c r="BI761" s="362"/>
      <c r="BJ761" s="362"/>
      <c r="BK761" s="362"/>
      <c r="BL761" s="362"/>
      <c r="BM761" s="362"/>
      <c r="BN761" s="362"/>
      <c r="BO761" s="362"/>
      <c r="BP761" s="362"/>
      <c r="BQ761" s="362"/>
      <c r="BR761" s="362"/>
      <c r="BS761" s="362"/>
      <c r="BT761" s="362"/>
      <c r="BU761" s="362"/>
      <c r="BV761" s="362"/>
      <c r="BW761" s="362"/>
      <c r="BX761" s="362"/>
      <c r="BY761" s="362"/>
      <c r="BZ761" s="362"/>
      <c r="CA761" s="362"/>
      <c r="CB761" s="362"/>
      <c r="CC761" s="362"/>
      <c r="CD761" s="362"/>
      <c r="CE761" s="362"/>
    </row>
    <row r="762" spans="1:83" ht="12.65" customHeight="1">
      <c r="A762" s="363" t="e">
        <f>RIGHT($C$83,3)&amp;"*"&amp;RIGHT($C$82,4)&amp;"*"&amp;AE$55&amp;"*"&amp;"A"</f>
        <v>#VALUE!</v>
      </c>
      <c r="B762" s="359">
        <f>ROUND(AE59,0)</f>
        <v>4743</v>
      </c>
      <c r="C762" s="364">
        <f>ROUND(AE60,2)</f>
        <v>8.09</v>
      </c>
      <c r="D762" s="359">
        <f>ROUND(AE61,0)</f>
        <v>162853</v>
      </c>
      <c r="E762" s="359">
        <f>ROUND(AE62,0)</f>
        <v>31717</v>
      </c>
      <c r="F762" s="359">
        <f>ROUND(AE63,0)</f>
        <v>0</v>
      </c>
      <c r="G762" s="359">
        <f>ROUND(AE64,0)</f>
        <v>1987</v>
      </c>
      <c r="H762" s="359">
        <f>ROUND(AE65,0)</f>
        <v>692</v>
      </c>
      <c r="I762" s="359">
        <f>ROUND(AE66,0)</f>
        <v>3123</v>
      </c>
      <c r="J762" s="359">
        <f>ROUND(AE67,0)</f>
        <v>0</v>
      </c>
      <c r="K762" s="359">
        <f>ROUND(AE68,0)</f>
        <v>22444</v>
      </c>
      <c r="L762" s="359">
        <f>ROUND(AE69,0)</f>
        <v>3130</v>
      </c>
      <c r="M762" s="359">
        <f>ROUND(AE70,0)</f>
        <v>0</v>
      </c>
      <c r="N762" s="359">
        <f>ROUND(AE75,0)</f>
        <v>939415</v>
      </c>
      <c r="O762" s="359">
        <f>ROUND(AE73,0)</f>
        <v>365644</v>
      </c>
      <c r="P762" s="359">
        <f>IF(AE76&gt;0,ROUND(AE76,0),0)</f>
        <v>4213</v>
      </c>
      <c r="Q762" s="359">
        <f>IF(AE77&gt;0,ROUND(AE77,0),0)</f>
        <v>0</v>
      </c>
      <c r="R762" s="359">
        <f>IF(AE78&gt;0,ROUND(AE78,0),0)</f>
        <v>275</v>
      </c>
      <c r="S762" s="359">
        <f>IF(AE79&gt;0,ROUND(AE79,0),0)</f>
        <v>1400</v>
      </c>
      <c r="T762" s="364">
        <f>IF(AE80&gt;0,ROUND(AE80,2),0)</f>
        <v>6.88</v>
      </c>
      <c r="U762" s="359"/>
      <c r="V762" s="362"/>
      <c r="W762" s="359"/>
      <c r="X762" s="359"/>
      <c r="Y762" s="359">
        <f t="shared" si="22"/>
        <v>121666</v>
      </c>
      <c r="Z762" s="362"/>
      <c r="AA762" s="362"/>
      <c r="AB762" s="362"/>
      <c r="AC762" s="362"/>
      <c r="AD762" s="362"/>
      <c r="AE762" s="362"/>
      <c r="AF762" s="362"/>
      <c r="AG762" s="362"/>
      <c r="AH762" s="362"/>
      <c r="AI762" s="362"/>
      <c r="AJ762" s="362"/>
      <c r="AK762" s="362"/>
      <c r="AL762" s="362"/>
      <c r="AM762" s="362"/>
      <c r="AN762" s="362"/>
      <c r="AO762" s="362"/>
      <c r="AP762" s="362"/>
      <c r="AQ762" s="362"/>
      <c r="AR762" s="362"/>
      <c r="AS762" s="362"/>
      <c r="AT762" s="362"/>
      <c r="AU762" s="362"/>
      <c r="AV762" s="362"/>
      <c r="AW762" s="362"/>
      <c r="AX762" s="362"/>
      <c r="AY762" s="362"/>
      <c r="AZ762" s="362"/>
      <c r="BA762" s="362"/>
      <c r="BB762" s="362"/>
      <c r="BC762" s="362"/>
      <c r="BD762" s="362"/>
      <c r="BE762" s="362"/>
      <c r="BF762" s="362"/>
      <c r="BG762" s="362"/>
      <c r="BH762" s="362"/>
      <c r="BI762" s="362"/>
      <c r="BJ762" s="362"/>
      <c r="BK762" s="362"/>
      <c r="BL762" s="362"/>
      <c r="BM762" s="362"/>
      <c r="BN762" s="362"/>
      <c r="BO762" s="362"/>
      <c r="BP762" s="362"/>
      <c r="BQ762" s="362"/>
      <c r="BR762" s="362"/>
      <c r="BS762" s="362"/>
      <c r="BT762" s="362"/>
      <c r="BU762" s="362"/>
      <c r="BV762" s="362"/>
      <c r="BW762" s="362"/>
      <c r="BX762" s="362"/>
      <c r="BY762" s="362"/>
      <c r="BZ762" s="362"/>
      <c r="CA762" s="362"/>
      <c r="CB762" s="362"/>
      <c r="CC762" s="362"/>
      <c r="CD762" s="362"/>
      <c r="CE762" s="362"/>
    </row>
    <row r="763" spans="1:83" ht="12.65" customHeight="1">
      <c r="A763" s="363" t="e">
        <f>RIGHT($C$83,3)&amp;"*"&amp;RIGHT($C$82,4)&amp;"*"&amp;AF$55&amp;"*"&amp;"A"</f>
        <v>#VALUE!</v>
      </c>
      <c r="B763" s="359">
        <f>ROUND(AF59,0)</f>
        <v>0</v>
      </c>
      <c r="C763" s="364">
        <f>ROUND(AF60,2)</f>
        <v>0</v>
      </c>
      <c r="D763" s="359">
        <f>ROUND(AF61,0)</f>
        <v>0</v>
      </c>
      <c r="E763" s="359">
        <f>ROUND(AF62,0)</f>
        <v>0</v>
      </c>
      <c r="F763" s="359">
        <f>ROUND(AF63,0)</f>
        <v>0</v>
      </c>
      <c r="G763" s="359">
        <f>ROUND(AF64,0)</f>
        <v>0</v>
      </c>
      <c r="H763" s="359">
        <f>ROUND(AF65,0)</f>
        <v>0</v>
      </c>
      <c r="I763" s="359">
        <f>ROUND(AF66,0)</f>
        <v>0</v>
      </c>
      <c r="J763" s="359">
        <f>ROUND(AF67,0)</f>
        <v>0</v>
      </c>
      <c r="K763" s="359">
        <f>ROUND(AF68,0)</f>
        <v>0</v>
      </c>
      <c r="L763" s="359">
        <f>ROUND(AF69,0)</f>
        <v>0</v>
      </c>
      <c r="M763" s="359">
        <f>ROUND(AF70,0)</f>
        <v>0</v>
      </c>
      <c r="N763" s="359">
        <f>ROUND(AF75,0)</f>
        <v>0</v>
      </c>
      <c r="O763" s="359">
        <f>ROUND(AF73,0)</f>
        <v>0</v>
      </c>
      <c r="P763" s="359">
        <f>IF(AF76&gt;0,ROUND(AF76,0),0)</f>
        <v>0</v>
      </c>
      <c r="Q763" s="359">
        <f>IF(AF77&gt;0,ROUND(AF77,0),0)</f>
        <v>0</v>
      </c>
      <c r="R763" s="359">
        <f>IF(AF78&gt;0,ROUND(AF78,0),0)</f>
        <v>0</v>
      </c>
      <c r="S763" s="359">
        <f>IF(AF79&gt;0,ROUND(AF79,0),0)</f>
        <v>0</v>
      </c>
      <c r="T763" s="364">
        <f>IF(AF80&gt;0,ROUND(AF80,2),0)</f>
        <v>0</v>
      </c>
      <c r="U763" s="359"/>
      <c r="V763" s="362"/>
      <c r="W763" s="359"/>
      <c r="X763" s="359"/>
      <c r="Y763" s="359">
        <f t="shared" si="22"/>
        <v>0</v>
      </c>
      <c r="Z763" s="362"/>
      <c r="AA763" s="362"/>
      <c r="AB763" s="362"/>
      <c r="AC763" s="362"/>
      <c r="AD763" s="362"/>
      <c r="AE763" s="362"/>
      <c r="AF763" s="362"/>
      <c r="AG763" s="362"/>
      <c r="AH763" s="362"/>
      <c r="AI763" s="362"/>
      <c r="AJ763" s="362"/>
      <c r="AK763" s="362"/>
      <c r="AL763" s="362"/>
      <c r="AM763" s="362"/>
      <c r="AN763" s="362"/>
      <c r="AO763" s="362"/>
      <c r="AP763" s="362"/>
      <c r="AQ763" s="362"/>
      <c r="AR763" s="362"/>
      <c r="AS763" s="362"/>
      <c r="AT763" s="362"/>
      <c r="AU763" s="362"/>
      <c r="AV763" s="362"/>
      <c r="AW763" s="362"/>
      <c r="AX763" s="362"/>
      <c r="AY763" s="362"/>
      <c r="AZ763" s="362"/>
      <c r="BA763" s="362"/>
      <c r="BB763" s="362"/>
      <c r="BC763" s="362"/>
      <c r="BD763" s="362"/>
      <c r="BE763" s="362"/>
      <c r="BF763" s="362"/>
      <c r="BG763" s="362"/>
      <c r="BH763" s="362"/>
      <c r="BI763" s="362"/>
      <c r="BJ763" s="362"/>
      <c r="BK763" s="362"/>
      <c r="BL763" s="362"/>
      <c r="BM763" s="362"/>
      <c r="BN763" s="362"/>
      <c r="BO763" s="362"/>
      <c r="BP763" s="362"/>
      <c r="BQ763" s="362"/>
      <c r="BR763" s="362"/>
      <c r="BS763" s="362"/>
      <c r="BT763" s="362"/>
      <c r="BU763" s="362"/>
      <c r="BV763" s="362"/>
      <c r="BW763" s="362"/>
      <c r="BX763" s="362"/>
      <c r="BY763" s="362"/>
      <c r="BZ763" s="362"/>
      <c r="CA763" s="362"/>
      <c r="CB763" s="362"/>
      <c r="CC763" s="362"/>
      <c r="CD763" s="362"/>
      <c r="CE763" s="362"/>
    </row>
    <row r="764" spans="1:83" ht="12.65" customHeight="1">
      <c r="A764" s="363" t="e">
        <f>RIGHT($C$83,3)&amp;"*"&amp;RIGHT($C$82,4)&amp;"*"&amp;AG$55&amp;"*"&amp;"A"</f>
        <v>#VALUE!</v>
      </c>
      <c r="B764" s="359">
        <f>ROUND(AG59,0)</f>
        <v>3556</v>
      </c>
      <c r="C764" s="364">
        <f>ROUND(AG60,2)</f>
        <v>21.77</v>
      </c>
      <c r="D764" s="359">
        <f>ROUND(AG61,0)</f>
        <v>541982</v>
      </c>
      <c r="E764" s="359">
        <f>ROUND(AG62,0)</f>
        <v>105876</v>
      </c>
      <c r="F764" s="359">
        <f>ROUND(AG63,0)</f>
        <v>954</v>
      </c>
      <c r="G764" s="359">
        <f>ROUND(AG64,0)</f>
        <v>53749</v>
      </c>
      <c r="H764" s="359">
        <f>ROUND(AG65,0)</f>
        <v>0</v>
      </c>
      <c r="I764" s="359">
        <f>ROUND(AG66,0)</f>
        <v>9914</v>
      </c>
      <c r="J764" s="359">
        <f>ROUND(AG67,0)</f>
        <v>0</v>
      </c>
      <c r="K764" s="359">
        <f>ROUND(AG68,0)</f>
        <v>1089</v>
      </c>
      <c r="L764" s="359">
        <f>ROUND(AG69,0)</f>
        <v>286599</v>
      </c>
      <c r="M764" s="359">
        <f>ROUND(AG70,0)</f>
        <v>0</v>
      </c>
      <c r="N764" s="359">
        <f>ROUND(AG75,0)</f>
        <v>11687420</v>
      </c>
      <c r="O764" s="359">
        <f>ROUND(AG73,0)</f>
        <v>2335409</v>
      </c>
      <c r="P764" s="359">
        <f>IF(AG76&gt;0,ROUND(AG76,0),0)</f>
        <v>4248</v>
      </c>
      <c r="Q764" s="359">
        <f>IF(AG77&gt;0,ROUND(AG77,0),0)</f>
        <v>0</v>
      </c>
      <c r="R764" s="359">
        <f>IF(AG78&gt;0,ROUND(AG78,0),0)</f>
        <v>278</v>
      </c>
      <c r="S764" s="359">
        <f>IF(AG79&gt;0,ROUND(AG79,0),0)</f>
        <v>11848</v>
      </c>
      <c r="T764" s="364">
        <f>IF(AG80&gt;0,ROUND(AG80,2),0)</f>
        <v>16.079999999999998</v>
      </c>
      <c r="U764" s="359"/>
      <c r="V764" s="362"/>
      <c r="W764" s="359"/>
      <c r="X764" s="359"/>
      <c r="Y764" s="359">
        <f t="shared" si="22"/>
        <v>518543</v>
      </c>
      <c r="Z764" s="362"/>
      <c r="AA764" s="362"/>
      <c r="AB764" s="362"/>
      <c r="AC764" s="362"/>
      <c r="AD764" s="362"/>
      <c r="AE764" s="362"/>
      <c r="AF764" s="362"/>
      <c r="AG764" s="362"/>
      <c r="AH764" s="362"/>
      <c r="AI764" s="362"/>
      <c r="AJ764" s="362"/>
      <c r="AK764" s="362"/>
      <c r="AL764" s="362"/>
      <c r="AM764" s="362"/>
      <c r="AN764" s="362"/>
      <c r="AO764" s="362"/>
      <c r="AP764" s="362"/>
      <c r="AQ764" s="362"/>
      <c r="AR764" s="362"/>
      <c r="AS764" s="362"/>
      <c r="AT764" s="362"/>
      <c r="AU764" s="362"/>
      <c r="AV764" s="362"/>
      <c r="AW764" s="362"/>
      <c r="AX764" s="362"/>
      <c r="AY764" s="362"/>
      <c r="AZ764" s="362"/>
      <c r="BA764" s="362"/>
      <c r="BB764" s="362"/>
      <c r="BC764" s="362"/>
      <c r="BD764" s="362"/>
      <c r="BE764" s="362"/>
      <c r="BF764" s="362"/>
      <c r="BG764" s="362"/>
      <c r="BH764" s="362"/>
      <c r="BI764" s="362"/>
      <c r="BJ764" s="362"/>
      <c r="BK764" s="362"/>
      <c r="BL764" s="362"/>
      <c r="BM764" s="362"/>
      <c r="BN764" s="362"/>
      <c r="BO764" s="362"/>
      <c r="BP764" s="362"/>
      <c r="BQ764" s="362"/>
      <c r="BR764" s="362"/>
      <c r="BS764" s="362"/>
      <c r="BT764" s="362"/>
      <c r="BU764" s="362"/>
      <c r="BV764" s="362"/>
      <c r="BW764" s="362"/>
      <c r="BX764" s="362"/>
      <c r="BY764" s="362"/>
      <c r="BZ764" s="362"/>
      <c r="CA764" s="362"/>
      <c r="CB764" s="362"/>
      <c r="CC764" s="362"/>
      <c r="CD764" s="362"/>
      <c r="CE764" s="362"/>
    </row>
    <row r="765" spans="1:83" ht="12.65" customHeight="1">
      <c r="A765" s="363" t="e">
        <f>RIGHT($C$83,3)&amp;"*"&amp;RIGHT($C$82,4)&amp;"*"&amp;AH$55&amp;"*"&amp;"A"</f>
        <v>#VALUE!</v>
      </c>
      <c r="B765" s="359">
        <f>ROUND(AH59,0)</f>
        <v>0</v>
      </c>
      <c r="C765" s="364">
        <f>ROUND(AH60,2)</f>
        <v>0</v>
      </c>
      <c r="D765" s="359">
        <f>ROUND(AH61,0)</f>
        <v>0</v>
      </c>
      <c r="E765" s="359">
        <f>ROUND(AH62,0)</f>
        <v>0</v>
      </c>
      <c r="F765" s="359">
        <f>ROUND(AH63,0)</f>
        <v>0</v>
      </c>
      <c r="G765" s="359">
        <f>ROUND(AH64,0)</f>
        <v>0</v>
      </c>
      <c r="H765" s="359">
        <f>ROUND(AH65,0)</f>
        <v>0</v>
      </c>
      <c r="I765" s="359">
        <f>ROUND(AH66,0)</f>
        <v>0</v>
      </c>
      <c r="J765" s="359">
        <f>ROUND(AH67,0)</f>
        <v>0</v>
      </c>
      <c r="K765" s="359">
        <f>ROUND(AH68,0)</f>
        <v>0</v>
      </c>
      <c r="L765" s="359">
        <f>ROUND(AH69,0)</f>
        <v>0</v>
      </c>
      <c r="M765" s="359">
        <f>ROUND(AH70,0)</f>
        <v>0</v>
      </c>
      <c r="N765" s="359">
        <f>ROUND(AH75,0)</f>
        <v>0</v>
      </c>
      <c r="O765" s="359">
        <f>ROUND(AH73,0)</f>
        <v>0</v>
      </c>
      <c r="P765" s="359">
        <f>IF(AH76&gt;0,ROUND(AH76,0),0)</f>
        <v>0</v>
      </c>
      <c r="Q765" s="359">
        <f>IF(AH77&gt;0,ROUND(AH77,0),0)</f>
        <v>0</v>
      </c>
      <c r="R765" s="359">
        <f>IF(AH78&gt;0,ROUND(AH78,0),0)</f>
        <v>0</v>
      </c>
      <c r="S765" s="359">
        <f>IF(AH79&gt;0,ROUND(AH79,0),0)</f>
        <v>0</v>
      </c>
      <c r="T765" s="364">
        <f>IF(AH80&gt;0,ROUND(AH80,2),0)</f>
        <v>0</v>
      </c>
      <c r="U765" s="359"/>
      <c r="V765" s="362"/>
      <c r="W765" s="359"/>
      <c r="X765" s="359"/>
      <c r="Y765" s="359">
        <f t="shared" si="22"/>
        <v>0</v>
      </c>
      <c r="Z765" s="362"/>
      <c r="AA765" s="362"/>
      <c r="AB765" s="362"/>
      <c r="AC765" s="362"/>
      <c r="AD765" s="362"/>
      <c r="AE765" s="362"/>
      <c r="AF765" s="362"/>
      <c r="AG765" s="362"/>
      <c r="AH765" s="362"/>
      <c r="AI765" s="362"/>
      <c r="AJ765" s="362"/>
      <c r="AK765" s="362"/>
      <c r="AL765" s="362"/>
      <c r="AM765" s="362"/>
      <c r="AN765" s="362"/>
      <c r="AO765" s="362"/>
      <c r="AP765" s="362"/>
      <c r="AQ765" s="362"/>
      <c r="AR765" s="362"/>
      <c r="AS765" s="362"/>
      <c r="AT765" s="362"/>
      <c r="AU765" s="362"/>
      <c r="AV765" s="362"/>
      <c r="AW765" s="362"/>
      <c r="AX765" s="362"/>
      <c r="AY765" s="362"/>
      <c r="AZ765" s="362"/>
      <c r="BA765" s="362"/>
      <c r="BB765" s="362"/>
      <c r="BC765" s="362"/>
      <c r="BD765" s="362"/>
      <c r="BE765" s="362"/>
      <c r="BF765" s="362"/>
      <c r="BG765" s="362"/>
      <c r="BH765" s="362"/>
      <c r="BI765" s="362"/>
      <c r="BJ765" s="362"/>
      <c r="BK765" s="362"/>
      <c r="BL765" s="362"/>
      <c r="BM765" s="362"/>
      <c r="BN765" s="362"/>
      <c r="BO765" s="362"/>
      <c r="BP765" s="362"/>
      <c r="BQ765" s="362"/>
      <c r="BR765" s="362"/>
      <c r="BS765" s="362"/>
      <c r="BT765" s="362"/>
      <c r="BU765" s="362"/>
      <c r="BV765" s="362"/>
      <c r="BW765" s="362"/>
      <c r="BX765" s="362"/>
      <c r="BY765" s="362"/>
      <c r="BZ765" s="362"/>
      <c r="CA765" s="362"/>
      <c r="CB765" s="362"/>
      <c r="CC765" s="362"/>
      <c r="CD765" s="362"/>
      <c r="CE765" s="362"/>
    </row>
    <row r="766" spans="1:83" ht="12.65" customHeight="1">
      <c r="A766" s="363" t="e">
        <f>RIGHT($C$83,3)&amp;"*"&amp;RIGHT($C$82,4)&amp;"*"&amp;AI$55&amp;"*"&amp;"A"</f>
        <v>#VALUE!</v>
      </c>
      <c r="B766" s="359">
        <f>ROUND(AI59,0)</f>
        <v>1967</v>
      </c>
      <c r="C766" s="364">
        <f>ROUND(AI60,2)</f>
        <v>18.89</v>
      </c>
      <c r="D766" s="359">
        <f>ROUND(AI61,0)</f>
        <v>478454</v>
      </c>
      <c r="E766" s="359">
        <f>ROUND(AI62,0)</f>
        <v>92794</v>
      </c>
      <c r="F766" s="359">
        <f>ROUND(AI63,0)</f>
        <v>0</v>
      </c>
      <c r="G766" s="359">
        <f>ROUND(AI64,0)</f>
        <v>91942</v>
      </c>
      <c r="H766" s="359">
        <f>ROUND(AI65,0)</f>
        <v>0</v>
      </c>
      <c r="I766" s="359">
        <f>ROUND(AI66,0)</f>
        <v>271</v>
      </c>
      <c r="J766" s="359">
        <f>ROUND(AI67,0)</f>
        <v>0</v>
      </c>
      <c r="K766" s="359">
        <f>ROUND(AI68,0)</f>
        <v>1</v>
      </c>
      <c r="L766" s="359">
        <f>ROUND(AI69,0)</f>
        <v>21572</v>
      </c>
      <c r="M766" s="359">
        <f>ROUND(AI70,0)</f>
        <v>0</v>
      </c>
      <c r="N766" s="359">
        <f>ROUND(AI75,0)</f>
        <v>2253203</v>
      </c>
      <c r="O766" s="359">
        <f>ROUND(AI73,0)</f>
        <v>353987</v>
      </c>
      <c r="P766" s="359">
        <f>IF(AI76&gt;0,ROUND(AI76,0),0)</f>
        <v>4979</v>
      </c>
      <c r="Q766" s="359">
        <f>IF(AI77&gt;0,ROUND(AI77,0),0)</f>
        <v>0</v>
      </c>
      <c r="R766" s="359">
        <f>IF(AI78&gt;0,ROUND(AI78,0),0)</f>
        <v>325</v>
      </c>
      <c r="S766" s="359">
        <f>IF(AI79&gt;0,ROUND(AI79,0),0)</f>
        <v>8407</v>
      </c>
      <c r="T766" s="364">
        <f>IF(AI80&gt;0,ROUND(AI80,2),0)</f>
        <v>16.579999999999998</v>
      </c>
      <c r="U766" s="359"/>
      <c r="V766" s="362"/>
      <c r="W766" s="359"/>
      <c r="X766" s="359"/>
      <c r="Y766" s="359">
        <f t="shared" si="22"/>
        <v>346251</v>
      </c>
      <c r="Z766" s="362"/>
      <c r="AA766" s="362"/>
      <c r="AB766" s="362"/>
      <c r="AC766" s="362"/>
      <c r="AD766" s="362"/>
      <c r="AE766" s="362"/>
      <c r="AF766" s="362"/>
      <c r="AG766" s="362"/>
      <c r="AH766" s="362"/>
      <c r="AI766" s="362"/>
      <c r="AJ766" s="362"/>
      <c r="AK766" s="362"/>
      <c r="AL766" s="362"/>
      <c r="AM766" s="362"/>
      <c r="AN766" s="362"/>
      <c r="AO766" s="362"/>
      <c r="AP766" s="362"/>
      <c r="AQ766" s="362"/>
      <c r="AR766" s="362"/>
      <c r="AS766" s="362"/>
      <c r="AT766" s="362"/>
      <c r="AU766" s="362"/>
      <c r="AV766" s="362"/>
      <c r="AW766" s="362"/>
      <c r="AX766" s="362"/>
      <c r="AY766" s="362"/>
      <c r="AZ766" s="362"/>
      <c r="BA766" s="362"/>
      <c r="BB766" s="362"/>
      <c r="BC766" s="362"/>
      <c r="BD766" s="362"/>
      <c r="BE766" s="362"/>
      <c r="BF766" s="362"/>
      <c r="BG766" s="362"/>
      <c r="BH766" s="362"/>
      <c r="BI766" s="362"/>
      <c r="BJ766" s="362"/>
      <c r="BK766" s="362"/>
      <c r="BL766" s="362"/>
      <c r="BM766" s="362"/>
      <c r="BN766" s="362"/>
      <c r="BO766" s="362"/>
      <c r="BP766" s="362"/>
      <c r="BQ766" s="362"/>
      <c r="BR766" s="362"/>
      <c r="BS766" s="362"/>
      <c r="BT766" s="362"/>
      <c r="BU766" s="362"/>
      <c r="BV766" s="362"/>
      <c r="BW766" s="362"/>
      <c r="BX766" s="362"/>
      <c r="BY766" s="362"/>
      <c r="BZ766" s="362"/>
      <c r="CA766" s="362"/>
      <c r="CB766" s="362"/>
      <c r="CC766" s="362"/>
      <c r="CD766" s="362"/>
      <c r="CE766" s="362"/>
    </row>
    <row r="767" spans="1:83" ht="12.65" customHeight="1">
      <c r="A767" s="363" t="e">
        <f>RIGHT($C$83,3)&amp;"*"&amp;RIGHT($C$82,4)&amp;"*"&amp;AJ$55&amp;"*"&amp;"A"</f>
        <v>#VALUE!</v>
      </c>
      <c r="B767" s="359">
        <f>ROUND(AJ59,0)</f>
        <v>0</v>
      </c>
      <c r="C767" s="364">
        <f>ROUND(AJ60,2)</f>
        <v>0</v>
      </c>
      <c r="D767" s="359">
        <f>ROUND(AJ61,0)</f>
        <v>0</v>
      </c>
      <c r="E767" s="359">
        <f>ROUND(AJ62,0)</f>
        <v>0</v>
      </c>
      <c r="F767" s="359">
        <f>ROUND(AJ63,0)</f>
        <v>0</v>
      </c>
      <c r="G767" s="359">
        <f>ROUND(AJ64,0)</f>
        <v>0</v>
      </c>
      <c r="H767" s="359">
        <f>ROUND(AJ65,0)</f>
        <v>0</v>
      </c>
      <c r="I767" s="359">
        <f>ROUND(AJ66,0)</f>
        <v>0</v>
      </c>
      <c r="J767" s="359">
        <f>ROUND(AJ67,0)</f>
        <v>0</v>
      </c>
      <c r="K767" s="359">
        <f>ROUND(AJ68,0)</f>
        <v>0</v>
      </c>
      <c r="L767" s="359">
        <f>ROUND(AJ69,0)</f>
        <v>0</v>
      </c>
      <c r="M767" s="359">
        <f>ROUND(AJ70,0)</f>
        <v>0</v>
      </c>
      <c r="N767" s="359">
        <f>ROUND(AJ75,0)</f>
        <v>0</v>
      </c>
      <c r="O767" s="359">
        <f>ROUND(AJ73,0)</f>
        <v>0</v>
      </c>
      <c r="P767" s="359">
        <f>IF(AJ76&gt;0,ROUND(AJ76,0),0)</f>
        <v>0</v>
      </c>
      <c r="Q767" s="359">
        <f>IF(AJ77&gt;0,ROUND(AJ77,0),0)</f>
        <v>0</v>
      </c>
      <c r="R767" s="359">
        <f>IF(AJ78&gt;0,ROUND(AJ78,0),0)</f>
        <v>0</v>
      </c>
      <c r="S767" s="359">
        <f>IF(AJ79&gt;0,ROUND(AJ79,0),0)</f>
        <v>0</v>
      </c>
      <c r="T767" s="364">
        <f>IF(AJ80&gt;0,ROUND(AJ80,2),0)</f>
        <v>0</v>
      </c>
      <c r="U767" s="359"/>
      <c r="V767" s="362"/>
      <c r="W767" s="359"/>
      <c r="X767" s="359"/>
      <c r="Y767" s="359">
        <f t="shared" si="22"/>
        <v>0</v>
      </c>
      <c r="Z767" s="362"/>
      <c r="AA767" s="362"/>
      <c r="AB767" s="362"/>
      <c r="AC767" s="362"/>
      <c r="AD767" s="362"/>
      <c r="AE767" s="362"/>
      <c r="AF767" s="362"/>
      <c r="AG767" s="362"/>
      <c r="AH767" s="362"/>
      <c r="AI767" s="362"/>
      <c r="AJ767" s="362"/>
      <c r="AK767" s="362"/>
      <c r="AL767" s="362"/>
      <c r="AM767" s="362"/>
      <c r="AN767" s="362"/>
      <c r="AO767" s="362"/>
      <c r="AP767" s="362"/>
      <c r="AQ767" s="362"/>
      <c r="AR767" s="362"/>
      <c r="AS767" s="362"/>
      <c r="AT767" s="362"/>
      <c r="AU767" s="362"/>
      <c r="AV767" s="362"/>
      <c r="AW767" s="362"/>
      <c r="AX767" s="362"/>
      <c r="AY767" s="362"/>
      <c r="AZ767" s="362"/>
      <c r="BA767" s="362"/>
      <c r="BB767" s="362"/>
      <c r="BC767" s="362"/>
      <c r="BD767" s="362"/>
      <c r="BE767" s="362"/>
      <c r="BF767" s="362"/>
      <c r="BG767" s="362"/>
      <c r="BH767" s="362"/>
      <c r="BI767" s="362"/>
      <c r="BJ767" s="362"/>
      <c r="BK767" s="362"/>
      <c r="BL767" s="362"/>
      <c r="BM767" s="362"/>
      <c r="BN767" s="362"/>
      <c r="BO767" s="362"/>
      <c r="BP767" s="362"/>
      <c r="BQ767" s="362"/>
      <c r="BR767" s="362"/>
      <c r="BS767" s="362"/>
      <c r="BT767" s="362"/>
      <c r="BU767" s="362"/>
      <c r="BV767" s="362"/>
      <c r="BW767" s="362"/>
      <c r="BX767" s="362"/>
      <c r="BY767" s="362"/>
      <c r="BZ767" s="362"/>
      <c r="CA767" s="362"/>
      <c r="CB767" s="362"/>
      <c r="CC767" s="362"/>
      <c r="CD767" s="362"/>
      <c r="CE767" s="362"/>
    </row>
    <row r="768" spans="1:83" ht="12.65" customHeight="1">
      <c r="A768" s="363" t="e">
        <f>RIGHT($C$83,3)&amp;"*"&amp;RIGHT($C$82,4)&amp;"*"&amp;AK$55&amp;"*"&amp;"A"</f>
        <v>#VALUE!</v>
      </c>
      <c r="B768" s="359">
        <f>ROUND(AK59,0)</f>
        <v>957</v>
      </c>
      <c r="C768" s="364">
        <f>ROUND(AK60,2)</f>
        <v>0.94</v>
      </c>
      <c r="D768" s="359">
        <f>ROUND(AK61,0)</f>
        <v>20163</v>
      </c>
      <c r="E768" s="359">
        <f>ROUND(AK62,0)</f>
        <v>3979</v>
      </c>
      <c r="F768" s="359">
        <f>ROUND(AK63,0)</f>
        <v>0</v>
      </c>
      <c r="G768" s="359">
        <f>ROUND(AK64,0)</f>
        <v>1343</v>
      </c>
      <c r="H768" s="359">
        <f>ROUND(AK65,0)</f>
        <v>52</v>
      </c>
      <c r="I768" s="359">
        <f>ROUND(AK66,0)</f>
        <v>0</v>
      </c>
      <c r="J768" s="359">
        <f>ROUND(AK67,0)</f>
        <v>0</v>
      </c>
      <c r="K768" s="359">
        <f>ROUND(AK68,0)</f>
        <v>1</v>
      </c>
      <c r="L768" s="359">
        <f>ROUND(AK69,0)</f>
        <v>11120</v>
      </c>
      <c r="M768" s="359">
        <f>ROUND(AK70,0)</f>
        <v>0</v>
      </c>
      <c r="N768" s="359">
        <f>ROUND(AK75,0)</f>
        <v>264513</v>
      </c>
      <c r="O768" s="359">
        <f>ROUND(AK73,0)</f>
        <v>97840</v>
      </c>
      <c r="P768" s="359">
        <f>IF(AK76&gt;0,ROUND(AK76,0),0)</f>
        <v>0</v>
      </c>
      <c r="Q768" s="359">
        <f>IF(AK77&gt;0,ROUND(AK77,0),0)</f>
        <v>0</v>
      </c>
      <c r="R768" s="359">
        <f>IF(AK78&gt;0,ROUND(AK78,0),0)</f>
        <v>0</v>
      </c>
      <c r="S768" s="359">
        <f>IF(AK79&gt;0,ROUND(AK79,0),0)</f>
        <v>0</v>
      </c>
      <c r="T768" s="364">
        <f>IF(AK80&gt;0,ROUND(AK80,2),0)</f>
        <v>0.67</v>
      </c>
      <c r="U768" s="359"/>
      <c r="V768" s="362"/>
      <c r="W768" s="359"/>
      <c r="X768" s="359"/>
      <c r="Y768" s="359">
        <f t="shared" si="22"/>
        <v>14167</v>
      </c>
      <c r="Z768" s="362"/>
      <c r="AA768" s="362"/>
      <c r="AB768" s="362"/>
      <c r="AC768" s="362"/>
      <c r="AD768" s="362"/>
      <c r="AE768" s="362"/>
      <c r="AF768" s="362"/>
      <c r="AG768" s="362"/>
      <c r="AH768" s="362"/>
      <c r="AI768" s="362"/>
      <c r="AJ768" s="362"/>
      <c r="AK768" s="362"/>
      <c r="AL768" s="362"/>
      <c r="AM768" s="362"/>
      <c r="AN768" s="362"/>
      <c r="AO768" s="362"/>
      <c r="AP768" s="362"/>
      <c r="AQ768" s="362"/>
      <c r="AR768" s="362"/>
      <c r="AS768" s="362"/>
      <c r="AT768" s="362"/>
      <c r="AU768" s="362"/>
      <c r="AV768" s="362"/>
      <c r="AW768" s="362"/>
      <c r="AX768" s="362"/>
      <c r="AY768" s="362"/>
      <c r="AZ768" s="362"/>
      <c r="BA768" s="362"/>
      <c r="BB768" s="362"/>
      <c r="BC768" s="362"/>
      <c r="BD768" s="362"/>
      <c r="BE768" s="362"/>
      <c r="BF768" s="362"/>
      <c r="BG768" s="362"/>
      <c r="BH768" s="362"/>
      <c r="BI768" s="362"/>
      <c r="BJ768" s="362"/>
      <c r="BK768" s="362"/>
      <c r="BL768" s="362"/>
      <c r="BM768" s="362"/>
      <c r="BN768" s="362"/>
      <c r="BO768" s="362"/>
      <c r="BP768" s="362"/>
      <c r="BQ768" s="362"/>
      <c r="BR768" s="362"/>
      <c r="BS768" s="362"/>
      <c r="BT768" s="362"/>
      <c r="BU768" s="362"/>
      <c r="BV768" s="362"/>
      <c r="BW768" s="362"/>
      <c r="BX768" s="362"/>
      <c r="BY768" s="362"/>
      <c r="BZ768" s="362"/>
      <c r="CA768" s="362"/>
      <c r="CB768" s="362"/>
      <c r="CC768" s="362"/>
      <c r="CD768" s="362"/>
      <c r="CE768" s="362"/>
    </row>
    <row r="769" spans="1:83" ht="12.65" customHeight="1">
      <c r="A769" s="363" t="e">
        <f>RIGHT($C$83,3)&amp;"*"&amp;RIGHT($C$82,4)&amp;"*"&amp;AL$55&amp;"*"&amp;"A"</f>
        <v>#VALUE!</v>
      </c>
      <c r="B769" s="359">
        <f>ROUND(AL59,0)</f>
        <v>0</v>
      </c>
      <c r="C769" s="364">
        <f>ROUND(AL60,2)</f>
        <v>0</v>
      </c>
      <c r="D769" s="359">
        <f>ROUND(AL61,0)</f>
        <v>0</v>
      </c>
      <c r="E769" s="359">
        <f>ROUND(AL62,0)</f>
        <v>0</v>
      </c>
      <c r="F769" s="359">
        <f>ROUND(AL63,0)</f>
        <v>0</v>
      </c>
      <c r="G769" s="359">
        <f>ROUND(AL64,0)</f>
        <v>0</v>
      </c>
      <c r="H769" s="359">
        <f>ROUND(AL65,0)</f>
        <v>0</v>
      </c>
      <c r="I769" s="359">
        <f>ROUND(AL66,0)</f>
        <v>0</v>
      </c>
      <c r="J769" s="359">
        <f>ROUND(AL67,0)</f>
        <v>0</v>
      </c>
      <c r="K769" s="359">
        <f>ROUND(AL68,0)</f>
        <v>0</v>
      </c>
      <c r="L769" s="359">
        <f>ROUND(AL69,0)</f>
        <v>0</v>
      </c>
      <c r="M769" s="359">
        <f>ROUND(AL70,0)</f>
        <v>0</v>
      </c>
      <c r="N769" s="359">
        <f>ROUND(AL75,0)</f>
        <v>0</v>
      </c>
      <c r="O769" s="359">
        <f>ROUND(AL73,0)</f>
        <v>0</v>
      </c>
      <c r="P769" s="359">
        <f>IF(AL76&gt;0,ROUND(AL76,0),0)</f>
        <v>0</v>
      </c>
      <c r="Q769" s="359">
        <f>IF(AL77&gt;0,ROUND(AL77,0),0)</f>
        <v>0</v>
      </c>
      <c r="R769" s="359">
        <f>IF(AL78&gt;0,ROUND(AL78,0),0)</f>
        <v>0</v>
      </c>
      <c r="S769" s="359">
        <f>IF(AL79&gt;0,ROUND(AL79,0),0)</f>
        <v>0</v>
      </c>
      <c r="T769" s="364">
        <f>IF(AL80&gt;0,ROUND(AL80,2),0)</f>
        <v>0</v>
      </c>
      <c r="U769" s="359"/>
      <c r="V769" s="362"/>
      <c r="W769" s="359"/>
      <c r="X769" s="359"/>
      <c r="Y769" s="359">
        <f t="shared" si="22"/>
        <v>0</v>
      </c>
      <c r="Z769" s="362"/>
      <c r="AA769" s="362"/>
      <c r="AB769" s="362"/>
      <c r="AC769" s="362"/>
      <c r="AD769" s="362"/>
      <c r="AE769" s="362"/>
      <c r="AF769" s="362"/>
      <c r="AG769" s="362"/>
      <c r="AH769" s="362"/>
      <c r="AI769" s="362"/>
      <c r="AJ769" s="362"/>
      <c r="AK769" s="362"/>
      <c r="AL769" s="362"/>
      <c r="AM769" s="362"/>
      <c r="AN769" s="362"/>
      <c r="AO769" s="362"/>
      <c r="AP769" s="362"/>
      <c r="AQ769" s="362"/>
      <c r="AR769" s="362"/>
      <c r="AS769" s="362"/>
      <c r="AT769" s="362"/>
      <c r="AU769" s="362"/>
      <c r="AV769" s="362"/>
      <c r="AW769" s="362"/>
      <c r="AX769" s="362"/>
      <c r="AY769" s="362"/>
      <c r="AZ769" s="362"/>
      <c r="BA769" s="362"/>
      <c r="BB769" s="362"/>
      <c r="BC769" s="362"/>
      <c r="BD769" s="362"/>
      <c r="BE769" s="362"/>
      <c r="BF769" s="362"/>
      <c r="BG769" s="362"/>
      <c r="BH769" s="362"/>
      <c r="BI769" s="362"/>
      <c r="BJ769" s="362"/>
      <c r="BK769" s="362"/>
      <c r="BL769" s="362"/>
      <c r="BM769" s="362"/>
      <c r="BN769" s="362"/>
      <c r="BO769" s="362"/>
      <c r="BP769" s="362"/>
      <c r="BQ769" s="362"/>
      <c r="BR769" s="362"/>
      <c r="BS769" s="362"/>
      <c r="BT769" s="362"/>
      <c r="BU769" s="362"/>
      <c r="BV769" s="362"/>
      <c r="BW769" s="362"/>
      <c r="BX769" s="362"/>
      <c r="BY769" s="362"/>
      <c r="BZ769" s="362"/>
      <c r="CA769" s="362"/>
      <c r="CB769" s="362"/>
      <c r="CC769" s="362"/>
      <c r="CD769" s="362"/>
      <c r="CE769" s="362"/>
    </row>
    <row r="770" spans="1:83" ht="12.65" customHeight="1">
      <c r="A770" s="363" t="e">
        <f>RIGHT($C$83,3)&amp;"*"&amp;RIGHT($C$82,4)&amp;"*"&amp;AM$55&amp;"*"&amp;"A"</f>
        <v>#VALUE!</v>
      </c>
      <c r="B770" s="359">
        <f>ROUND(AM59,0)</f>
        <v>0</v>
      </c>
      <c r="C770" s="364">
        <f>ROUND(AM60,2)</f>
        <v>0</v>
      </c>
      <c r="D770" s="359">
        <f>ROUND(AM61,0)</f>
        <v>0</v>
      </c>
      <c r="E770" s="359">
        <f>ROUND(AM62,0)</f>
        <v>0</v>
      </c>
      <c r="F770" s="359">
        <f>ROUND(AM63,0)</f>
        <v>0</v>
      </c>
      <c r="G770" s="359">
        <f>ROUND(AM64,0)</f>
        <v>0</v>
      </c>
      <c r="H770" s="359">
        <f>ROUND(AM65,0)</f>
        <v>0</v>
      </c>
      <c r="I770" s="359">
        <f>ROUND(AM66,0)</f>
        <v>0</v>
      </c>
      <c r="J770" s="359">
        <f>ROUND(AM67,0)</f>
        <v>0</v>
      </c>
      <c r="K770" s="359">
        <f>ROUND(AM68,0)</f>
        <v>0</v>
      </c>
      <c r="L770" s="359">
        <f>ROUND(AM69,0)</f>
        <v>0</v>
      </c>
      <c r="M770" s="359">
        <f>ROUND(AM70,0)</f>
        <v>0</v>
      </c>
      <c r="N770" s="359">
        <f>ROUND(AM75,0)</f>
        <v>0</v>
      </c>
      <c r="O770" s="359">
        <f>ROUND(AM73,0)</f>
        <v>0</v>
      </c>
      <c r="P770" s="359">
        <f>IF(AM76&gt;0,ROUND(AM76,0),0)</f>
        <v>0</v>
      </c>
      <c r="Q770" s="359">
        <f>IF(AM77&gt;0,ROUND(AM77,0),0)</f>
        <v>0</v>
      </c>
      <c r="R770" s="359">
        <f>IF(AM78&gt;0,ROUND(AM78,0),0)</f>
        <v>0</v>
      </c>
      <c r="S770" s="359">
        <f>IF(AM79&gt;0,ROUND(AM79,0),0)</f>
        <v>0</v>
      </c>
      <c r="T770" s="364">
        <f>IF(AM80&gt;0,ROUND(AM80,2),0)</f>
        <v>0</v>
      </c>
      <c r="U770" s="359"/>
      <c r="V770" s="362"/>
      <c r="W770" s="359"/>
      <c r="X770" s="359"/>
      <c r="Y770" s="359">
        <f t="shared" si="22"/>
        <v>0</v>
      </c>
      <c r="Z770" s="362"/>
      <c r="AA770" s="362"/>
      <c r="AB770" s="362"/>
      <c r="AC770" s="362"/>
      <c r="AD770" s="362"/>
      <c r="AE770" s="362"/>
      <c r="AF770" s="362"/>
      <c r="AG770" s="362"/>
      <c r="AH770" s="362"/>
      <c r="AI770" s="362"/>
      <c r="AJ770" s="362"/>
      <c r="AK770" s="362"/>
      <c r="AL770" s="362"/>
      <c r="AM770" s="362"/>
      <c r="AN770" s="362"/>
      <c r="AO770" s="362"/>
      <c r="AP770" s="362"/>
      <c r="AQ770" s="362"/>
      <c r="AR770" s="362"/>
      <c r="AS770" s="362"/>
      <c r="AT770" s="362"/>
      <c r="AU770" s="362"/>
      <c r="AV770" s="362"/>
      <c r="AW770" s="362"/>
      <c r="AX770" s="362"/>
      <c r="AY770" s="362"/>
      <c r="AZ770" s="362"/>
      <c r="BA770" s="362"/>
      <c r="BB770" s="362"/>
      <c r="BC770" s="362"/>
      <c r="BD770" s="362"/>
      <c r="BE770" s="362"/>
      <c r="BF770" s="362"/>
      <c r="BG770" s="362"/>
      <c r="BH770" s="362"/>
      <c r="BI770" s="362"/>
      <c r="BJ770" s="362"/>
      <c r="BK770" s="362"/>
      <c r="BL770" s="362"/>
      <c r="BM770" s="362"/>
      <c r="BN770" s="362"/>
      <c r="BO770" s="362"/>
      <c r="BP770" s="362"/>
      <c r="BQ770" s="362"/>
      <c r="BR770" s="362"/>
      <c r="BS770" s="362"/>
      <c r="BT770" s="362"/>
      <c r="BU770" s="362"/>
      <c r="BV770" s="362"/>
      <c r="BW770" s="362"/>
      <c r="BX770" s="362"/>
      <c r="BY770" s="362"/>
      <c r="BZ770" s="362"/>
      <c r="CA770" s="362"/>
      <c r="CB770" s="362"/>
      <c r="CC770" s="362"/>
      <c r="CD770" s="362"/>
      <c r="CE770" s="362"/>
    </row>
    <row r="771" spans="1:83" ht="12.65" customHeight="1">
      <c r="A771" s="363" t="e">
        <f>RIGHT($C$83,3)&amp;"*"&amp;RIGHT($C$82,4)&amp;"*"&amp;AN$55&amp;"*"&amp;"A"</f>
        <v>#VALUE!</v>
      </c>
      <c r="B771" s="359">
        <f>ROUND(AN59,0)</f>
        <v>0</v>
      </c>
      <c r="C771" s="364">
        <f>ROUND(AN60,2)</f>
        <v>0</v>
      </c>
      <c r="D771" s="359">
        <f>ROUND(AN61,0)</f>
        <v>0</v>
      </c>
      <c r="E771" s="359">
        <f>ROUND(AN62,0)</f>
        <v>0</v>
      </c>
      <c r="F771" s="359">
        <f>ROUND(AN63,0)</f>
        <v>0</v>
      </c>
      <c r="G771" s="359">
        <f>ROUND(AN64,0)</f>
        <v>0</v>
      </c>
      <c r="H771" s="359">
        <f>ROUND(AN65,0)</f>
        <v>0</v>
      </c>
      <c r="I771" s="359">
        <f>ROUND(AN66,0)</f>
        <v>0</v>
      </c>
      <c r="J771" s="359">
        <f>ROUND(AN67,0)</f>
        <v>0</v>
      </c>
      <c r="K771" s="359">
        <f>ROUND(AN68,0)</f>
        <v>0</v>
      </c>
      <c r="L771" s="359">
        <f>ROUND(AN69,0)</f>
        <v>0</v>
      </c>
      <c r="M771" s="359">
        <f>ROUND(AN70,0)</f>
        <v>0</v>
      </c>
      <c r="N771" s="359">
        <f>ROUND(AN75,0)</f>
        <v>0</v>
      </c>
      <c r="O771" s="359">
        <f>ROUND(AN73,0)</f>
        <v>0</v>
      </c>
      <c r="P771" s="359">
        <f>IF(AN76&gt;0,ROUND(AN76,0),0)</f>
        <v>0</v>
      </c>
      <c r="Q771" s="359">
        <f>IF(AN77&gt;0,ROUND(AN77,0),0)</f>
        <v>0</v>
      </c>
      <c r="R771" s="359">
        <f>IF(AN78&gt;0,ROUND(AN78,0),0)</f>
        <v>0</v>
      </c>
      <c r="S771" s="359">
        <f>IF(AN79&gt;0,ROUND(AN79,0),0)</f>
        <v>0</v>
      </c>
      <c r="T771" s="364">
        <f>IF(AN80&gt;0,ROUND(AN80,2),0)</f>
        <v>0</v>
      </c>
      <c r="U771" s="359"/>
      <c r="V771" s="362"/>
      <c r="W771" s="359"/>
      <c r="X771" s="359"/>
      <c r="Y771" s="359">
        <f t="shared" si="22"/>
        <v>0</v>
      </c>
      <c r="Z771" s="362"/>
      <c r="AA771" s="362"/>
      <c r="AB771" s="362"/>
      <c r="AC771" s="362"/>
      <c r="AD771" s="362"/>
      <c r="AE771" s="362"/>
      <c r="AF771" s="362"/>
      <c r="AG771" s="362"/>
      <c r="AH771" s="362"/>
      <c r="AI771" s="362"/>
      <c r="AJ771" s="362"/>
      <c r="AK771" s="362"/>
      <c r="AL771" s="362"/>
      <c r="AM771" s="362"/>
      <c r="AN771" s="362"/>
      <c r="AO771" s="362"/>
      <c r="AP771" s="362"/>
      <c r="AQ771" s="362"/>
      <c r="AR771" s="362"/>
      <c r="AS771" s="362"/>
      <c r="AT771" s="362"/>
      <c r="AU771" s="362"/>
      <c r="AV771" s="362"/>
      <c r="AW771" s="362"/>
      <c r="AX771" s="362"/>
      <c r="AY771" s="362"/>
      <c r="AZ771" s="362"/>
      <c r="BA771" s="362"/>
      <c r="BB771" s="362"/>
      <c r="BC771" s="362"/>
      <c r="BD771" s="362"/>
      <c r="BE771" s="362"/>
      <c r="BF771" s="362"/>
      <c r="BG771" s="362"/>
      <c r="BH771" s="362"/>
      <c r="BI771" s="362"/>
      <c r="BJ771" s="362"/>
      <c r="BK771" s="362"/>
      <c r="BL771" s="362"/>
      <c r="BM771" s="362"/>
      <c r="BN771" s="362"/>
      <c r="BO771" s="362"/>
      <c r="BP771" s="362"/>
      <c r="BQ771" s="362"/>
      <c r="BR771" s="362"/>
      <c r="BS771" s="362"/>
      <c r="BT771" s="362"/>
      <c r="BU771" s="362"/>
      <c r="BV771" s="362"/>
      <c r="BW771" s="362"/>
      <c r="BX771" s="362"/>
      <c r="BY771" s="362"/>
      <c r="BZ771" s="362"/>
      <c r="CA771" s="362"/>
      <c r="CB771" s="362"/>
      <c r="CC771" s="362"/>
      <c r="CD771" s="362"/>
      <c r="CE771" s="362"/>
    </row>
    <row r="772" spans="1:83" ht="12.65" customHeight="1">
      <c r="A772" s="363" t="e">
        <f>RIGHT($C$83,3)&amp;"*"&amp;RIGHT($C$82,4)&amp;"*"&amp;AO$55&amp;"*"&amp;"A"</f>
        <v>#VALUE!</v>
      </c>
      <c r="B772" s="359">
        <f>ROUND(AO59,0)</f>
        <v>0</v>
      </c>
      <c r="C772" s="364">
        <f>ROUND(AO60,2)</f>
        <v>0</v>
      </c>
      <c r="D772" s="359">
        <f>ROUND(AO61,0)</f>
        <v>0</v>
      </c>
      <c r="E772" s="359">
        <f>ROUND(AO62,0)</f>
        <v>0</v>
      </c>
      <c r="F772" s="359">
        <f>ROUND(AO63,0)</f>
        <v>0</v>
      </c>
      <c r="G772" s="359">
        <f>ROUND(AO64,0)</f>
        <v>0</v>
      </c>
      <c r="H772" s="359">
        <f>ROUND(AO65,0)</f>
        <v>0</v>
      </c>
      <c r="I772" s="359">
        <f>ROUND(AO66,0)</f>
        <v>0</v>
      </c>
      <c r="J772" s="359">
        <f>ROUND(AO67,0)</f>
        <v>0</v>
      </c>
      <c r="K772" s="359">
        <f>ROUND(AO68,0)</f>
        <v>0</v>
      </c>
      <c r="L772" s="359">
        <f>ROUND(AO69,0)</f>
        <v>0</v>
      </c>
      <c r="M772" s="359">
        <f>ROUND(AO70,0)</f>
        <v>0</v>
      </c>
      <c r="N772" s="359">
        <f>ROUND(AO75,0)</f>
        <v>0</v>
      </c>
      <c r="O772" s="359">
        <f>ROUND(AO73,0)</f>
        <v>0</v>
      </c>
      <c r="P772" s="359">
        <f>IF(AO76&gt;0,ROUND(AO76,0),0)</f>
        <v>0</v>
      </c>
      <c r="Q772" s="359">
        <f>IF(AO77&gt;0,ROUND(AO77,0),0)</f>
        <v>0</v>
      </c>
      <c r="R772" s="359">
        <f>IF(AO78&gt;0,ROUND(AO78,0),0)</f>
        <v>0</v>
      </c>
      <c r="S772" s="359">
        <f>IF(AO79&gt;0,ROUND(AO79,0),0)</f>
        <v>0</v>
      </c>
      <c r="T772" s="364">
        <f>IF(AO80&gt;0,ROUND(AO80,2),0)</f>
        <v>0</v>
      </c>
      <c r="U772" s="359"/>
      <c r="V772" s="362"/>
      <c r="W772" s="359"/>
      <c r="X772" s="359"/>
      <c r="Y772" s="359">
        <f t="shared" si="22"/>
        <v>0</v>
      </c>
      <c r="Z772" s="362"/>
      <c r="AA772" s="362"/>
      <c r="AB772" s="362"/>
      <c r="AC772" s="362"/>
      <c r="AD772" s="362"/>
      <c r="AE772" s="362"/>
      <c r="AF772" s="362"/>
      <c r="AG772" s="362"/>
      <c r="AH772" s="362"/>
      <c r="AI772" s="362"/>
      <c r="AJ772" s="362"/>
      <c r="AK772" s="362"/>
      <c r="AL772" s="362"/>
      <c r="AM772" s="362"/>
      <c r="AN772" s="362"/>
      <c r="AO772" s="362"/>
      <c r="AP772" s="362"/>
      <c r="AQ772" s="362"/>
      <c r="AR772" s="362"/>
      <c r="AS772" s="362"/>
      <c r="AT772" s="362"/>
      <c r="AU772" s="362"/>
      <c r="AV772" s="362"/>
      <c r="AW772" s="362"/>
      <c r="AX772" s="362"/>
      <c r="AY772" s="362"/>
      <c r="AZ772" s="362"/>
      <c r="BA772" s="362"/>
      <c r="BB772" s="362"/>
      <c r="BC772" s="362"/>
      <c r="BD772" s="362"/>
      <c r="BE772" s="362"/>
      <c r="BF772" s="362"/>
      <c r="BG772" s="362"/>
      <c r="BH772" s="362"/>
      <c r="BI772" s="362"/>
      <c r="BJ772" s="362"/>
      <c r="BK772" s="362"/>
      <c r="BL772" s="362"/>
      <c r="BM772" s="362"/>
      <c r="BN772" s="362"/>
      <c r="BO772" s="362"/>
      <c r="BP772" s="362"/>
      <c r="BQ772" s="362"/>
      <c r="BR772" s="362"/>
      <c r="BS772" s="362"/>
      <c r="BT772" s="362"/>
      <c r="BU772" s="362"/>
      <c r="BV772" s="362"/>
      <c r="BW772" s="362"/>
      <c r="BX772" s="362"/>
      <c r="BY772" s="362"/>
      <c r="BZ772" s="362"/>
      <c r="CA772" s="362"/>
      <c r="CB772" s="362"/>
      <c r="CC772" s="362"/>
      <c r="CD772" s="362"/>
      <c r="CE772" s="362"/>
    </row>
    <row r="773" spans="1:83" ht="12.65" customHeight="1">
      <c r="A773" s="363" t="e">
        <f>RIGHT($C$83,3)&amp;"*"&amp;RIGHT($C$82,4)&amp;"*"&amp;AP$55&amp;"*"&amp;"A"</f>
        <v>#VALUE!</v>
      </c>
      <c r="B773" s="359">
        <f>ROUND(AP59,0)</f>
        <v>0</v>
      </c>
      <c r="C773" s="364">
        <f>ROUND(AP60,2)</f>
        <v>0</v>
      </c>
      <c r="D773" s="359">
        <f>ROUND(AP61,0)</f>
        <v>0</v>
      </c>
      <c r="E773" s="359">
        <f>ROUND(AP62,0)</f>
        <v>0</v>
      </c>
      <c r="F773" s="359">
        <f>ROUND(AP63,0)</f>
        <v>0</v>
      </c>
      <c r="G773" s="359">
        <f>ROUND(AP64,0)</f>
        <v>0</v>
      </c>
      <c r="H773" s="359">
        <f>ROUND(AP65,0)</f>
        <v>0</v>
      </c>
      <c r="I773" s="359">
        <f>ROUND(AP66,0)</f>
        <v>0</v>
      </c>
      <c r="J773" s="359">
        <f>ROUND(AP67,0)</f>
        <v>0</v>
      </c>
      <c r="K773" s="359">
        <f>ROUND(AP68,0)</f>
        <v>0</v>
      </c>
      <c r="L773" s="359">
        <f>ROUND(AP69,0)</f>
        <v>0</v>
      </c>
      <c r="M773" s="359">
        <f>ROUND(AP70,0)</f>
        <v>0</v>
      </c>
      <c r="N773" s="359">
        <f>ROUND(AP75,0)</f>
        <v>0</v>
      </c>
      <c r="O773" s="359">
        <f>ROUND(AP73,0)</f>
        <v>0</v>
      </c>
      <c r="P773" s="359">
        <f>IF(AP76&gt;0,ROUND(AP76,0),0)</f>
        <v>0</v>
      </c>
      <c r="Q773" s="359">
        <f>IF(AP77&gt;0,ROUND(AP77,0),0)</f>
        <v>0</v>
      </c>
      <c r="R773" s="359">
        <f>IF(AP78&gt;0,ROUND(AP78,0),0)</f>
        <v>0</v>
      </c>
      <c r="S773" s="359">
        <f>IF(AP79&gt;0,ROUND(AP79,0),0)</f>
        <v>0</v>
      </c>
      <c r="T773" s="364">
        <f>IF(AP80&gt;0,ROUND(AP80,2),0)</f>
        <v>0</v>
      </c>
      <c r="U773" s="359"/>
      <c r="V773" s="362"/>
      <c r="W773" s="359"/>
      <c r="X773" s="359"/>
      <c r="Y773" s="359">
        <f t="shared" si="22"/>
        <v>0</v>
      </c>
      <c r="Z773" s="362"/>
      <c r="AA773" s="362"/>
      <c r="AB773" s="362"/>
      <c r="AC773" s="362"/>
      <c r="AD773" s="362"/>
      <c r="AE773" s="362"/>
      <c r="AF773" s="362"/>
      <c r="AG773" s="362"/>
      <c r="AH773" s="362"/>
      <c r="AI773" s="362"/>
      <c r="AJ773" s="362"/>
      <c r="AK773" s="362"/>
      <c r="AL773" s="362"/>
      <c r="AM773" s="362"/>
      <c r="AN773" s="362"/>
      <c r="AO773" s="362"/>
      <c r="AP773" s="362"/>
      <c r="AQ773" s="362"/>
      <c r="AR773" s="362"/>
      <c r="AS773" s="362"/>
      <c r="AT773" s="362"/>
      <c r="AU773" s="362"/>
      <c r="AV773" s="362"/>
      <c r="AW773" s="362"/>
      <c r="AX773" s="362"/>
      <c r="AY773" s="362"/>
      <c r="AZ773" s="362"/>
      <c r="BA773" s="362"/>
      <c r="BB773" s="362"/>
      <c r="BC773" s="362"/>
      <c r="BD773" s="362"/>
      <c r="BE773" s="362"/>
      <c r="BF773" s="362"/>
      <c r="BG773" s="362"/>
      <c r="BH773" s="362"/>
      <c r="BI773" s="362"/>
      <c r="BJ773" s="362"/>
      <c r="BK773" s="362"/>
      <c r="BL773" s="362"/>
      <c r="BM773" s="362"/>
      <c r="BN773" s="362"/>
      <c r="BO773" s="362"/>
      <c r="BP773" s="362"/>
      <c r="BQ773" s="362"/>
      <c r="BR773" s="362"/>
      <c r="BS773" s="362"/>
      <c r="BT773" s="362"/>
      <c r="BU773" s="362"/>
      <c r="BV773" s="362"/>
      <c r="BW773" s="362"/>
      <c r="BX773" s="362"/>
      <c r="BY773" s="362"/>
      <c r="BZ773" s="362"/>
      <c r="CA773" s="362"/>
      <c r="CB773" s="362"/>
      <c r="CC773" s="362"/>
      <c r="CD773" s="362"/>
      <c r="CE773" s="362"/>
    </row>
    <row r="774" spans="1:83" ht="12.65" customHeight="1">
      <c r="A774" s="363" t="e">
        <f>RIGHT($C$83,3)&amp;"*"&amp;RIGHT($C$82,4)&amp;"*"&amp;AQ$55&amp;"*"&amp;"A"</f>
        <v>#VALUE!</v>
      </c>
      <c r="B774" s="359">
        <f>ROUND(AQ59,0)</f>
        <v>0</v>
      </c>
      <c r="C774" s="364">
        <f>ROUND(AQ60,2)</f>
        <v>0</v>
      </c>
      <c r="D774" s="359">
        <f>ROUND(AQ61,0)</f>
        <v>0</v>
      </c>
      <c r="E774" s="359">
        <f>ROUND(AQ62,0)</f>
        <v>0</v>
      </c>
      <c r="F774" s="359">
        <f>ROUND(AQ63,0)</f>
        <v>0</v>
      </c>
      <c r="G774" s="359">
        <f>ROUND(AQ64,0)</f>
        <v>0</v>
      </c>
      <c r="H774" s="359">
        <f>ROUND(AQ65,0)</f>
        <v>0</v>
      </c>
      <c r="I774" s="359">
        <f>ROUND(AQ66,0)</f>
        <v>0</v>
      </c>
      <c r="J774" s="359">
        <f>ROUND(AQ67,0)</f>
        <v>0</v>
      </c>
      <c r="K774" s="359">
        <f>ROUND(AQ68,0)</f>
        <v>0</v>
      </c>
      <c r="L774" s="359">
        <f>ROUND(AQ69,0)</f>
        <v>0</v>
      </c>
      <c r="M774" s="359">
        <f>ROUND(AQ70,0)</f>
        <v>0</v>
      </c>
      <c r="N774" s="359">
        <f>ROUND(AQ75,0)</f>
        <v>0</v>
      </c>
      <c r="O774" s="359">
        <f>ROUND(AQ73,0)</f>
        <v>0</v>
      </c>
      <c r="P774" s="359">
        <f>IF(AQ76&gt;0,ROUND(AQ76,0),0)</f>
        <v>0</v>
      </c>
      <c r="Q774" s="359">
        <f>IF(AQ77&gt;0,ROUND(AQ77,0),0)</f>
        <v>0</v>
      </c>
      <c r="R774" s="359">
        <f>IF(AQ78&gt;0,ROUND(AQ78,0),0)</f>
        <v>0</v>
      </c>
      <c r="S774" s="359">
        <f>IF(AQ79&gt;0,ROUND(AQ79,0),0)</f>
        <v>0</v>
      </c>
      <c r="T774" s="364">
        <f>IF(AQ80&gt;0,ROUND(AQ80,2),0)</f>
        <v>0</v>
      </c>
      <c r="U774" s="359"/>
      <c r="V774" s="362"/>
      <c r="W774" s="359"/>
      <c r="X774" s="359"/>
      <c r="Y774" s="359">
        <f t="shared" si="22"/>
        <v>0</v>
      </c>
      <c r="Z774" s="362"/>
      <c r="AA774" s="362"/>
      <c r="AB774" s="362"/>
      <c r="AC774" s="362"/>
      <c r="AD774" s="362"/>
      <c r="AE774" s="362"/>
      <c r="AF774" s="362"/>
      <c r="AG774" s="362"/>
      <c r="AH774" s="362"/>
      <c r="AI774" s="362"/>
      <c r="AJ774" s="362"/>
      <c r="AK774" s="362"/>
      <c r="AL774" s="362"/>
      <c r="AM774" s="362"/>
      <c r="AN774" s="362"/>
      <c r="AO774" s="362"/>
      <c r="AP774" s="362"/>
      <c r="AQ774" s="362"/>
      <c r="AR774" s="362"/>
      <c r="AS774" s="362"/>
      <c r="AT774" s="362"/>
      <c r="AU774" s="362"/>
      <c r="AV774" s="362"/>
      <c r="AW774" s="362"/>
      <c r="AX774" s="362"/>
      <c r="AY774" s="362"/>
      <c r="AZ774" s="362"/>
      <c r="BA774" s="362"/>
      <c r="BB774" s="362"/>
      <c r="BC774" s="362"/>
      <c r="BD774" s="362"/>
      <c r="BE774" s="362"/>
      <c r="BF774" s="362"/>
      <c r="BG774" s="362"/>
      <c r="BH774" s="362"/>
      <c r="BI774" s="362"/>
      <c r="BJ774" s="362"/>
      <c r="BK774" s="362"/>
      <c r="BL774" s="362"/>
      <c r="BM774" s="362"/>
      <c r="BN774" s="362"/>
      <c r="BO774" s="362"/>
      <c r="BP774" s="362"/>
      <c r="BQ774" s="362"/>
      <c r="BR774" s="362"/>
      <c r="BS774" s="362"/>
      <c r="BT774" s="362"/>
      <c r="BU774" s="362"/>
      <c r="BV774" s="362"/>
      <c r="BW774" s="362"/>
      <c r="BX774" s="362"/>
      <c r="BY774" s="362"/>
      <c r="BZ774" s="362"/>
      <c r="CA774" s="362"/>
      <c r="CB774" s="362"/>
      <c r="CC774" s="362"/>
      <c r="CD774" s="362"/>
      <c r="CE774" s="362"/>
    </row>
    <row r="775" spans="1:83" ht="12.65" customHeight="1">
      <c r="A775" s="363" t="e">
        <f>RIGHT($C$83,3)&amp;"*"&amp;RIGHT($C$82,4)&amp;"*"&amp;AR$55&amp;"*"&amp;"A"</f>
        <v>#VALUE!</v>
      </c>
      <c r="B775" s="359">
        <f>ROUND(AR59,0)</f>
        <v>0</v>
      </c>
      <c r="C775" s="364">
        <f>ROUND(AR60,2)</f>
        <v>0</v>
      </c>
      <c r="D775" s="359">
        <f>ROUND(AR61,0)</f>
        <v>0</v>
      </c>
      <c r="E775" s="359">
        <f>ROUND(AR62,0)</f>
        <v>0</v>
      </c>
      <c r="F775" s="359">
        <f>ROUND(AR63,0)</f>
        <v>0</v>
      </c>
      <c r="G775" s="359">
        <f>ROUND(AR64,0)</f>
        <v>0</v>
      </c>
      <c r="H775" s="359">
        <f>ROUND(AR65,0)</f>
        <v>0</v>
      </c>
      <c r="I775" s="359">
        <f>ROUND(AR66,0)</f>
        <v>0</v>
      </c>
      <c r="J775" s="359">
        <f>ROUND(AR67,0)</f>
        <v>0</v>
      </c>
      <c r="K775" s="359">
        <f>ROUND(AR68,0)</f>
        <v>0</v>
      </c>
      <c r="L775" s="359">
        <f>ROUND(AR69,0)</f>
        <v>0</v>
      </c>
      <c r="M775" s="359">
        <f>ROUND(AR70,0)</f>
        <v>0</v>
      </c>
      <c r="N775" s="359">
        <f>ROUND(AR75,0)</f>
        <v>0</v>
      </c>
      <c r="O775" s="359">
        <f>ROUND(AR73,0)</f>
        <v>0</v>
      </c>
      <c r="P775" s="359">
        <f>IF(AR76&gt;0,ROUND(AR76,0),0)</f>
        <v>0</v>
      </c>
      <c r="Q775" s="359">
        <f>IF(AR77&gt;0,ROUND(AR77,0),0)</f>
        <v>0</v>
      </c>
      <c r="R775" s="359">
        <f>IF(AR78&gt;0,ROUND(AR78,0),0)</f>
        <v>0</v>
      </c>
      <c r="S775" s="359">
        <f>IF(AR79&gt;0,ROUND(AR79,0),0)</f>
        <v>0</v>
      </c>
      <c r="T775" s="364">
        <f>IF(AR80&gt;0,ROUND(AR80,2),0)</f>
        <v>0</v>
      </c>
      <c r="U775" s="359"/>
      <c r="V775" s="362"/>
      <c r="W775" s="359"/>
      <c r="X775" s="359"/>
      <c r="Y775" s="359">
        <f t="shared" si="22"/>
        <v>0</v>
      </c>
      <c r="Z775" s="362"/>
      <c r="AA775" s="362"/>
      <c r="AB775" s="362"/>
      <c r="AC775" s="362"/>
      <c r="AD775" s="362"/>
      <c r="AE775" s="362"/>
      <c r="AF775" s="362"/>
      <c r="AG775" s="362"/>
      <c r="AH775" s="362"/>
      <c r="AI775" s="362"/>
      <c r="AJ775" s="362"/>
      <c r="AK775" s="362"/>
      <c r="AL775" s="362"/>
      <c r="AM775" s="362"/>
      <c r="AN775" s="362"/>
      <c r="AO775" s="362"/>
      <c r="AP775" s="362"/>
      <c r="AQ775" s="362"/>
      <c r="AR775" s="362"/>
      <c r="AS775" s="362"/>
      <c r="AT775" s="362"/>
      <c r="AU775" s="362"/>
      <c r="AV775" s="362"/>
      <c r="AW775" s="362"/>
      <c r="AX775" s="362"/>
      <c r="AY775" s="362"/>
      <c r="AZ775" s="362"/>
      <c r="BA775" s="362"/>
      <c r="BB775" s="362"/>
      <c r="BC775" s="362"/>
      <c r="BD775" s="362"/>
      <c r="BE775" s="362"/>
      <c r="BF775" s="362"/>
      <c r="BG775" s="362"/>
      <c r="BH775" s="362"/>
      <c r="BI775" s="362"/>
      <c r="BJ775" s="362"/>
      <c r="BK775" s="362"/>
      <c r="BL775" s="362"/>
      <c r="BM775" s="362"/>
      <c r="BN775" s="362"/>
      <c r="BO775" s="362"/>
      <c r="BP775" s="362"/>
      <c r="BQ775" s="362"/>
      <c r="BR775" s="362"/>
      <c r="BS775" s="362"/>
      <c r="BT775" s="362"/>
      <c r="BU775" s="362"/>
      <c r="BV775" s="362"/>
      <c r="BW775" s="362"/>
      <c r="BX775" s="362"/>
      <c r="BY775" s="362"/>
      <c r="BZ775" s="362"/>
      <c r="CA775" s="362"/>
      <c r="CB775" s="362"/>
      <c r="CC775" s="362"/>
      <c r="CD775" s="362"/>
      <c r="CE775" s="362"/>
    </row>
    <row r="776" spans="1:83" ht="12.65" customHeight="1">
      <c r="A776" s="363" t="e">
        <f>RIGHT($C$83,3)&amp;"*"&amp;RIGHT($C$82,4)&amp;"*"&amp;AS$55&amp;"*"&amp;"A"</f>
        <v>#VALUE!</v>
      </c>
      <c r="B776" s="359">
        <f>ROUND(AS59,0)</f>
        <v>0</v>
      </c>
      <c r="C776" s="364">
        <f>ROUND(AS60,2)</f>
        <v>0</v>
      </c>
      <c r="D776" s="359">
        <f>ROUND(AS61,0)</f>
        <v>0</v>
      </c>
      <c r="E776" s="359">
        <f>ROUND(AS62,0)</f>
        <v>0</v>
      </c>
      <c r="F776" s="359">
        <f>ROUND(AS63,0)</f>
        <v>0</v>
      </c>
      <c r="G776" s="359">
        <f>ROUND(AS64,0)</f>
        <v>0</v>
      </c>
      <c r="H776" s="359">
        <f>ROUND(AS65,0)</f>
        <v>0</v>
      </c>
      <c r="I776" s="359">
        <f>ROUND(AS66,0)</f>
        <v>0</v>
      </c>
      <c r="J776" s="359">
        <f>ROUND(AS67,0)</f>
        <v>0</v>
      </c>
      <c r="K776" s="359">
        <f>ROUND(AS68,0)</f>
        <v>0</v>
      </c>
      <c r="L776" s="359">
        <f>ROUND(AS69,0)</f>
        <v>0</v>
      </c>
      <c r="M776" s="359">
        <f>ROUND(AS70,0)</f>
        <v>0</v>
      </c>
      <c r="N776" s="359">
        <f>ROUND(AS75,0)</f>
        <v>0</v>
      </c>
      <c r="O776" s="359">
        <f>ROUND(AS73,0)</f>
        <v>0</v>
      </c>
      <c r="P776" s="359">
        <f>IF(AS76&gt;0,ROUND(AS76,0),0)</f>
        <v>0</v>
      </c>
      <c r="Q776" s="359">
        <f>IF(AS77&gt;0,ROUND(AS77,0),0)</f>
        <v>0</v>
      </c>
      <c r="R776" s="359">
        <f>IF(AS78&gt;0,ROUND(AS78,0),0)</f>
        <v>0</v>
      </c>
      <c r="S776" s="359">
        <f>IF(AS79&gt;0,ROUND(AS79,0),0)</f>
        <v>0</v>
      </c>
      <c r="T776" s="364">
        <f>IF(AS80&gt;0,ROUND(AS80,2),0)</f>
        <v>0</v>
      </c>
      <c r="U776" s="359"/>
      <c r="V776" s="362"/>
      <c r="W776" s="359"/>
      <c r="X776" s="359"/>
      <c r="Y776" s="359">
        <f t="shared" si="22"/>
        <v>0</v>
      </c>
      <c r="Z776" s="362"/>
      <c r="AA776" s="362"/>
      <c r="AB776" s="362"/>
      <c r="AC776" s="362"/>
      <c r="AD776" s="362"/>
      <c r="AE776" s="362"/>
      <c r="AF776" s="362"/>
      <c r="AG776" s="362"/>
      <c r="AH776" s="362"/>
      <c r="AI776" s="362"/>
      <c r="AJ776" s="362"/>
      <c r="AK776" s="362"/>
      <c r="AL776" s="362"/>
      <c r="AM776" s="362"/>
      <c r="AN776" s="362"/>
      <c r="AO776" s="362"/>
      <c r="AP776" s="362"/>
      <c r="AQ776" s="362"/>
      <c r="AR776" s="362"/>
      <c r="AS776" s="362"/>
      <c r="AT776" s="362"/>
      <c r="AU776" s="362"/>
      <c r="AV776" s="362"/>
      <c r="AW776" s="362"/>
      <c r="AX776" s="362"/>
      <c r="AY776" s="362"/>
      <c r="AZ776" s="362"/>
      <c r="BA776" s="362"/>
      <c r="BB776" s="362"/>
      <c r="BC776" s="362"/>
      <c r="BD776" s="362"/>
      <c r="BE776" s="362"/>
      <c r="BF776" s="362"/>
      <c r="BG776" s="362"/>
      <c r="BH776" s="362"/>
      <c r="BI776" s="362"/>
      <c r="BJ776" s="362"/>
      <c r="BK776" s="362"/>
      <c r="BL776" s="362"/>
      <c r="BM776" s="362"/>
      <c r="BN776" s="362"/>
      <c r="BO776" s="362"/>
      <c r="BP776" s="362"/>
      <c r="BQ776" s="362"/>
      <c r="BR776" s="362"/>
      <c r="BS776" s="362"/>
      <c r="BT776" s="362"/>
      <c r="BU776" s="362"/>
      <c r="BV776" s="362"/>
      <c r="BW776" s="362"/>
      <c r="BX776" s="362"/>
      <c r="BY776" s="362"/>
      <c r="BZ776" s="362"/>
      <c r="CA776" s="362"/>
      <c r="CB776" s="362"/>
      <c r="CC776" s="362"/>
      <c r="CD776" s="362"/>
      <c r="CE776" s="362"/>
    </row>
    <row r="777" spans="1:83" ht="12.65" customHeight="1">
      <c r="A777" s="363" t="e">
        <f>RIGHT($C$83,3)&amp;"*"&amp;RIGHT($C$82,4)&amp;"*"&amp;AT$55&amp;"*"&amp;"A"</f>
        <v>#VALUE!</v>
      </c>
      <c r="B777" s="359">
        <f>ROUND(AT59,0)</f>
        <v>0</v>
      </c>
      <c r="C777" s="364">
        <f>ROUND(AT60,2)</f>
        <v>0</v>
      </c>
      <c r="D777" s="359">
        <f>ROUND(AT61,0)</f>
        <v>0</v>
      </c>
      <c r="E777" s="359">
        <f>ROUND(AT62,0)</f>
        <v>0</v>
      </c>
      <c r="F777" s="359">
        <f>ROUND(AT63,0)</f>
        <v>0</v>
      </c>
      <c r="G777" s="359">
        <f>ROUND(AT64,0)</f>
        <v>0</v>
      </c>
      <c r="H777" s="359">
        <f>ROUND(AT65,0)</f>
        <v>0</v>
      </c>
      <c r="I777" s="359">
        <f>ROUND(AT66,0)</f>
        <v>0</v>
      </c>
      <c r="J777" s="359">
        <f>ROUND(AT67,0)</f>
        <v>0</v>
      </c>
      <c r="K777" s="359">
        <f>ROUND(AT68,0)</f>
        <v>0</v>
      </c>
      <c r="L777" s="359">
        <f>ROUND(AT69,0)</f>
        <v>0</v>
      </c>
      <c r="M777" s="359">
        <f>ROUND(AT70,0)</f>
        <v>0</v>
      </c>
      <c r="N777" s="359">
        <f>ROUND(AT75,0)</f>
        <v>0</v>
      </c>
      <c r="O777" s="359">
        <f>ROUND(AT73,0)</f>
        <v>0</v>
      </c>
      <c r="P777" s="359">
        <f>IF(AT76&gt;0,ROUND(AT76,0),0)</f>
        <v>0</v>
      </c>
      <c r="Q777" s="359">
        <f>IF(AT77&gt;0,ROUND(AT77,0),0)</f>
        <v>0</v>
      </c>
      <c r="R777" s="359">
        <f>IF(AT78&gt;0,ROUND(AT78,0),0)</f>
        <v>0</v>
      </c>
      <c r="S777" s="359">
        <f>IF(AT79&gt;0,ROUND(AT79,0),0)</f>
        <v>0</v>
      </c>
      <c r="T777" s="364">
        <f>IF(AT80&gt;0,ROUND(AT80,2),0)</f>
        <v>0</v>
      </c>
      <c r="U777" s="359"/>
      <c r="V777" s="362"/>
      <c r="W777" s="359"/>
      <c r="X777" s="359"/>
      <c r="Y777" s="359">
        <f t="shared" si="22"/>
        <v>0</v>
      </c>
      <c r="Z777" s="362"/>
      <c r="AA777" s="362"/>
      <c r="AB777" s="362"/>
      <c r="AC777" s="362"/>
      <c r="AD777" s="362"/>
      <c r="AE777" s="362"/>
      <c r="AF777" s="362"/>
      <c r="AG777" s="362"/>
      <c r="AH777" s="362"/>
      <c r="AI777" s="362"/>
      <c r="AJ777" s="362"/>
      <c r="AK777" s="362"/>
      <c r="AL777" s="362"/>
      <c r="AM777" s="362"/>
      <c r="AN777" s="362"/>
      <c r="AO777" s="362"/>
      <c r="AP777" s="362"/>
      <c r="AQ777" s="362"/>
      <c r="AR777" s="362"/>
      <c r="AS777" s="362"/>
      <c r="AT777" s="362"/>
      <c r="AU777" s="362"/>
      <c r="AV777" s="362"/>
      <c r="AW777" s="362"/>
      <c r="AX777" s="362"/>
      <c r="AY777" s="362"/>
      <c r="AZ777" s="362"/>
      <c r="BA777" s="362"/>
      <c r="BB777" s="362"/>
      <c r="BC777" s="362"/>
      <c r="BD777" s="362"/>
      <c r="BE777" s="362"/>
      <c r="BF777" s="362"/>
      <c r="BG777" s="362"/>
      <c r="BH777" s="362"/>
      <c r="BI777" s="362"/>
      <c r="BJ777" s="362"/>
      <c r="BK777" s="362"/>
      <c r="BL777" s="362"/>
      <c r="BM777" s="362"/>
      <c r="BN777" s="362"/>
      <c r="BO777" s="362"/>
      <c r="BP777" s="362"/>
      <c r="BQ777" s="362"/>
      <c r="BR777" s="362"/>
      <c r="BS777" s="362"/>
      <c r="BT777" s="362"/>
      <c r="BU777" s="362"/>
      <c r="BV777" s="362"/>
      <c r="BW777" s="362"/>
      <c r="BX777" s="362"/>
      <c r="BY777" s="362"/>
      <c r="BZ777" s="362"/>
      <c r="CA777" s="362"/>
      <c r="CB777" s="362"/>
      <c r="CC777" s="362"/>
      <c r="CD777" s="362"/>
      <c r="CE777" s="362"/>
    </row>
    <row r="778" spans="1:83" ht="12.65" customHeight="1">
      <c r="A778" s="363" t="e">
        <f>RIGHT($C$83,3)&amp;"*"&amp;RIGHT($C$82,4)&amp;"*"&amp;AU$55&amp;"*"&amp;"A"</f>
        <v>#VALUE!</v>
      </c>
      <c r="B778" s="359">
        <f>ROUND(AU59,0)</f>
        <v>0</v>
      </c>
      <c r="C778" s="364">
        <f>ROUND(AU60,2)</f>
        <v>0</v>
      </c>
      <c r="D778" s="359">
        <f>ROUND(AU61,0)</f>
        <v>0</v>
      </c>
      <c r="E778" s="359">
        <f>ROUND(AU62,0)</f>
        <v>0</v>
      </c>
      <c r="F778" s="359">
        <f>ROUND(AU63,0)</f>
        <v>0</v>
      </c>
      <c r="G778" s="359">
        <f>ROUND(AU64,0)</f>
        <v>0</v>
      </c>
      <c r="H778" s="359">
        <f>ROUND(AU65,0)</f>
        <v>0</v>
      </c>
      <c r="I778" s="359">
        <f>ROUND(AU66,0)</f>
        <v>0</v>
      </c>
      <c r="J778" s="359">
        <f>ROUND(AU67,0)</f>
        <v>0</v>
      </c>
      <c r="K778" s="359">
        <f>ROUND(AU68,0)</f>
        <v>0</v>
      </c>
      <c r="L778" s="359">
        <f>ROUND(AU69,0)</f>
        <v>0</v>
      </c>
      <c r="M778" s="359">
        <f>ROUND(AU70,0)</f>
        <v>0</v>
      </c>
      <c r="N778" s="359">
        <f>ROUND(AU75,0)</f>
        <v>0</v>
      </c>
      <c r="O778" s="359">
        <f>ROUND(AU73,0)</f>
        <v>0</v>
      </c>
      <c r="P778" s="359">
        <f>IF(AU76&gt;0,ROUND(AU76,0),0)</f>
        <v>0</v>
      </c>
      <c r="Q778" s="359">
        <f>IF(AU77&gt;0,ROUND(AU77,0),0)</f>
        <v>0</v>
      </c>
      <c r="R778" s="359">
        <f>IF(AU78&gt;0,ROUND(AU78,0),0)</f>
        <v>0</v>
      </c>
      <c r="S778" s="359">
        <f>IF(AU79&gt;0,ROUND(AU79,0),0)</f>
        <v>0</v>
      </c>
      <c r="T778" s="364">
        <f>IF(AU80&gt;0,ROUND(AU80,2),0)</f>
        <v>0</v>
      </c>
      <c r="U778" s="359"/>
      <c r="V778" s="362"/>
      <c r="W778" s="359"/>
      <c r="X778" s="359"/>
      <c r="Y778" s="359">
        <f t="shared" si="22"/>
        <v>0</v>
      </c>
      <c r="Z778" s="362"/>
      <c r="AA778" s="362"/>
      <c r="AB778" s="362"/>
      <c r="AC778" s="362"/>
      <c r="AD778" s="362"/>
      <c r="AE778" s="362"/>
      <c r="AF778" s="362"/>
      <c r="AG778" s="362"/>
      <c r="AH778" s="362"/>
      <c r="AI778" s="362"/>
      <c r="AJ778" s="362"/>
      <c r="AK778" s="362"/>
      <c r="AL778" s="362"/>
      <c r="AM778" s="362"/>
      <c r="AN778" s="362"/>
      <c r="AO778" s="362"/>
      <c r="AP778" s="362"/>
      <c r="AQ778" s="362"/>
      <c r="AR778" s="362"/>
      <c r="AS778" s="362"/>
      <c r="AT778" s="362"/>
      <c r="AU778" s="362"/>
      <c r="AV778" s="362"/>
      <c r="AW778" s="362"/>
      <c r="AX778" s="362"/>
      <c r="AY778" s="362"/>
      <c r="AZ778" s="362"/>
      <c r="BA778" s="362"/>
      <c r="BB778" s="362"/>
      <c r="BC778" s="362"/>
      <c r="BD778" s="362"/>
      <c r="BE778" s="362"/>
      <c r="BF778" s="362"/>
      <c r="BG778" s="362"/>
      <c r="BH778" s="362"/>
      <c r="BI778" s="362"/>
      <c r="BJ778" s="362"/>
      <c r="BK778" s="362"/>
      <c r="BL778" s="362"/>
      <c r="BM778" s="362"/>
      <c r="BN778" s="362"/>
      <c r="BO778" s="362"/>
      <c r="BP778" s="362"/>
      <c r="BQ778" s="362"/>
      <c r="BR778" s="362"/>
      <c r="BS778" s="362"/>
      <c r="BT778" s="362"/>
      <c r="BU778" s="362"/>
      <c r="BV778" s="362"/>
      <c r="BW778" s="362"/>
      <c r="BX778" s="362"/>
      <c r="BY778" s="362"/>
      <c r="BZ778" s="362"/>
      <c r="CA778" s="362"/>
      <c r="CB778" s="362"/>
      <c r="CC778" s="362"/>
      <c r="CD778" s="362"/>
      <c r="CE778" s="362"/>
    </row>
    <row r="779" spans="1:83" ht="12.65" customHeight="1">
      <c r="A779" s="363" t="e">
        <f>RIGHT($C$83,3)&amp;"*"&amp;RIGHT($C$82,4)&amp;"*"&amp;AV$55&amp;"*"&amp;"A"</f>
        <v>#VALUE!</v>
      </c>
      <c r="B779" s="359"/>
      <c r="C779" s="364">
        <f>ROUND(AV60,2)</f>
        <v>30.26</v>
      </c>
      <c r="D779" s="359">
        <f>ROUND(AV61,0)</f>
        <v>154108</v>
      </c>
      <c r="E779" s="359">
        <f>ROUND(AV62,0)</f>
        <v>28015</v>
      </c>
      <c r="F779" s="359">
        <f>ROUND(AV63,0)</f>
        <v>543210</v>
      </c>
      <c r="G779" s="359">
        <f>ROUND(AV64,0)</f>
        <v>10900</v>
      </c>
      <c r="H779" s="359">
        <f>ROUND(AV65,0)</f>
        <v>165</v>
      </c>
      <c r="I779" s="359">
        <f>ROUND(AV66,0)</f>
        <v>189250</v>
      </c>
      <c r="J779" s="359">
        <f>ROUND(AV67,0)</f>
        <v>0</v>
      </c>
      <c r="K779" s="359">
        <f>ROUND(AV68,0)</f>
        <v>3611</v>
      </c>
      <c r="L779" s="359">
        <f>ROUND(AV69,0)</f>
        <v>4952</v>
      </c>
      <c r="M779" s="359">
        <f>ROUND(AV70,0)</f>
        <v>0</v>
      </c>
      <c r="N779" s="359">
        <f>ROUND(AV75,0)</f>
        <v>17112784</v>
      </c>
      <c r="O779" s="359">
        <f>ROUND(AV73,0)</f>
        <v>7186636</v>
      </c>
      <c r="P779" s="359">
        <f>IF(AV76&gt;0,ROUND(AV76,0),0)</f>
        <v>0</v>
      </c>
      <c r="Q779" s="359">
        <f>IF(AV77&gt;0,ROUND(AV77,0),0)</f>
        <v>0</v>
      </c>
      <c r="R779" s="359">
        <f>IF(AV78&gt;0,ROUND(AV78,0),0)</f>
        <v>2941</v>
      </c>
      <c r="S779" s="359">
        <f>IF(AV79&gt;0,ROUND(AV79,0),0)</f>
        <v>345</v>
      </c>
      <c r="T779" s="364">
        <f>IF(AV80&gt;0,ROUND(AV80,2),0)</f>
        <v>131.51</v>
      </c>
      <c r="U779" s="359"/>
      <c r="V779" s="362"/>
      <c r="W779" s="359"/>
      <c r="X779" s="359"/>
      <c r="Y779" s="359">
        <f t="shared" si="22"/>
        <v>881790</v>
      </c>
      <c r="Z779" s="362"/>
      <c r="AA779" s="362"/>
      <c r="AB779" s="362"/>
      <c r="AC779" s="362"/>
      <c r="AD779" s="362"/>
      <c r="AE779" s="362"/>
      <c r="AF779" s="362"/>
      <c r="AG779" s="362"/>
      <c r="AH779" s="362"/>
      <c r="AI779" s="362"/>
      <c r="AJ779" s="362"/>
      <c r="AK779" s="362"/>
      <c r="AL779" s="362"/>
      <c r="AM779" s="362"/>
      <c r="AN779" s="362"/>
      <c r="AO779" s="362"/>
      <c r="AP779" s="362"/>
      <c r="AQ779" s="362"/>
      <c r="AR779" s="362"/>
      <c r="AS779" s="362"/>
      <c r="AT779" s="362"/>
      <c r="AU779" s="362"/>
      <c r="AV779" s="362"/>
      <c r="AW779" s="362"/>
      <c r="AX779" s="362"/>
      <c r="AY779" s="362"/>
      <c r="AZ779" s="362"/>
      <c r="BA779" s="362"/>
      <c r="BB779" s="362"/>
      <c r="BC779" s="362"/>
      <c r="BD779" s="362"/>
      <c r="BE779" s="362"/>
      <c r="BF779" s="362"/>
      <c r="BG779" s="362"/>
      <c r="BH779" s="362"/>
      <c r="BI779" s="362"/>
      <c r="BJ779" s="362"/>
      <c r="BK779" s="362"/>
      <c r="BL779" s="362"/>
      <c r="BM779" s="362"/>
      <c r="BN779" s="362"/>
      <c r="BO779" s="362"/>
      <c r="BP779" s="362"/>
      <c r="BQ779" s="362"/>
      <c r="BR779" s="362"/>
      <c r="BS779" s="362"/>
      <c r="BT779" s="362"/>
      <c r="BU779" s="362"/>
      <c r="BV779" s="362"/>
      <c r="BW779" s="362"/>
      <c r="BX779" s="362"/>
      <c r="BY779" s="362"/>
      <c r="BZ779" s="362"/>
      <c r="CA779" s="362"/>
      <c r="CB779" s="362"/>
      <c r="CC779" s="362"/>
      <c r="CD779" s="362"/>
      <c r="CE779" s="362"/>
    </row>
    <row r="780" spans="1:83" ht="12.65" customHeight="1">
      <c r="A780" s="363" t="e">
        <f>RIGHT($C$83,3)&amp;"*"&amp;RIGHT($C$82,4)&amp;"*"&amp;AW$55&amp;"*"&amp;"A"</f>
        <v>#VALUE!</v>
      </c>
      <c r="B780" s="359"/>
      <c r="C780" s="364">
        <f>ROUND(AW60,2)</f>
        <v>0</v>
      </c>
      <c r="D780" s="359">
        <f>ROUND(AW61,0)</f>
        <v>0</v>
      </c>
      <c r="E780" s="359">
        <f>ROUND(AW62,0)</f>
        <v>0</v>
      </c>
      <c r="F780" s="359">
        <f>ROUND(AW63,0)</f>
        <v>0</v>
      </c>
      <c r="G780" s="359">
        <f>ROUND(AW64,0)</f>
        <v>0</v>
      </c>
      <c r="H780" s="359">
        <f>ROUND(AW65,0)</f>
        <v>0</v>
      </c>
      <c r="I780" s="359">
        <f>ROUND(AW66,0)</f>
        <v>0</v>
      </c>
      <c r="J780" s="359">
        <f>ROUND(AW67,0)</f>
        <v>0</v>
      </c>
      <c r="K780" s="359">
        <f>ROUND(AW68,0)</f>
        <v>0</v>
      </c>
      <c r="L780" s="359">
        <f>ROUND(AW69,0)</f>
        <v>0</v>
      </c>
      <c r="M780" s="359">
        <f>ROUND(AW70,0)</f>
        <v>0</v>
      </c>
      <c r="N780" s="359"/>
      <c r="O780" s="359"/>
      <c r="P780" s="359">
        <f>IF(AW76&gt;0,ROUND(AW76,0),0)</f>
        <v>0</v>
      </c>
      <c r="Q780" s="359">
        <f>IF(AW77&gt;0,ROUND(AW77,0),0)</f>
        <v>0</v>
      </c>
      <c r="R780" s="359">
        <f>IF(AW78&gt;0,ROUND(AW78,0),0)</f>
        <v>0</v>
      </c>
      <c r="S780" s="359">
        <f>IF(AW79&gt;0,ROUND(AW79,0),0)</f>
        <v>0</v>
      </c>
      <c r="T780" s="364">
        <f>IF(AW80&gt;0,ROUND(AW80,2),0)</f>
        <v>0</v>
      </c>
      <c r="U780" s="359"/>
      <c r="V780" s="362"/>
      <c r="W780" s="359"/>
      <c r="X780" s="359"/>
      <c r="Y780" s="359"/>
      <c r="Z780" s="362"/>
      <c r="AA780" s="362"/>
      <c r="AB780" s="362"/>
      <c r="AC780" s="362"/>
      <c r="AD780" s="362"/>
      <c r="AE780" s="362"/>
      <c r="AF780" s="362"/>
      <c r="AG780" s="362"/>
      <c r="AH780" s="362"/>
      <c r="AI780" s="362"/>
      <c r="AJ780" s="362"/>
      <c r="AK780" s="362"/>
      <c r="AL780" s="362"/>
      <c r="AM780" s="362"/>
      <c r="AN780" s="362"/>
      <c r="AO780" s="362"/>
      <c r="AP780" s="362"/>
      <c r="AQ780" s="362"/>
      <c r="AR780" s="362"/>
      <c r="AS780" s="362"/>
      <c r="AT780" s="362"/>
      <c r="AU780" s="362"/>
      <c r="AV780" s="362"/>
      <c r="AW780" s="362"/>
      <c r="AX780" s="362"/>
      <c r="AY780" s="362"/>
      <c r="AZ780" s="362"/>
      <c r="BA780" s="362"/>
      <c r="BB780" s="362"/>
      <c r="BC780" s="362"/>
      <c r="BD780" s="362"/>
      <c r="BE780" s="362"/>
      <c r="BF780" s="362"/>
      <c r="BG780" s="362"/>
      <c r="BH780" s="362"/>
      <c r="BI780" s="362"/>
      <c r="BJ780" s="362"/>
      <c r="BK780" s="362"/>
      <c r="BL780" s="362"/>
      <c r="BM780" s="362"/>
      <c r="BN780" s="362"/>
      <c r="BO780" s="362"/>
      <c r="BP780" s="362"/>
      <c r="BQ780" s="362"/>
      <c r="BR780" s="362"/>
      <c r="BS780" s="362"/>
      <c r="BT780" s="362"/>
      <c r="BU780" s="362"/>
      <c r="BV780" s="362"/>
      <c r="BW780" s="362"/>
      <c r="BX780" s="362"/>
      <c r="BY780" s="362"/>
      <c r="BZ780" s="362"/>
      <c r="CA780" s="362"/>
      <c r="CB780" s="362"/>
      <c r="CC780" s="362"/>
      <c r="CD780" s="362"/>
      <c r="CE780" s="362"/>
    </row>
    <row r="781" spans="1:83" ht="12.65" customHeight="1">
      <c r="A781" s="363" t="e">
        <f>RIGHT($C$83,3)&amp;"*"&amp;RIGHT($C$82,4)&amp;"*"&amp;AX$55&amp;"*"&amp;"A"</f>
        <v>#VALUE!</v>
      </c>
      <c r="B781" s="359"/>
      <c r="C781" s="364">
        <f>ROUND(AX60,2)</f>
        <v>0</v>
      </c>
      <c r="D781" s="359">
        <f>ROUND(AX61,0)</f>
        <v>0</v>
      </c>
      <c r="E781" s="359">
        <f>ROUND(AX62,0)</f>
        <v>0</v>
      </c>
      <c r="F781" s="359">
        <f>ROUND(AX63,0)</f>
        <v>0</v>
      </c>
      <c r="G781" s="359">
        <f>ROUND(AX64,0)</f>
        <v>0</v>
      </c>
      <c r="H781" s="359">
        <f>ROUND(AX65,0)</f>
        <v>0</v>
      </c>
      <c r="I781" s="359">
        <f>ROUND(AX66,0)</f>
        <v>0</v>
      </c>
      <c r="J781" s="359">
        <f>ROUND(AX67,0)</f>
        <v>0</v>
      </c>
      <c r="K781" s="359">
        <f>ROUND(AX68,0)</f>
        <v>0</v>
      </c>
      <c r="L781" s="359">
        <f>ROUND(AX69,0)</f>
        <v>0</v>
      </c>
      <c r="M781" s="359">
        <f>ROUND(AX70,0)</f>
        <v>0</v>
      </c>
      <c r="N781" s="359"/>
      <c r="O781" s="359"/>
      <c r="P781" s="359">
        <f>IF(AX76&gt;0,ROUND(AX76,0),0)</f>
        <v>0</v>
      </c>
      <c r="Q781" s="359">
        <f>IF(AX77&gt;0,ROUND(AX77,0),0)</f>
        <v>0</v>
      </c>
      <c r="R781" s="359">
        <f>IF(AX78&gt;0,ROUND(AX78,0),0)</f>
        <v>0</v>
      </c>
      <c r="S781" s="359">
        <f>IF(AX79&gt;0,ROUND(AX79,0),0)</f>
        <v>0</v>
      </c>
      <c r="T781" s="364">
        <f>IF(AX80&gt;0,ROUND(AX80,2),0)</f>
        <v>0</v>
      </c>
      <c r="U781" s="359"/>
      <c r="V781" s="362"/>
      <c r="W781" s="359"/>
      <c r="X781" s="359"/>
      <c r="Y781" s="359"/>
      <c r="Z781" s="362"/>
      <c r="AA781" s="362"/>
      <c r="AB781" s="362"/>
      <c r="AC781" s="362"/>
      <c r="AD781" s="362"/>
      <c r="AE781" s="362"/>
      <c r="AF781" s="362"/>
      <c r="AG781" s="362"/>
      <c r="AH781" s="362"/>
      <c r="AI781" s="362"/>
      <c r="AJ781" s="362"/>
      <c r="AK781" s="362"/>
      <c r="AL781" s="362"/>
      <c r="AM781" s="362"/>
      <c r="AN781" s="362"/>
      <c r="AO781" s="362"/>
      <c r="AP781" s="362"/>
      <c r="AQ781" s="362"/>
      <c r="AR781" s="362"/>
      <c r="AS781" s="362"/>
      <c r="AT781" s="362"/>
      <c r="AU781" s="362"/>
      <c r="AV781" s="362"/>
      <c r="AW781" s="362"/>
      <c r="AX781" s="362"/>
      <c r="AY781" s="362"/>
      <c r="AZ781" s="362"/>
      <c r="BA781" s="362"/>
      <c r="BB781" s="362"/>
      <c r="BC781" s="362"/>
      <c r="BD781" s="362"/>
      <c r="BE781" s="362"/>
      <c r="BF781" s="362"/>
      <c r="BG781" s="362"/>
      <c r="BH781" s="362"/>
      <c r="BI781" s="362"/>
      <c r="BJ781" s="362"/>
      <c r="BK781" s="362"/>
      <c r="BL781" s="362"/>
      <c r="BM781" s="362"/>
      <c r="BN781" s="362"/>
      <c r="BO781" s="362"/>
      <c r="BP781" s="362"/>
      <c r="BQ781" s="362"/>
      <c r="BR781" s="362"/>
      <c r="BS781" s="362"/>
      <c r="BT781" s="362"/>
      <c r="BU781" s="362"/>
      <c r="BV781" s="362"/>
      <c r="BW781" s="362"/>
      <c r="BX781" s="362"/>
      <c r="BY781" s="362"/>
      <c r="BZ781" s="362"/>
      <c r="CA781" s="362"/>
      <c r="CB781" s="362"/>
      <c r="CC781" s="362"/>
      <c r="CD781" s="362"/>
      <c r="CE781" s="362"/>
    </row>
    <row r="782" spans="1:83" ht="12.65" customHeight="1">
      <c r="A782" s="363" t="e">
        <f>RIGHT($C$83,3)&amp;"*"&amp;RIGHT($C$82,4)&amp;"*"&amp;AY$55&amp;"*"&amp;"A"</f>
        <v>#VALUE!</v>
      </c>
      <c r="B782" s="359">
        <f>ROUND(AY59,0)</f>
        <v>9270</v>
      </c>
      <c r="C782" s="364">
        <f>ROUND(AY60,2)</f>
        <v>18.18</v>
      </c>
      <c r="D782" s="359">
        <f>ROUND(AY61,0)</f>
        <v>244709</v>
      </c>
      <c r="E782" s="359">
        <f>ROUND(AY62,0)</f>
        <v>48157</v>
      </c>
      <c r="F782" s="359">
        <f>ROUND(AY63,0)</f>
        <v>0</v>
      </c>
      <c r="G782" s="359">
        <f>ROUND(AY64,0)</f>
        <v>147508</v>
      </c>
      <c r="H782" s="359">
        <f>ROUND(AY65,0)</f>
        <v>0</v>
      </c>
      <c r="I782" s="359">
        <f>ROUND(AY66,0)</f>
        <v>889</v>
      </c>
      <c r="J782" s="359">
        <f>ROUND(AY67,0)</f>
        <v>0</v>
      </c>
      <c r="K782" s="359">
        <f>ROUND(AY68,0)</f>
        <v>0</v>
      </c>
      <c r="L782" s="359">
        <f>ROUND(AY69,0)</f>
        <v>9817</v>
      </c>
      <c r="M782" s="359">
        <f>ROUND(AY70,0)</f>
        <v>0</v>
      </c>
      <c r="N782" s="359"/>
      <c r="O782" s="359"/>
      <c r="P782" s="359">
        <f>IF(AY76&gt;0,ROUND(AY76,0),0)</f>
        <v>5479</v>
      </c>
      <c r="Q782" s="359">
        <f>IF(AY77&gt;0,ROUND(AY77,0),0)</f>
        <v>0</v>
      </c>
      <c r="R782" s="359">
        <f>IF(AY78&gt;0,ROUND(AY78,0),0)</f>
        <v>0</v>
      </c>
      <c r="S782" s="359">
        <f>IF(AY79&gt;0,ROUND(AY79,0),0)</f>
        <v>0</v>
      </c>
      <c r="T782" s="364">
        <f>IF(AY80&gt;0,ROUND(AY80,2),0)</f>
        <v>0</v>
      </c>
      <c r="U782" s="359"/>
      <c r="V782" s="362"/>
      <c r="W782" s="359"/>
      <c r="X782" s="359"/>
      <c r="Y782" s="359"/>
      <c r="Z782" s="362"/>
      <c r="AA782" s="362"/>
      <c r="AB782" s="362"/>
      <c r="AC782" s="362"/>
      <c r="AD782" s="362"/>
      <c r="AE782" s="362"/>
      <c r="AF782" s="362"/>
      <c r="AG782" s="362"/>
      <c r="AH782" s="362"/>
      <c r="AI782" s="362"/>
      <c r="AJ782" s="362"/>
      <c r="AK782" s="362"/>
      <c r="AL782" s="362"/>
      <c r="AM782" s="362"/>
      <c r="AN782" s="362"/>
      <c r="AO782" s="362"/>
      <c r="AP782" s="362"/>
      <c r="AQ782" s="362"/>
      <c r="AR782" s="362"/>
      <c r="AS782" s="362"/>
      <c r="AT782" s="362"/>
      <c r="AU782" s="362"/>
      <c r="AV782" s="362"/>
      <c r="AW782" s="362"/>
      <c r="AX782" s="362"/>
      <c r="AY782" s="362"/>
      <c r="AZ782" s="362"/>
      <c r="BA782" s="362"/>
      <c r="BB782" s="362"/>
      <c r="BC782" s="362"/>
      <c r="BD782" s="362"/>
      <c r="BE782" s="362"/>
      <c r="BF782" s="362"/>
      <c r="BG782" s="362"/>
      <c r="BH782" s="362"/>
      <c r="BI782" s="362"/>
      <c r="BJ782" s="362"/>
      <c r="BK782" s="362"/>
      <c r="BL782" s="362"/>
      <c r="BM782" s="362"/>
      <c r="BN782" s="362"/>
      <c r="BO782" s="362"/>
      <c r="BP782" s="362"/>
      <c r="BQ782" s="362"/>
      <c r="BR782" s="362"/>
      <c r="BS782" s="362"/>
      <c r="BT782" s="362"/>
      <c r="BU782" s="362"/>
      <c r="BV782" s="362"/>
      <c r="BW782" s="362"/>
      <c r="BX782" s="362"/>
      <c r="BY782" s="362"/>
      <c r="BZ782" s="362"/>
      <c r="CA782" s="362"/>
      <c r="CB782" s="362"/>
      <c r="CC782" s="362"/>
      <c r="CD782" s="362"/>
      <c r="CE782" s="362"/>
    </row>
    <row r="783" spans="1:83" ht="12.65" customHeight="1">
      <c r="A783" s="363" t="e">
        <f>RIGHT($C$83,3)&amp;"*"&amp;RIGHT($C$82,4)&amp;"*"&amp;AZ$55&amp;"*"&amp;"A"</f>
        <v>#VALUE!</v>
      </c>
      <c r="B783" s="359">
        <f>ROUND(AZ59,0)</f>
        <v>0</v>
      </c>
      <c r="C783" s="364">
        <f>ROUND(AZ60,2)</f>
        <v>0</v>
      </c>
      <c r="D783" s="359">
        <f>ROUND(AZ61,0)</f>
        <v>0</v>
      </c>
      <c r="E783" s="359">
        <f>ROUND(AZ62,0)</f>
        <v>0</v>
      </c>
      <c r="F783" s="359">
        <f>ROUND(AZ63,0)</f>
        <v>0</v>
      </c>
      <c r="G783" s="359">
        <f>ROUND(AZ64,0)</f>
        <v>0</v>
      </c>
      <c r="H783" s="359">
        <f>ROUND(AZ65,0)</f>
        <v>0</v>
      </c>
      <c r="I783" s="359">
        <f>ROUND(AZ66,0)</f>
        <v>0</v>
      </c>
      <c r="J783" s="359">
        <f>ROUND(AZ67,0)</f>
        <v>0</v>
      </c>
      <c r="K783" s="359">
        <f>ROUND(AZ68,0)</f>
        <v>0</v>
      </c>
      <c r="L783" s="359">
        <f>ROUND(AZ69,0)</f>
        <v>0</v>
      </c>
      <c r="M783" s="359">
        <f>ROUND(AZ70,0)</f>
        <v>0</v>
      </c>
      <c r="N783" s="359"/>
      <c r="O783" s="359"/>
      <c r="P783" s="359">
        <f>IF(AZ76&gt;0,ROUND(AZ76,0),0)</f>
        <v>0</v>
      </c>
      <c r="Q783" s="359">
        <f>IF(AZ77&gt;0,ROUND(AZ77,0),0)</f>
        <v>0</v>
      </c>
      <c r="R783" s="359">
        <f>IF(AZ78&gt;0,ROUND(AZ78,0),0)</f>
        <v>0</v>
      </c>
      <c r="S783" s="359">
        <f>IF(AZ79&gt;0,ROUND(AZ79,0),0)</f>
        <v>0</v>
      </c>
      <c r="T783" s="364">
        <f>IF(AZ80&gt;0,ROUND(AZ80,2),0)</f>
        <v>0</v>
      </c>
      <c r="U783" s="359"/>
      <c r="V783" s="362"/>
      <c r="W783" s="359"/>
      <c r="X783" s="359"/>
      <c r="Y783" s="359"/>
      <c r="Z783" s="362"/>
      <c r="AA783" s="362"/>
      <c r="AB783" s="362"/>
      <c r="AC783" s="362"/>
      <c r="AD783" s="362"/>
      <c r="AE783" s="362"/>
      <c r="AF783" s="362"/>
      <c r="AG783" s="362"/>
      <c r="AH783" s="362"/>
      <c r="AI783" s="362"/>
      <c r="AJ783" s="362"/>
      <c r="AK783" s="362"/>
      <c r="AL783" s="362"/>
      <c r="AM783" s="362"/>
      <c r="AN783" s="362"/>
      <c r="AO783" s="362"/>
      <c r="AP783" s="362"/>
      <c r="AQ783" s="362"/>
      <c r="AR783" s="362"/>
      <c r="AS783" s="362"/>
      <c r="AT783" s="362"/>
      <c r="AU783" s="362"/>
      <c r="AV783" s="362"/>
      <c r="AW783" s="362"/>
      <c r="AX783" s="362"/>
      <c r="AY783" s="362"/>
      <c r="AZ783" s="362"/>
      <c r="BA783" s="362"/>
      <c r="BB783" s="362"/>
      <c r="BC783" s="362"/>
      <c r="BD783" s="362"/>
      <c r="BE783" s="362"/>
      <c r="BF783" s="362"/>
      <c r="BG783" s="362"/>
      <c r="BH783" s="362"/>
      <c r="BI783" s="362"/>
      <c r="BJ783" s="362"/>
      <c r="BK783" s="362"/>
      <c r="BL783" s="362"/>
      <c r="BM783" s="362"/>
      <c r="BN783" s="362"/>
      <c r="BO783" s="362"/>
      <c r="BP783" s="362"/>
      <c r="BQ783" s="362"/>
      <c r="BR783" s="362"/>
      <c r="BS783" s="362"/>
      <c r="BT783" s="362"/>
      <c r="BU783" s="362"/>
      <c r="BV783" s="362"/>
      <c r="BW783" s="362"/>
      <c r="BX783" s="362"/>
      <c r="BY783" s="362"/>
      <c r="BZ783" s="362"/>
      <c r="CA783" s="362"/>
      <c r="CB783" s="362"/>
      <c r="CC783" s="362"/>
      <c r="CD783" s="362"/>
      <c r="CE783" s="362"/>
    </row>
    <row r="784" spans="1:83" ht="12.65" customHeight="1">
      <c r="A784" s="363" t="e">
        <f>RIGHT($C$83,3)&amp;"*"&amp;RIGHT($C$82,4)&amp;"*"&amp;BA$55&amp;"*"&amp;"A"</f>
        <v>#VALUE!</v>
      </c>
      <c r="B784" s="359">
        <f>ROUND(BA59,0)</f>
        <v>0</v>
      </c>
      <c r="C784" s="364">
        <f>ROUND(BA60,2)</f>
        <v>0</v>
      </c>
      <c r="D784" s="359">
        <f>ROUND(BA61,0)</f>
        <v>0</v>
      </c>
      <c r="E784" s="359">
        <f>ROUND(BA62,0)</f>
        <v>0</v>
      </c>
      <c r="F784" s="359">
        <f>ROUND(BA63,0)</f>
        <v>0</v>
      </c>
      <c r="G784" s="359">
        <f>ROUND(BA64,0)</f>
        <v>0</v>
      </c>
      <c r="H784" s="359">
        <f>ROUND(BA65,0)</f>
        <v>0</v>
      </c>
      <c r="I784" s="359">
        <f>ROUND(BA66,0)</f>
        <v>0</v>
      </c>
      <c r="J784" s="359">
        <f>ROUND(BA67,0)</f>
        <v>0</v>
      </c>
      <c r="K784" s="359">
        <f>ROUND(BA68,0)</f>
        <v>0</v>
      </c>
      <c r="L784" s="359">
        <f>ROUND(BA69,0)</f>
        <v>0</v>
      </c>
      <c r="M784" s="359">
        <f>ROUND(BA70,0)</f>
        <v>0</v>
      </c>
      <c r="N784" s="359"/>
      <c r="O784" s="359"/>
      <c r="P784" s="359">
        <f>IF(BA76&gt;0,ROUND(BA76,0),0)</f>
        <v>0</v>
      </c>
      <c r="Q784" s="359">
        <f>IF(BA77&gt;0,ROUND(BA77,0),0)</f>
        <v>0</v>
      </c>
      <c r="R784" s="359">
        <f>IF(BA78&gt;0,ROUND(BA78,0),0)</f>
        <v>0</v>
      </c>
      <c r="S784" s="359">
        <f>IF(BA79&gt;0,ROUND(BA79,0),0)</f>
        <v>0</v>
      </c>
      <c r="T784" s="364">
        <f>IF(BA80&gt;0,ROUND(BA80,2),0)</f>
        <v>0</v>
      </c>
      <c r="U784" s="359"/>
      <c r="V784" s="362"/>
      <c r="W784" s="359"/>
      <c r="X784" s="359"/>
      <c r="Y784" s="359"/>
      <c r="Z784" s="362"/>
      <c r="AA784" s="362"/>
      <c r="AB784" s="362"/>
      <c r="AC784" s="362"/>
      <c r="AD784" s="362"/>
      <c r="AE784" s="362"/>
      <c r="AF784" s="362"/>
      <c r="AG784" s="362"/>
      <c r="AH784" s="362"/>
      <c r="AI784" s="362"/>
      <c r="AJ784" s="362"/>
      <c r="AK784" s="362"/>
      <c r="AL784" s="362"/>
      <c r="AM784" s="362"/>
      <c r="AN784" s="362"/>
      <c r="AO784" s="362"/>
      <c r="AP784" s="362"/>
      <c r="AQ784" s="362"/>
      <c r="AR784" s="362"/>
      <c r="AS784" s="362"/>
      <c r="AT784" s="362"/>
      <c r="AU784" s="362"/>
      <c r="AV784" s="362"/>
      <c r="AW784" s="362"/>
      <c r="AX784" s="362"/>
      <c r="AY784" s="362"/>
      <c r="AZ784" s="362"/>
      <c r="BA784" s="362"/>
      <c r="BB784" s="362"/>
      <c r="BC784" s="362"/>
      <c r="BD784" s="362"/>
      <c r="BE784" s="362"/>
      <c r="BF784" s="362"/>
      <c r="BG784" s="362"/>
      <c r="BH784" s="362"/>
      <c r="BI784" s="362"/>
      <c r="BJ784" s="362"/>
      <c r="BK784" s="362"/>
      <c r="BL784" s="362"/>
      <c r="BM784" s="362"/>
      <c r="BN784" s="362"/>
      <c r="BO784" s="362"/>
      <c r="BP784" s="362"/>
      <c r="BQ784" s="362"/>
      <c r="BR784" s="362"/>
      <c r="BS784" s="362"/>
      <c r="BT784" s="362"/>
      <c r="BU784" s="362"/>
      <c r="BV784" s="362"/>
      <c r="BW784" s="362"/>
      <c r="BX784" s="362"/>
      <c r="BY784" s="362"/>
      <c r="BZ784" s="362"/>
      <c r="CA784" s="362"/>
      <c r="CB784" s="362"/>
      <c r="CC784" s="362"/>
      <c r="CD784" s="362"/>
      <c r="CE784" s="362"/>
    </row>
    <row r="785" spans="1:83" ht="12.65" customHeight="1">
      <c r="A785" s="363" t="e">
        <f>RIGHT($C$83,3)&amp;"*"&amp;RIGHT($C$82,4)&amp;"*"&amp;BB$55&amp;"*"&amp;"A"</f>
        <v>#VALUE!</v>
      </c>
      <c r="B785" s="359"/>
      <c r="C785" s="364">
        <f>ROUND(BB60,2)</f>
        <v>7.19</v>
      </c>
      <c r="D785" s="359">
        <f>ROUND(BB61,0)</f>
        <v>174039</v>
      </c>
      <c r="E785" s="359">
        <f>ROUND(BB62,0)</f>
        <v>36844</v>
      </c>
      <c r="F785" s="359">
        <f>ROUND(BB63,0)</f>
        <v>13749</v>
      </c>
      <c r="G785" s="359">
        <f>ROUND(BB64,0)</f>
        <v>2621</v>
      </c>
      <c r="H785" s="359">
        <f>ROUND(BB65,0)</f>
        <v>0</v>
      </c>
      <c r="I785" s="359">
        <f>ROUND(BB66,0)</f>
        <v>1181</v>
      </c>
      <c r="J785" s="359">
        <f>ROUND(BB67,0)</f>
        <v>0</v>
      </c>
      <c r="K785" s="359">
        <f>ROUND(BB68,0)</f>
        <v>12</v>
      </c>
      <c r="L785" s="359">
        <f>ROUND(BB69,0)</f>
        <v>68726</v>
      </c>
      <c r="M785" s="359">
        <f>ROUND(BB70,0)</f>
        <v>0</v>
      </c>
      <c r="N785" s="359"/>
      <c r="O785" s="359"/>
      <c r="P785" s="359">
        <f>IF(BB76&gt;0,ROUND(BB76,0),0)</f>
        <v>740</v>
      </c>
      <c r="Q785" s="359">
        <f>IF(BB77&gt;0,ROUND(BB77,0),0)</f>
        <v>0</v>
      </c>
      <c r="R785" s="359">
        <f>IF(BB78&gt;0,ROUND(BB78,0),0)</f>
        <v>48</v>
      </c>
      <c r="S785" s="359">
        <f>IF(BB79&gt;0,ROUND(BB79,0),0)</f>
        <v>0</v>
      </c>
      <c r="T785" s="364">
        <f>IF(BB80&gt;0,ROUND(BB80,2),0)</f>
        <v>0</v>
      </c>
      <c r="U785" s="359"/>
      <c r="V785" s="362"/>
      <c r="W785" s="359"/>
      <c r="X785" s="359"/>
      <c r="Y785" s="359"/>
      <c r="Z785" s="362"/>
      <c r="AA785" s="362"/>
      <c r="AB785" s="362"/>
      <c r="AC785" s="362"/>
      <c r="AD785" s="362"/>
      <c r="AE785" s="362"/>
      <c r="AF785" s="362"/>
      <c r="AG785" s="362"/>
      <c r="AH785" s="362"/>
      <c r="AI785" s="362"/>
      <c r="AJ785" s="362"/>
      <c r="AK785" s="362"/>
      <c r="AL785" s="362"/>
      <c r="AM785" s="362"/>
      <c r="AN785" s="362"/>
      <c r="AO785" s="362"/>
      <c r="AP785" s="362"/>
      <c r="AQ785" s="362"/>
      <c r="AR785" s="362"/>
      <c r="AS785" s="362"/>
      <c r="AT785" s="362"/>
      <c r="AU785" s="362"/>
      <c r="AV785" s="362"/>
      <c r="AW785" s="362"/>
      <c r="AX785" s="362"/>
      <c r="AY785" s="362"/>
      <c r="AZ785" s="362"/>
      <c r="BA785" s="362"/>
      <c r="BB785" s="362"/>
      <c r="BC785" s="362"/>
      <c r="BD785" s="362"/>
      <c r="BE785" s="362"/>
      <c r="BF785" s="362"/>
      <c r="BG785" s="362"/>
      <c r="BH785" s="362"/>
      <c r="BI785" s="362"/>
      <c r="BJ785" s="362"/>
      <c r="BK785" s="362"/>
      <c r="BL785" s="362"/>
      <c r="BM785" s="362"/>
      <c r="BN785" s="362"/>
      <c r="BO785" s="362"/>
      <c r="BP785" s="362"/>
      <c r="BQ785" s="362"/>
      <c r="BR785" s="362"/>
      <c r="BS785" s="362"/>
      <c r="BT785" s="362"/>
      <c r="BU785" s="362"/>
      <c r="BV785" s="362"/>
      <c r="BW785" s="362"/>
      <c r="BX785" s="362"/>
      <c r="BY785" s="362"/>
      <c r="BZ785" s="362"/>
      <c r="CA785" s="362"/>
      <c r="CB785" s="362"/>
      <c r="CC785" s="362"/>
      <c r="CD785" s="362"/>
      <c r="CE785" s="362"/>
    </row>
    <row r="786" spans="1:83" ht="12.65" customHeight="1">
      <c r="A786" s="363" t="e">
        <f>RIGHT($C$83,3)&amp;"*"&amp;RIGHT($C$82,4)&amp;"*"&amp;BC$55&amp;"*"&amp;"A"</f>
        <v>#VALUE!</v>
      </c>
      <c r="B786" s="359"/>
      <c r="C786" s="364">
        <f>ROUND(BC60,2)</f>
        <v>0</v>
      </c>
      <c r="D786" s="359">
        <f>ROUND(BC61,0)</f>
        <v>0</v>
      </c>
      <c r="E786" s="359">
        <f>ROUND(BC62,0)</f>
        <v>0</v>
      </c>
      <c r="F786" s="359">
        <f>ROUND(BC63,0)</f>
        <v>0</v>
      </c>
      <c r="G786" s="359">
        <f>ROUND(BC64,0)</f>
        <v>0</v>
      </c>
      <c r="H786" s="359">
        <f>ROUND(BC65,0)</f>
        <v>0</v>
      </c>
      <c r="I786" s="359">
        <f>ROUND(BC66,0)</f>
        <v>0</v>
      </c>
      <c r="J786" s="359">
        <f>ROUND(BC67,0)</f>
        <v>0</v>
      </c>
      <c r="K786" s="359">
        <f>ROUND(BC68,0)</f>
        <v>0</v>
      </c>
      <c r="L786" s="359">
        <f>ROUND(BC69,0)</f>
        <v>0</v>
      </c>
      <c r="M786" s="359">
        <f>ROUND(BC70,0)</f>
        <v>0</v>
      </c>
      <c r="N786" s="359"/>
      <c r="O786" s="359"/>
      <c r="P786" s="359">
        <f>IF(BC76&gt;0,ROUND(BC76,0),0)</f>
        <v>0</v>
      </c>
      <c r="Q786" s="359">
        <f>IF(BC77&gt;0,ROUND(BC77,0),0)</f>
        <v>0</v>
      </c>
      <c r="R786" s="359">
        <f>IF(BC78&gt;0,ROUND(BC78,0),0)</f>
        <v>0</v>
      </c>
      <c r="S786" s="359">
        <f>IF(BC79&gt;0,ROUND(BC79,0),0)</f>
        <v>0</v>
      </c>
      <c r="T786" s="364">
        <f>IF(BC80&gt;0,ROUND(BC80,2),0)</f>
        <v>0</v>
      </c>
      <c r="U786" s="359"/>
      <c r="V786" s="362"/>
      <c r="W786" s="359"/>
      <c r="X786" s="359"/>
      <c r="Y786" s="359"/>
      <c r="Z786" s="362"/>
      <c r="AA786" s="362"/>
      <c r="AB786" s="362"/>
      <c r="AC786" s="362"/>
      <c r="AD786" s="362"/>
      <c r="AE786" s="362"/>
      <c r="AF786" s="362"/>
      <c r="AG786" s="362"/>
      <c r="AH786" s="362"/>
      <c r="AI786" s="362"/>
      <c r="AJ786" s="362"/>
      <c r="AK786" s="362"/>
      <c r="AL786" s="362"/>
      <c r="AM786" s="362"/>
      <c r="AN786" s="362"/>
      <c r="AO786" s="362"/>
      <c r="AP786" s="362"/>
      <c r="AQ786" s="362"/>
      <c r="AR786" s="362"/>
      <c r="AS786" s="362"/>
      <c r="AT786" s="362"/>
      <c r="AU786" s="362"/>
      <c r="AV786" s="362"/>
      <c r="AW786" s="362"/>
      <c r="AX786" s="362"/>
      <c r="AY786" s="362"/>
      <c r="AZ786" s="362"/>
      <c r="BA786" s="362"/>
      <c r="BB786" s="362"/>
      <c r="BC786" s="362"/>
      <c r="BD786" s="362"/>
      <c r="BE786" s="362"/>
      <c r="BF786" s="362"/>
      <c r="BG786" s="362"/>
      <c r="BH786" s="362"/>
      <c r="BI786" s="362"/>
      <c r="BJ786" s="362"/>
      <c r="BK786" s="362"/>
      <c r="BL786" s="362"/>
      <c r="BM786" s="362"/>
      <c r="BN786" s="362"/>
      <c r="BO786" s="362"/>
      <c r="BP786" s="362"/>
      <c r="BQ786" s="362"/>
      <c r="BR786" s="362"/>
      <c r="BS786" s="362"/>
      <c r="BT786" s="362"/>
      <c r="BU786" s="362"/>
      <c r="BV786" s="362"/>
      <c r="BW786" s="362"/>
      <c r="BX786" s="362"/>
      <c r="BY786" s="362"/>
      <c r="BZ786" s="362"/>
      <c r="CA786" s="362"/>
      <c r="CB786" s="362"/>
      <c r="CC786" s="362"/>
      <c r="CD786" s="362"/>
      <c r="CE786" s="362"/>
    </row>
    <row r="787" spans="1:83" ht="12.65" customHeight="1">
      <c r="A787" s="363" t="e">
        <f>RIGHT($C$83,3)&amp;"*"&amp;RIGHT($C$82,4)&amp;"*"&amp;BD$55&amp;"*"&amp;"A"</f>
        <v>#VALUE!</v>
      </c>
      <c r="B787" s="359"/>
      <c r="C787" s="364">
        <f>ROUND(BD60,2)</f>
        <v>0</v>
      </c>
      <c r="D787" s="359">
        <f>ROUND(BD61,0)</f>
        <v>124947</v>
      </c>
      <c r="E787" s="359">
        <f>ROUND(BD62,0)</f>
        <v>24247</v>
      </c>
      <c r="F787" s="359">
        <f>ROUND(BD63,0)</f>
        <v>0</v>
      </c>
      <c r="G787" s="359">
        <f>ROUND(BD64,0)</f>
        <v>1905782</v>
      </c>
      <c r="H787" s="359">
        <f>ROUND(BD65,0)</f>
        <v>0</v>
      </c>
      <c r="I787" s="359">
        <f>ROUND(BD66,0)</f>
        <v>469</v>
      </c>
      <c r="J787" s="359">
        <f>ROUND(BD67,0)</f>
        <v>0</v>
      </c>
      <c r="K787" s="359">
        <f>ROUND(BD68,0)</f>
        <v>919</v>
      </c>
      <c r="L787" s="359">
        <f>ROUND(BD69,0)</f>
        <v>49695</v>
      </c>
      <c r="M787" s="359">
        <f>ROUND(BD70,0)</f>
        <v>0</v>
      </c>
      <c r="N787" s="359"/>
      <c r="O787" s="359"/>
      <c r="P787" s="359">
        <f>IF(BD76&gt;0,ROUND(BD76,0),0)</f>
        <v>2565</v>
      </c>
      <c r="Q787" s="359">
        <f>IF(BD77&gt;0,ROUND(BD77,0),0)</f>
        <v>0</v>
      </c>
      <c r="R787" s="359">
        <f>IF(BD78&gt;0,ROUND(BD78,0),0)</f>
        <v>0</v>
      </c>
      <c r="S787" s="359">
        <f>IF(BD79&gt;0,ROUND(BD79,0),0)</f>
        <v>0</v>
      </c>
      <c r="T787" s="364">
        <f>IF(BD80&gt;0,ROUND(BD80,2),0)</f>
        <v>0</v>
      </c>
      <c r="U787" s="359"/>
      <c r="V787" s="362"/>
      <c r="W787" s="359"/>
      <c r="X787" s="359"/>
      <c r="Y787" s="359"/>
      <c r="Z787" s="362"/>
      <c r="AA787" s="362"/>
      <c r="AB787" s="362"/>
      <c r="AC787" s="362"/>
      <c r="AD787" s="362"/>
      <c r="AE787" s="362"/>
      <c r="AF787" s="362"/>
      <c r="AG787" s="362"/>
      <c r="AH787" s="362"/>
      <c r="AI787" s="362"/>
      <c r="AJ787" s="362"/>
      <c r="AK787" s="362"/>
      <c r="AL787" s="362"/>
      <c r="AM787" s="362"/>
      <c r="AN787" s="362"/>
      <c r="AO787" s="362"/>
      <c r="AP787" s="362"/>
      <c r="AQ787" s="362"/>
      <c r="AR787" s="362"/>
      <c r="AS787" s="362"/>
      <c r="AT787" s="362"/>
      <c r="AU787" s="362"/>
      <c r="AV787" s="362"/>
      <c r="AW787" s="362"/>
      <c r="AX787" s="362"/>
      <c r="AY787" s="362"/>
      <c r="AZ787" s="362"/>
      <c r="BA787" s="362"/>
      <c r="BB787" s="362"/>
      <c r="BC787" s="362"/>
      <c r="BD787" s="362"/>
      <c r="BE787" s="362"/>
      <c r="BF787" s="362"/>
      <c r="BG787" s="362"/>
      <c r="BH787" s="362"/>
      <c r="BI787" s="362"/>
      <c r="BJ787" s="362"/>
      <c r="BK787" s="362"/>
      <c r="BL787" s="362"/>
      <c r="BM787" s="362"/>
      <c r="BN787" s="362"/>
      <c r="BO787" s="362"/>
      <c r="BP787" s="362"/>
      <c r="BQ787" s="362"/>
      <c r="BR787" s="362"/>
      <c r="BS787" s="362"/>
      <c r="BT787" s="362"/>
      <c r="BU787" s="362"/>
      <c r="BV787" s="362"/>
      <c r="BW787" s="362"/>
      <c r="BX787" s="362"/>
      <c r="BY787" s="362"/>
      <c r="BZ787" s="362"/>
      <c r="CA787" s="362"/>
      <c r="CB787" s="362"/>
      <c r="CC787" s="362"/>
      <c r="CD787" s="362"/>
      <c r="CE787" s="362"/>
    </row>
    <row r="788" spans="1:83" ht="12.65" customHeight="1">
      <c r="A788" s="363" t="e">
        <f>RIGHT($C$83,3)&amp;"*"&amp;RIGHT($C$82,4)&amp;"*"&amp;BE$55&amp;"*"&amp;"A"</f>
        <v>#VALUE!</v>
      </c>
      <c r="B788" s="359">
        <f>ROUND(BE59,0)</f>
        <v>155374</v>
      </c>
      <c r="C788" s="364">
        <f>ROUND(BE60,2)</f>
        <v>14.28</v>
      </c>
      <c r="D788" s="359">
        <f>ROUND(BE61,0)</f>
        <v>246243</v>
      </c>
      <c r="E788" s="359">
        <f>ROUND(BE62,0)</f>
        <v>47748</v>
      </c>
      <c r="F788" s="359">
        <f>ROUND(BE63,0)</f>
        <v>0</v>
      </c>
      <c r="G788" s="359">
        <f>ROUND(BE64,0)</f>
        <v>6256</v>
      </c>
      <c r="H788" s="359">
        <f>ROUND(BE65,0)</f>
        <v>189920</v>
      </c>
      <c r="I788" s="359">
        <f>ROUND(BE66,0)</f>
        <v>68442</v>
      </c>
      <c r="J788" s="359">
        <f>ROUND(BE67,0)</f>
        <v>0</v>
      </c>
      <c r="K788" s="359">
        <f>ROUND(BE68,0)</f>
        <v>386</v>
      </c>
      <c r="L788" s="359">
        <f>ROUND(BE69,0)</f>
        <v>202999</v>
      </c>
      <c r="M788" s="359">
        <f>ROUND(BE70,0)</f>
        <v>0</v>
      </c>
      <c r="N788" s="359"/>
      <c r="O788" s="359"/>
      <c r="P788" s="359">
        <f>IF(BE76&gt;0,ROUND(BE76,0),0)</f>
        <v>27038</v>
      </c>
      <c r="Q788" s="359">
        <f>IF(BE77&gt;0,ROUND(BE77,0),0)</f>
        <v>0</v>
      </c>
      <c r="R788" s="359">
        <f>IF(BE78&gt;0,ROUND(BE78,0),0)</f>
        <v>0</v>
      </c>
      <c r="S788" s="359">
        <f>IF(BE79&gt;0,ROUND(BE79,0),0)</f>
        <v>0</v>
      </c>
      <c r="T788" s="364">
        <f>IF(BE80&gt;0,ROUND(BE80,2),0)</f>
        <v>0</v>
      </c>
      <c r="U788" s="359"/>
      <c r="V788" s="362"/>
      <c r="W788" s="359"/>
      <c r="X788" s="359"/>
      <c r="Y788" s="359"/>
      <c r="Z788" s="362"/>
      <c r="AA788" s="362"/>
      <c r="AB788" s="362"/>
      <c r="AC788" s="362"/>
      <c r="AD788" s="362"/>
      <c r="AE788" s="362"/>
      <c r="AF788" s="362"/>
      <c r="AG788" s="362"/>
      <c r="AH788" s="362"/>
      <c r="AI788" s="362"/>
      <c r="AJ788" s="362"/>
      <c r="AK788" s="362"/>
      <c r="AL788" s="362"/>
      <c r="AM788" s="362"/>
      <c r="AN788" s="362"/>
      <c r="AO788" s="362"/>
      <c r="AP788" s="362"/>
      <c r="AQ788" s="362"/>
      <c r="AR788" s="362"/>
      <c r="AS788" s="362"/>
      <c r="AT788" s="362"/>
      <c r="AU788" s="362"/>
      <c r="AV788" s="362"/>
      <c r="AW788" s="362"/>
      <c r="AX788" s="362"/>
      <c r="AY788" s="362"/>
      <c r="AZ788" s="362"/>
      <c r="BA788" s="362"/>
      <c r="BB788" s="362"/>
      <c r="BC788" s="362"/>
      <c r="BD788" s="362"/>
      <c r="BE788" s="362"/>
      <c r="BF788" s="362"/>
      <c r="BG788" s="362"/>
      <c r="BH788" s="362"/>
      <c r="BI788" s="362"/>
      <c r="BJ788" s="362"/>
      <c r="BK788" s="362"/>
      <c r="BL788" s="362"/>
      <c r="BM788" s="362"/>
      <c r="BN788" s="362"/>
      <c r="BO788" s="362"/>
      <c r="BP788" s="362"/>
      <c r="BQ788" s="362"/>
      <c r="BR788" s="362"/>
      <c r="BS788" s="362"/>
      <c r="BT788" s="362"/>
      <c r="BU788" s="362"/>
      <c r="BV788" s="362"/>
      <c r="BW788" s="362"/>
      <c r="BX788" s="362"/>
      <c r="BY788" s="362"/>
      <c r="BZ788" s="362"/>
      <c r="CA788" s="362"/>
      <c r="CB788" s="362"/>
      <c r="CC788" s="362"/>
      <c r="CD788" s="362"/>
      <c r="CE788" s="362"/>
    </row>
    <row r="789" spans="1:83" ht="12.65" customHeight="1">
      <c r="A789" s="363" t="e">
        <f>RIGHT($C$83,3)&amp;"*"&amp;RIGHT($C$82,4)&amp;"*"&amp;BF$55&amp;"*"&amp;"A"</f>
        <v>#VALUE!</v>
      </c>
      <c r="B789" s="359"/>
      <c r="C789" s="364">
        <f>ROUND(BF60,2)</f>
        <v>19.75</v>
      </c>
      <c r="D789" s="359">
        <f>ROUND(BF61,0)</f>
        <v>210395</v>
      </c>
      <c r="E789" s="359">
        <f>ROUND(BF62,0)</f>
        <v>40875</v>
      </c>
      <c r="F789" s="359">
        <f>ROUND(BF63,0)</f>
        <v>0</v>
      </c>
      <c r="G789" s="359">
        <f>ROUND(BF64,0)</f>
        <v>24819</v>
      </c>
      <c r="H789" s="359">
        <f>ROUND(BF65,0)</f>
        <v>0</v>
      </c>
      <c r="I789" s="359">
        <f>ROUND(BF66,0)</f>
        <v>139005</v>
      </c>
      <c r="J789" s="359">
        <f>ROUND(BF67,0)</f>
        <v>0</v>
      </c>
      <c r="K789" s="359">
        <f>ROUND(BF68,0)</f>
        <v>0</v>
      </c>
      <c r="L789" s="359">
        <f>ROUND(BF69,0)</f>
        <v>1810</v>
      </c>
      <c r="M789" s="359">
        <f>ROUND(BF70,0)</f>
        <v>0</v>
      </c>
      <c r="N789" s="359"/>
      <c r="O789" s="359"/>
      <c r="P789" s="359">
        <f>IF(BF76&gt;0,ROUND(BF76,0),0)</f>
        <v>2289</v>
      </c>
      <c r="Q789" s="359">
        <f>IF(BF77&gt;0,ROUND(BF77,0),0)</f>
        <v>0</v>
      </c>
      <c r="R789" s="359">
        <f>IF(BF78&gt;0,ROUND(BF78,0),0)</f>
        <v>0</v>
      </c>
      <c r="S789" s="359">
        <f>IF(BF79&gt;0,ROUND(BF79,0),0)</f>
        <v>0</v>
      </c>
      <c r="T789" s="364">
        <f>IF(BF80&gt;0,ROUND(BF80,2),0)</f>
        <v>0</v>
      </c>
      <c r="U789" s="359"/>
      <c r="V789" s="362"/>
      <c r="W789" s="359"/>
      <c r="X789" s="359"/>
      <c r="Y789" s="359"/>
      <c r="Z789" s="362"/>
      <c r="AA789" s="362"/>
      <c r="AB789" s="362"/>
      <c r="AC789" s="362"/>
      <c r="AD789" s="362"/>
      <c r="AE789" s="362"/>
      <c r="AF789" s="362"/>
      <c r="AG789" s="362"/>
      <c r="AH789" s="362"/>
      <c r="AI789" s="362"/>
      <c r="AJ789" s="362"/>
      <c r="AK789" s="362"/>
      <c r="AL789" s="362"/>
      <c r="AM789" s="362"/>
      <c r="AN789" s="362"/>
      <c r="AO789" s="362"/>
      <c r="AP789" s="362"/>
      <c r="AQ789" s="362"/>
      <c r="AR789" s="362"/>
      <c r="AS789" s="362"/>
      <c r="AT789" s="362"/>
      <c r="AU789" s="362"/>
      <c r="AV789" s="362"/>
      <c r="AW789" s="362"/>
      <c r="AX789" s="362"/>
      <c r="AY789" s="362"/>
      <c r="AZ789" s="362"/>
      <c r="BA789" s="362"/>
      <c r="BB789" s="362"/>
      <c r="BC789" s="362"/>
      <c r="BD789" s="362"/>
      <c r="BE789" s="362"/>
      <c r="BF789" s="362"/>
      <c r="BG789" s="362"/>
      <c r="BH789" s="362"/>
      <c r="BI789" s="362"/>
      <c r="BJ789" s="362"/>
      <c r="BK789" s="362"/>
      <c r="BL789" s="362"/>
      <c r="BM789" s="362"/>
      <c r="BN789" s="362"/>
      <c r="BO789" s="362"/>
      <c r="BP789" s="362"/>
      <c r="BQ789" s="362"/>
      <c r="BR789" s="362"/>
      <c r="BS789" s="362"/>
      <c r="BT789" s="362"/>
      <c r="BU789" s="362"/>
      <c r="BV789" s="362"/>
      <c r="BW789" s="362"/>
      <c r="BX789" s="362"/>
      <c r="BY789" s="362"/>
      <c r="BZ789" s="362"/>
      <c r="CA789" s="362"/>
      <c r="CB789" s="362"/>
      <c r="CC789" s="362"/>
      <c r="CD789" s="362"/>
      <c r="CE789" s="362"/>
    </row>
    <row r="790" spans="1:83" ht="12.65" customHeight="1">
      <c r="A790" s="363" t="e">
        <f>RIGHT($C$83,3)&amp;"*"&amp;RIGHT($C$82,4)&amp;"*"&amp;BG$55&amp;"*"&amp;"A"</f>
        <v>#VALUE!</v>
      </c>
      <c r="B790" s="359"/>
      <c r="C790" s="364">
        <f>ROUND(BG60,2)</f>
        <v>1.38</v>
      </c>
      <c r="D790" s="359">
        <f>ROUND(BG61,0)</f>
        <v>15206</v>
      </c>
      <c r="E790" s="359">
        <f>ROUND(BG62,0)</f>
        <v>3015</v>
      </c>
      <c r="F790" s="359">
        <f>ROUND(BG63,0)</f>
        <v>0</v>
      </c>
      <c r="G790" s="359">
        <f>ROUND(BG64,0)</f>
        <v>0</v>
      </c>
      <c r="H790" s="359">
        <f>ROUND(BG65,0)</f>
        <v>56776</v>
      </c>
      <c r="I790" s="359">
        <f>ROUND(BG66,0)</f>
        <v>854</v>
      </c>
      <c r="J790" s="359">
        <f>ROUND(BG67,0)</f>
        <v>0</v>
      </c>
      <c r="K790" s="359">
        <f>ROUND(BG68,0)</f>
        <v>0</v>
      </c>
      <c r="L790" s="359">
        <f>ROUND(BG69,0)</f>
        <v>0</v>
      </c>
      <c r="M790" s="359">
        <f>ROUND(BG70,0)</f>
        <v>0</v>
      </c>
      <c r="N790" s="359"/>
      <c r="O790" s="359"/>
      <c r="P790" s="359">
        <f>IF(BG76&gt;0,ROUND(BG76,0),0)</f>
        <v>337</v>
      </c>
      <c r="Q790" s="359">
        <f>IF(BG77&gt;0,ROUND(BG77,0),0)</f>
        <v>0</v>
      </c>
      <c r="R790" s="359">
        <f>IF(BG78&gt;0,ROUND(BG78,0),0)</f>
        <v>0</v>
      </c>
      <c r="S790" s="359">
        <f>IF(BG79&gt;0,ROUND(BG79,0),0)</f>
        <v>0</v>
      </c>
      <c r="T790" s="364">
        <f>IF(BG80&gt;0,ROUND(BG80,2),0)</f>
        <v>0</v>
      </c>
      <c r="U790" s="359"/>
      <c r="V790" s="362"/>
      <c r="W790" s="359"/>
      <c r="X790" s="359"/>
      <c r="Y790" s="359"/>
      <c r="Z790" s="362"/>
      <c r="AA790" s="362"/>
      <c r="AB790" s="362"/>
      <c r="AC790" s="362"/>
      <c r="AD790" s="362"/>
      <c r="AE790" s="362"/>
      <c r="AF790" s="362"/>
      <c r="AG790" s="362"/>
      <c r="AH790" s="362"/>
      <c r="AI790" s="362"/>
      <c r="AJ790" s="362"/>
      <c r="AK790" s="362"/>
      <c r="AL790" s="362"/>
      <c r="AM790" s="362"/>
      <c r="AN790" s="362"/>
      <c r="AO790" s="362"/>
      <c r="AP790" s="362"/>
      <c r="AQ790" s="362"/>
      <c r="AR790" s="362"/>
      <c r="AS790" s="362"/>
      <c r="AT790" s="362"/>
      <c r="AU790" s="362"/>
      <c r="AV790" s="362"/>
      <c r="AW790" s="362"/>
      <c r="AX790" s="362"/>
      <c r="AY790" s="362"/>
      <c r="AZ790" s="362"/>
      <c r="BA790" s="362"/>
      <c r="BB790" s="362"/>
      <c r="BC790" s="362"/>
      <c r="BD790" s="362"/>
      <c r="BE790" s="362"/>
      <c r="BF790" s="362"/>
      <c r="BG790" s="362"/>
      <c r="BH790" s="362"/>
      <c r="BI790" s="362"/>
      <c r="BJ790" s="362"/>
      <c r="BK790" s="362"/>
      <c r="BL790" s="362"/>
      <c r="BM790" s="362"/>
      <c r="BN790" s="362"/>
      <c r="BO790" s="362"/>
      <c r="BP790" s="362"/>
      <c r="BQ790" s="362"/>
      <c r="BR790" s="362"/>
      <c r="BS790" s="362"/>
      <c r="BT790" s="362"/>
      <c r="BU790" s="362"/>
      <c r="BV790" s="362"/>
      <c r="BW790" s="362"/>
      <c r="BX790" s="362"/>
      <c r="BY790" s="362"/>
      <c r="BZ790" s="362"/>
      <c r="CA790" s="362"/>
      <c r="CB790" s="362"/>
      <c r="CC790" s="362"/>
      <c r="CD790" s="362"/>
      <c r="CE790" s="362"/>
    </row>
    <row r="791" spans="1:83" ht="12.65" customHeight="1">
      <c r="A791" s="363" t="e">
        <f>RIGHT($C$83,3)&amp;"*"&amp;RIGHT($C$82,4)&amp;"*"&amp;BH$55&amp;"*"&amp;"A"</f>
        <v>#VALUE!</v>
      </c>
      <c r="B791" s="359"/>
      <c r="C791" s="364">
        <f>ROUND(BH60,2)</f>
        <v>5.44</v>
      </c>
      <c r="D791" s="359">
        <f>ROUND(BH61,0)</f>
        <v>129029</v>
      </c>
      <c r="E791" s="359">
        <f>ROUND(BH62,0)</f>
        <v>25545</v>
      </c>
      <c r="F791" s="359">
        <f>ROUND(BH63,0)</f>
        <v>0</v>
      </c>
      <c r="G791" s="359">
        <f>ROUND(BH64,0)</f>
        <v>17403</v>
      </c>
      <c r="H791" s="359">
        <f>ROUND(BH65,0)</f>
        <v>0</v>
      </c>
      <c r="I791" s="359">
        <f>ROUND(BH66,0)</f>
        <v>446582</v>
      </c>
      <c r="J791" s="359">
        <f>ROUND(BH67,0)</f>
        <v>0</v>
      </c>
      <c r="K791" s="359">
        <f>ROUND(BH68,0)</f>
        <v>0</v>
      </c>
      <c r="L791" s="359">
        <f>ROUND(BH69,0)</f>
        <v>75002</v>
      </c>
      <c r="M791" s="359">
        <f>ROUND(BH70,0)</f>
        <v>0</v>
      </c>
      <c r="N791" s="359"/>
      <c r="O791" s="359"/>
      <c r="P791" s="359">
        <f>IF(BH76&gt;0,ROUND(BH76,0),0)</f>
        <v>752</v>
      </c>
      <c r="Q791" s="359">
        <f>IF(BH77&gt;0,ROUND(BH77,0),0)</f>
        <v>0</v>
      </c>
      <c r="R791" s="359">
        <f>IF(BH78&gt;0,ROUND(BH78,0),0)</f>
        <v>49</v>
      </c>
      <c r="S791" s="359">
        <f>IF(BH79&gt;0,ROUND(BH79,0),0)</f>
        <v>0</v>
      </c>
      <c r="T791" s="364">
        <f>IF(BH80&gt;0,ROUND(BH80,2),0)</f>
        <v>0</v>
      </c>
      <c r="U791" s="359"/>
      <c r="V791" s="362"/>
      <c r="W791" s="359"/>
      <c r="X791" s="359"/>
      <c r="Y791" s="359"/>
      <c r="Z791" s="362"/>
      <c r="AA791" s="362"/>
      <c r="AB791" s="362"/>
      <c r="AC791" s="362"/>
      <c r="AD791" s="362"/>
      <c r="AE791" s="362"/>
      <c r="AF791" s="362"/>
      <c r="AG791" s="362"/>
      <c r="AH791" s="362"/>
      <c r="AI791" s="362"/>
      <c r="AJ791" s="362"/>
      <c r="AK791" s="362"/>
      <c r="AL791" s="362"/>
      <c r="AM791" s="362"/>
      <c r="AN791" s="362"/>
      <c r="AO791" s="362"/>
      <c r="AP791" s="362"/>
      <c r="AQ791" s="362"/>
      <c r="AR791" s="362"/>
      <c r="AS791" s="362"/>
      <c r="AT791" s="362"/>
      <c r="AU791" s="362"/>
      <c r="AV791" s="362"/>
      <c r="AW791" s="362"/>
      <c r="AX791" s="362"/>
      <c r="AY791" s="362"/>
      <c r="AZ791" s="362"/>
      <c r="BA791" s="362"/>
      <c r="BB791" s="362"/>
      <c r="BC791" s="362"/>
      <c r="BD791" s="362"/>
      <c r="BE791" s="362"/>
      <c r="BF791" s="362"/>
      <c r="BG791" s="362"/>
      <c r="BH791" s="362"/>
      <c r="BI791" s="362"/>
      <c r="BJ791" s="362"/>
      <c r="BK791" s="362"/>
      <c r="BL791" s="362"/>
      <c r="BM791" s="362"/>
      <c r="BN791" s="362"/>
      <c r="BO791" s="362"/>
      <c r="BP791" s="362"/>
      <c r="BQ791" s="362"/>
      <c r="BR791" s="362"/>
      <c r="BS791" s="362"/>
      <c r="BT791" s="362"/>
      <c r="BU791" s="362"/>
      <c r="BV791" s="362"/>
      <c r="BW791" s="362"/>
      <c r="BX791" s="362"/>
      <c r="BY791" s="362"/>
      <c r="BZ791" s="362"/>
      <c r="CA791" s="362"/>
      <c r="CB791" s="362"/>
      <c r="CC791" s="362"/>
      <c r="CD791" s="362"/>
      <c r="CE791" s="362"/>
    </row>
    <row r="792" spans="1:83" ht="12.65" customHeight="1">
      <c r="A792" s="363" t="e">
        <f>RIGHT($C$83,3)&amp;"*"&amp;RIGHT($C$82,4)&amp;"*"&amp;BI$55&amp;"*"&amp;"A"</f>
        <v>#VALUE!</v>
      </c>
      <c r="B792" s="359"/>
      <c r="C792" s="364">
        <f>ROUND(BI60,2)</f>
        <v>0</v>
      </c>
      <c r="D792" s="359">
        <f>ROUND(BI61,0)</f>
        <v>0</v>
      </c>
      <c r="E792" s="359">
        <f>ROUND(BI62,0)</f>
        <v>0</v>
      </c>
      <c r="F792" s="359">
        <f>ROUND(BI63,0)</f>
        <v>0</v>
      </c>
      <c r="G792" s="359">
        <f>ROUND(BI64,0)</f>
        <v>0</v>
      </c>
      <c r="H792" s="359">
        <f>ROUND(BI65,0)</f>
        <v>0</v>
      </c>
      <c r="I792" s="359">
        <f>ROUND(BI66,0)</f>
        <v>0</v>
      </c>
      <c r="J792" s="359">
        <f>ROUND(BI67,0)</f>
        <v>0</v>
      </c>
      <c r="K792" s="359">
        <f>ROUND(BI68,0)</f>
        <v>0</v>
      </c>
      <c r="L792" s="359">
        <f>ROUND(BI69,0)</f>
        <v>0</v>
      </c>
      <c r="M792" s="359">
        <f>ROUND(BI70,0)</f>
        <v>0</v>
      </c>
      <c r="N792" s="359"/>
      <c r="O792" s="359"/>
      <c r="P792" s="359">
        <f>IF(BI76&gt;0,ROUND(BI76,0),0)</f>
        <v>0</v>
      </c>
      <c r="Q792" s="359">
        <f>IF(BI77&gt;0,ROUND(BI77,0),0)</f>
        <v>0</v>
      </c>
      <c r="R792" s="359">
        <f>IF(BI78&gt;0,ROUND(BI78,0),0)</f>
        <v>0</v>
      </c>
      <c r="S792" s="359">
        <f>IF(BI79&gt;0,ROUND(BI79,0),0)</f>
        <v>0</v>
      </c>
      <c r="T792" s="364">
        <f>IF(BI80&gt;0,ROUND(BI80,2),0)</f>
        <v>0</v>
      </c>
      <c r="U792" s="359"/>
      <c r="V792" s="362"/>
      <c r="W792" s="359"/>
      <c r="X792" s="359"/>
      <c r="Y792" s="359"/>
      <c r="Z792" s="362"/>
      <c r="AA792" s="362"/>
      <c r="AB792" s="362"/>
      <c r="AC792" s="362"/>
      <c r="AD792" s="362"/>
      <c r="AE792" s="362"/>
      <c r="AF792" s="362"/>
      <c r="AG792" s="362"/>
      <c r="AH792" s="362"/>
      <c r="AI792" s="362"/>
      <c r="AJ792" s="362"/>
      <c r="AK792" s="362"/>
      <c r="AL792" s="362"/>
      <c r="AM792" s="362"/>
      <c r="AN792" s="362"/>
      <c r="AO792" s="362"/>
      <c r="AP792" s="362"/>
      <c r="AQ792" s="362"/>
      <c r="AR792" s="362"/>
      <c r="AS792" s="362"/>
      <c r="AT792" s="362"/>
      <c r="AU792" s="362"/>
      <c r="AV792" s="362"/>
      <c r="AW792" s="362"/>
      <c r="AX792" s="362"/>
      <c r="AY792" s="362"/>
      <c r="AZ792" s="362"/>
      <c r="BA792" s="362"/>
      <c r="BB792" s="362"/>
      <c r="BC792" s="362"/>
      <c r="BD792" s="362"/>
      <c r="BE792" s="362"/>
      <c r="BF792" s="362"/>
      <c r="BG792" s="362"/>
      <c r="BH792" s="362"/>
      <c r="BI792" s="362"/>
      <c r="BJ792" s="362"/>
      <c r="BK792" s="362"/>
      <c r="BL792" s="362"/>
      <c r="BM792" s="362"/>
      <c r="BN792" s="362"/>
      <c r="BO792" s="362"/>
      <c r="BP792" s="362"/>
      <c r="BQ792" s="362"/>
      <c r="BR792" s="362"/>
      <c r="BS792" s="362"/>
      <c r="BT792" s="362"/>
      <c r="BU792" s="362"/>
      <c r="BV792" s="362"/>
      <c r="BW792" s="362"/>
      <c r="BX792" s="362"/>
      <c r="BY792" s="362"/>
      <c r="BZ792" s="362"/>
      <c r="CA792" s="362"/>
      <c r="CB792" s="362"/>
      <c r="CC792" s="362"/>
      <c r="CD792" s="362"/>
      <c r="CE792" s="362"/>
    </row>
    <row r="793" spans="1:83" ht="12.65" customHeight="1">
      <c r="A793" s="363" t="e">
        <f>RIGHT($C$83,3)&amp;"*"&amp;RIGHT($C$82,4)&amp;"*"&amp;BJ$55&amp;"*"&amp;"A"</f>
        <v>#VALUE!</v>
      </c>
      <c r="B793" s="359"/>
      <c r="C793" s="364">
        <f>ROUND(BJ60,2)</f>
        <v>4.43</v>
      </c>
      <c r="D793" s="359">
        <f>ROUND(BJ61,0)</f>
        <v>60497</v>
      </c>
      <c r="E793" s="359">
        <f>ROUND(BJ62,0)</f>
        <v>11365</v>
      </c>
      <c r="F793" s="359">
        <f>ROUND(BJ63,0)</f>
        <v>0</v>
      </c>
      <c r="G793" s="359">
        <f>ROUND(BJ64,0)</f>
        <v>1051</v>
      </c>
      <c r="H793" s="359">
        <f>ROUND(BJ65,0)</f>
        <v>0</v>
      </c>
      <c r="I793" s="359">
        <f>ROUND(BJ66,0)</f>
        <v>-5000</v>
      </c>
      <c r="J793" s="359">
        <f>ROUND(BJ67,0)</f>
        <v>0</v>
      </c>
      <c r="K793" s="359">
        <f>ROUND(BJ68,0)</f>
        <v>7</v>
      </c>
      <c r="L793" s="359">
        <f>ROUND(BJ69,0)</f>
        <v>36697</v>
      </c>
      <c r="M793" s="359">
        <f>ROUND(BJ70,0)</f>
        <v>0</v>
      </c>
      <c r="N793" s="359"/>
      <c r="O793" s="359"/>
      <c r="P793" s="359">
        <f>IF(BJ76&gt;0,ROUND(BJ76,0),0)</f>
        <v>1635</v>
      </c>
      <c r="Q793" s="359">
        <f>IF(BJ77&gt;0,ROUND(BJ77,0),0)</f>
        <v>0</v>
      </c>
      <c r="R793" s="359">
        <f>IF(BJ78&gt;0,ROUND(BJ78,0),0)</f>
        <v>0</v>
      </c>
      <c r="S793" s="359">
        <f>IF(BJ79&gt;0,ROUND(BJ79,0),0)</f>
        <v>0</v>
      </c>
      <c r="T793" s="364">
        <f>IF(BJ80&gt;0,ROUND(BJ80,2),0)</f>
        <v>0</v>
      </c>
      <c r="U793" s="359"/>
      <c r="V793" s="362"/>
      <c r="W793" s="359"/>
      <c r="X793" s="359"/>
      <c r="Y793" s="359"/>
      <c r="Z793" s="362"/>
      <c r="AA793" s="362"/>
      <c r="AB793" s="362"/>
      <c r="AC793" s="362"/>
      <c r="AD793" s="362"/>
      <c r="AE793" s="362"/>
      <c r="AF793" s="362"/>
      <c r="AG793" s="362"/>
      <c r="AH793" s="362"/>
      <c r="AI793" s="362"/>
      <c r="AJ793" s="362"/>
      <c r="AK793" s="362"/>
      <c r="AL793" s="362"/>
      <c r="AM793" s="362"/>
      <c r="AN793" s="362"/>
      <c r="AO793" s="362"/>
      <c r="AP793" s="362"/>
      <c r="AQ793" s="362"/>
      <c r="AR793" s="362"/>
      <c r="AS793" s="362"/>
      <c r="AT793" s="362"/>
      <c r="AU793" s="362"/>
      <c r="AV793" s="362"/>
      <c r="AW793" s="362"/>
      <c r="AX793" s="362"/>
      <c r="AY793" s="362"/>
      <c r="AZ793" s="362"/>
      <c r="BA793" s="362"/>
      <c r="BB793" s="362"/>
      <c r="BC793" s="362"/>
      <c r="BD793" s="362"/>
      <c r="BE793" s="362"/>
      <c r="BF793" s="362"/>
      <c r="BG793" s="362"/>
      <c r="BH793" s="362"/>
      <c r="BI793" s="362"/>
      <c r="BJ793" s="362"/>
      <c r="BK793" s="362"/>
      <c r="BL793" s="362"/>
      <c r="BM793" s="362"/>
      <c r="BN793" s="362"/>
      <c r="BO793" s="362"/>
      <c r="BP793" s="362"/>
      <c r="BQ793" s="362"/>
      <c r="BR793" s="362"/>
      <c r="BS793" s="362"/>
      <c r="BT793" s="362"/>
      <c r="BU793" s="362"/>
      <c r="BV793" s="362"/>
      <c r="BW793" s="362"/>
      <c r="BX793" s="362"/>
      <c r="BY793" s="362"/>
      <c r="BZ793" s="362"/>
      <c r="CA793" s="362"/>
      <c r="CB793" s="362"/>
      <c r="CC793" s="362"/>
      <c r="CD793" s="362"/>
      <c r="CE793" s="362"/>
    </row>
    <row r="794" spans="1:83" ht="12.65" customHeight="1">
      <c r="A794" s="363" t="e">
        <f>RIGHT($C$83,3)&amp;"*"&amp;RIGHT($C$82,4)&amp;"*"&amp;BK$55&amp;"*"&amp;"A"</f>
        <v>#VALUE!</v>
      </c>
      <c r="B794" s="359"/>
      <c r="C794" s="364">
        <f>ROUND(BK60,2)</f>
        <v>0</v>
      </c>
      <c r="D794" s="359">
        <f>ROUND(BK61,0)</f>
        <v>0</v>
      </c>
      <c r="E794" s="359">
        <f>ROUND(BK62,0)</f>
        <v>0</v>
      </c>
      <c r="F794" s="359">
        <f>ROUND(BK63,0)</f>
        <v>0</v>
      </c>
      <c r="G794" s="359">
        <f>ROUND(BK64,0)</f>
        <v>0</v>
      </c>
      <c r="H794" s="359">
        <f>ROUND(BK65,0)</f>
        <v>0</v>
      </c>
      <c r="I794" s="359">
        <f>ROUND(BK66,0)</f>
        <v>419129</v>
      </c>
      <c r="J794" s="359">
        <f>ROUND(BK67,0)</f>
        <v>0</v>
      </c>
      <c r="K794" s="359">
        <f>ROUND(BK68,0)</f>
        <v>0</v>
      </c>
      <c r="L794" s="359">
        <f>ROUND(BK69,0)</f>
        <v>0</v>
      </c>
      <c r="M794" s="359">
        <f>ROUND(BK70,0)</f>
        <v>0</v>
      </c>
      <c r="N794" s="359"/>
      <c r="O794" s="359"/>
      <c r="P794" s="359">
        <f>IF(BK76&gt;0,ROUND(BK76,0),0)</f>
        <v>0</v>
      </c>
      <c r="Q794" s="359">
        <f>IF(BK77&gt;0,ROUND(BK77,0),0)</f>
        <v>0</v>
      </c>
      <c r="R794" s="359">
        <f>IF(BK78&gt;0,ROUND(BK78,0),0)</f>
        <v>0</v>
      </c>
      <c r="S794" s="359">
        <f>IF(BK79&gt;0,ROUND(BK79,0),0)</f>
        <v>0</v>
      </c>
      <c r="T794" s="364">
        <f>IF(BK80&gt;0,ROUND(BK80,2),0)</f>
        <v>0</v>
      </c>
      <c r="U794" s="359"/>
      <c r="V794" s="362"/>
      <c r="W794" s="359"/>
      <c r="X794" s="359"/>
      <c r="Y794" s="359"/>
      <c r="Z794" s="362"/>
      <c r="AA794" s="362"/>
      <c r="AB794" s="362"/>
      <c r="AC794" s="362"/>
      <c r="AD794" s="362"/>
      <c r="AE794" s="362"/>
      <c r="AF794" s="362"/>
      <c r="AG794" s="362"/>
      <c r="AH794" s="362"/>
      <c r="AI794" s="362"/>
      <c r="AJ794" s="362"/>
      <c r="AK794" s="362"/>
      <c r="AL794" s="362"/>
      <c r="AM794" s="362"/>
      <c r="AN794" s="362"/>
      <c r="AO794" s="362"/>
      <c r="AP794" s="362"/>
      <c r="AQ794" s="362"/>
      <c r="AR794" s="362"/>
      <c r="AS794" s="362"/>
      <c r="AT794" s="362"/>
      <c r="AU794" s="362"/>
      <c r="AV794" s="362"/>
      <c r="AW794" s="362"/>
      <c r="AX794" s="362"/>
      <c r="AY794" s="362"/>
      <c r="AZ794" s="362"/>
      <c r="BA794" s="362"/>
      <c r="BB794" s="362"/>
      <c r="BC794" s="362"/>
      <c r="BD794" s="362"/>
      <c r="BE794" s="362"/>
      <c r="BF794" s="362"/>
      <c r="BG794" s="362"/>
      <c r="BH794" s="362"/>
      <c r="BI794" s="362"/>
      <c r="BJ794" s="362"/>
      <c r="BK794" s="362"/>
      <c r="BL794" s="362"/>
      <c r="BM794" s="362"/>
      <c r="BN794" s="362"/>
      <c r="BO794" s="362"/>
      <c r="BP794" s="362"/>
      <c r="BQ794" s="362"/>
      <c r="BR794" s="362"/>
      <c r="BS794" s="362"/>
      <c r="BT794" s="362"/>
      <c r="BU794" s="362"/>
      <c r="BV794" s="362"/>
      <c r="BW794" s="362"/>
      <c r="BX794" s="362"/>
      <c r="BY794" s="362"/>
      <c r="BZ794" s="362"/>
      <c r="CA794" s="362"/>
      <c r="CB794" s="362"/>
      <c r="CC794" s="362"/>
      <c r="CD794" s="362"/>
      <c r="CE794" s="362"/>
    </row>
    <row r="795" spans="1:83" ht="12.65" customHeight="1">
      <c r="A795" s="363" t="e">
        <f>RIGHT($C$83,3)&amp;"*"&amp;RIGHT($C$82,4)&amp;"*"&amp;BL$55&amp;"*"&amp;"A"</f>
        <v>#VALUE!</v>
      </c>
      <c r="B795" s="359"/>
      <c r="C795" s="364">
        <f>ROUND(BL60,2)</f>
        <v>3.04</v>
      </c>
      <c r="D795" s="359">
        <f>ROUND(BL61,0)</f>
        <v>38182</v>
      </c>
      <c r="E795" s="359">
        <f>ROUND(BL62,0)</f>
        <v>7392</v>
      </c>
      <c r="F795" s="359">
        <f>ROUND(BL63,0)</f>
        <v>0</v>
      </c>
      <c r="G795" s="359">
        <f>ROUND(BL64,0)</f>
        <v>0</v>
      </c>
      <c r="H795" s="359">
        <f>ROUND(BL65,0)</f>
        <v>0</v>
      </c>
      <c r="I795" s="359">
        <f>ROUND(BL66,0)</f>
        <v>0</v>
      </c>
      <c r="J795" s="359">
        <f>ROUND(BL67,0)</f>
        <v>0</v>
      </c>
      <c r="K795" s="359">
        <f>ROUND(BL68,0)</f>
        <v>0</v>
      </c>
      <c r="L795" s="359">
        <f>ROUND(BL69,0)</f>
        <v>0</v>
      </c>
      <c r="M795" s="359">
        <f>ROUND(BL70,0)</f>
        <v>0</v>
      </c>
      <c r="N795" s="359"/>
      <c r="O795" s="359"/>
      <c r="P795" s="359">
        <f>IF(BL76&gt;0,ROUND(BL76,0),0)</f>
        <v>1801</v>
      </c>
      <c r="Q795" s="359">
        <f>IF(BL77&gt;0,ROUND(BL77,0),0)</f>
        <v>0</v>
      </c>
      <c r="R795" s="359">
        <f>IF(BL78&gt;0,ROUND(BL78,0),0)</f>
        <v>118</v>
      </c>
      <c r="S795" s="359">
        <f>IF(BL79&gt;0,ROUND(BL79,0),0)</f>
        <v>0</v>
      </c>
      <c r="T795" s="364">
        <f>IF(BL80&gt;0,ROUND(BL80,2),0)</f>
        <v>0</v>
      </c>
      <c r="U795" s="359"/>
      <c r="V795" s="362"/>
      <c r="W795" s="359"/>
      <c r="X795" s="359"/>
      <c r="Y795" s="359"/>
      <c r="Z795" s="362"/>
      <c r="AA795" s="362"/>
      <c r="AB795" s="362"/>
      <c r="AC795" s="362"/>
      <c r="AD795" s="362"/>
      <c r="AE795" s="362"/>
      <c r="AF795" s="362"/>
      <c r="AG795" s="362"/>
      <c r="AH795" s="362"/>
      <c r="AI795" s="362"/>
      <c r="AJ795" s="362"/>
      <c r="AK795" s="362"/>
      <c r="AL795" s="362"/>
      <c r="AM795" s="362"/>
      <c r="AN795" s="362"/>
      <c r="AO795" s="362"/>
      <c r="AP795" s="362"/>
      <c r="AQ795" s="362"/>
      <c r="AR795" s="362"/>
      <c r="AS795" s="362"/>
      <c r="AT795" s="362"/>
      <c r="AU795" s="362"/>
      <c r="AV795" s="362"/>
      <c r="AW795" s="362"/>
      <c r="AX795" s="362"/>
      <c r="AY795" s="362"/>
      <c r="AZ795" s="362"/>
      <c r="BA795" s="362"/>
      <c r="BB795" s="362"/>
      <c r="BC795" s="362"/>
      <c r="BD795" s="362"/>
      <c r="BE795" s="362"/>
      <c r="BF795" s="362"/>
      <c r="BG795" s="362"/>
      <c r="BH795" s="362"/>
      <c r="BI795" s="362"/>
      <c r="BJ795" s="362"/>
      <c r="BK795" s="362"/>
      <c r="BL795" s="362"/>
      <c r="BM795" s="362"/>
      <c r="BN795" s="362"/>
      <c r="BO795" s="362"/>
      <c r="BP795" s="362"/>
      <c r="BQ795" s="362"/>
      <c r="BR795" s="362"/>
      <c r="BS795" s="362"/>
      <c r="BT795" s="362"/>
      <c r="BU795" s="362"/>
      <c r="BV795" s="362"/>
      <c r="BW795" s="362"/>
      <c r="BX795" s="362"/>
      <c r="BY795" s="362"/>
      <c r="BZ795" s="362"/>
      <c r="CA795" s="362"/>
      <c r="CB795" s="362"/>
      <c r="CC795" s="362"/>
      <c r="CD795" s="362"/>
      <c r="CE795" s="362"/>
    </row>
    <row r="796" spans="1:83" ht="12.65" customHeight="1">
      <c r="A796" s="363" t="e">
        <f>RIGHT($C$83,3)&amp;"*"&amp;RIGHT($C$82,4)&amp;"*"&amp;BM$55&amp;"*"&amp;"A"</f>
        <v>#VALUE!</v>
      </c>
      <c r="B796" s="359"/>
      <c r="C796" s="364">
        <f>ROUND(BM60,2)</f>
        <v>16.420000000000002</v>
      </c>
      <c r="D796" s="359">
        <f>ROUND(BM61,0)</f>
        <v>184879</v>
      </c>
      <c r="E796" s="359">
        <f>ROUND(BM62,0)</f>
        <v>35946</v>
      </c>
      <c r="F796" s="359">
        <f>ROUND(BM63,0)</f>
        <v>0</v>
      </c>
      <c r="G796" s="359">
        <f>ROUND(BM64,0)</f>
        <v>5248</v>
      </c>
      <c r="H796" s="359">
        <f>ROUND(BM65,0)</f>
        <v>0</v>
      </c>
      <c r="I796" s="359">
        <f>ROUND(BM66,0)</f>
        <v>10154</v>
      </c>
      <c r="J796" s="359">
        <f>ROUND(BM67,0)</f>
        <v>0</v>
      </c>
      <c r="K796" s="359">
        <f>ROUND(BM68,0)</f>
        <v>0</v>
      </c>
      <c r="L796" s="359">
        <f>ROUND(BM69,0)</f>
        <v>60305</v>
      </c>
      <c r="M796" s="359">
        <f>ROUND(BM70,0)</f>
        <v>0</v>
      </c>
      <c r="N796" s="359"/>
      <c r="O796" s="359"/>
      <c r="P796" s="359">
        <f>IF(BM76&gt;0,ROUND(BM76,0),0)</f>
        <v>0</v>
      </c>
      <c r="Q796" s="359">
        <f>IF(BM77&gt;0,ROUND(BM77,0),0)</f>
        <v>0</v>
      </c>
      <c r="R796" s="359">
        <f>IF(BM78&gt;0,ROUND(BM78,0),0)</f>
        <v>0</v>
      </c>
      <c r="S796" s="359">
        <f>IF(BM79&gt;0,ROUND(BM79,0),0)</f>
        <v>0</v>
      </c>
      <c r="T796" s="364">
        <f>IF(BM80&gt;0,ROUND(BM80,2),0)</f>
        <v>0</v>
      </c>
      <c r="U796" s="359"/>
      <c r="V796" s="362"/>
      <c r="W796" s="359"/>
      <c r="X796" s="359"/>
      <c r="Y796" s="359"/>
      <c r="Z796" s="362"/>
      <c r="AA796" s="362"/>
      <c r="AB796" s="362"/>
      <c r="AC796" s="362"/>
      <c r="AD796" s="362"/>
      <c r="AE796" s="362"/>
      <c r="AF796" s="362"/>
      <c r="AG796" s="362"/>
      <c r="AH796" s="362"/>
      <c r="AI796" s="362"/>
      <c r="AJ796" s="362"/>
      <c r="AK796" s="362"/>
      <c r="AL796" s="362"/>
      <c r="AM796" s="362"/>
      <c r="AN796" s="362"/>
      <c r="AO796" s="362"/>
      <c r="AP796" s="362"/>
      <c r="AQ796" s="362"/>
      <c r="AR796" s="362"/>
      <c r="AS796" s="362"/>
      <c r="AT796" s="362"/>
      <c r="AU796" s="362"/>
      <c r="AV796" s="362"/>
      <c r="AW796" s="362"/>
      <c r="AX796" s="362"/>
      <c r="AY796" s="362"/>
      <c r="AZ796" s="362"/>
      <c r="BA796" s="362"/>
      <c r="BB796" s="362"/>
      <c r="BC796" s="362"/>
      <c r="BD796" s="362"/>
      <c r="BE796" s="362"/>
      <c r="BF796" s="362"/>
      <c r="BG796" s="362"/>
      <c r="BH796" s="362"/>
      <c r="BI796" s="362"/>
      <c r="BJ796" s="362"/>
      <c r="BK796" s="362"/>
      <c r="BL796" s="362"/>
      <c r="BM796" s="362"/>
      <c r="BN796" s="362"/>
      <c r="BO796" s="362"/>
      <c r="BP796" s="362"/>
      <c r="BQ796" s="362"/>
      <c r="BR796" s="362"/>
      <c r="BS796" s="362"/>
      <c r="BT796" s="362"/>
      <c r="BU796" s="362"/>
      <c r="BV796" s="362"/>
      <c r="BW796" s="362"/>
      <c r="BX796" s="362"/>
      <c r="BY796" s="362"/>
      <c r="BZ796" s="362"/>
      <c r="CA796" s="362"/>
      <c r="CB796" s="362"/>
      <c r="CC796" s="362"/>
      <c r="CD796" s="362"/>
      <c r="CE796" s="362"/>
    </row>
    <row r="797" spans="1:83" ht="12.65" customHeight="1">
      <c r="A797" s="363" t="e">
        <f>RIGHT($C$83,3)&amp;"*"&amp;RIGHT($C$82,4)&amp;"*"&amp;BN$55&amp;"*"&amp;"A"</f>
        <v>#VALUE!</v>
      </c>
      <c r="B797" s="359"/>
      <c r="C797" s="364">
        <f>ROUND(BN60,2)</f>
        <v>14.71</v>
      </c>
      <c r="D797" s="359">
        <f>ROUND(BN61,0)</f>
        <v>305714</v>
      </c>
      <c r="E797" s="359">
        <f>ROUND(BN62,0)</f>
        <v>54959</v>
      </c>
      <c r="F797" s="359">
        <f>ROUND(BN63,0)</f>
        <v>0</v>
      </c>
      <c r="G797" s="359">
        <f>ROUND(BN64,0)</f>
        <v>65741</v>
      </c>
      <c r="H797" s="359">
        <f>ROUND(BN65,0)</f>
        <v>90</v>
      </c>
      <c r="I797" s="359">
        <f>ROUND(BN66,0)</f>
        <v>319484</v>
      </c>
      <c r="J797" s="359">
        <f>ROUND(BN67,0)</f>
        <v>0</v>
      </c>
      <c r="K797" s="359">
        <f>ROUND(BN68,0)</f>
        <v>121716</v>
      </c>
      <c r="L797" s="359">
        <f>ROUND(BN69,0)</f>
        <v>706461</v>
      </c>
      <c r="M797" s="359">
        <f>ROUND(BN70,0)</f>
        <v>0</v>
      </c>
      <c r="N797" s="359"/>
      <c r="O797" s="359"/>
      <c r="P797" s="359">
        <f>IF(BN76&gt;0,ROUND(BN76,0),0)</f>
        <v>3875</v>
      </c>
      <c r="Q797" s="359">
        <f>IF(BN77&gt;0,ROUND(BN77,0),0)</f>
        <v>0</v>
      </c>
      <c r="R797" s="359">
        <f>IF(BN78&gt;0,ROUND(BN78,0),0)</f>
        <v>0</v>
      </c>
      <c r="S797" s="359">
        <f>IF(BN79&gt;0,ROUND(BN79,0),0)</f>
        <v>0</v>
      </c>
      <c r="T797" s="364">
        <f>IF(BN80&gt;0,ROUND(BN80,2),0)</f>
        <v>0</v>
      </c>
      <c r="U797" s="359"/>
      <c r="V797" s="362"/>
      <c r="W797" s="359"/>
      <c r="X797" s="359"/>
      <c r="Y797" s="359"/>
      <c r="Z797" s="362"/>
      <c r="AA797" s="362"/>
      <c r="AB797" s="362"/>
      <c r="AC797" s="362"/>
      <c r="AD797" s="362"/>
      <c r="AE797" s="362"/>
      <c r="AF797" s="362"/>
      <c r="AG797" s="362"/>
      <c r="AH797" s="362"/>
      <c r="AI797" s="362"/>
      <c r="AJ797" s="362"/>
      <c r="AK797" s="362"/>
      <c r="AL797" s="362"/>
      <c r="AM797" s="362"/>
      <c r="AN797" s="362"/>
      <c r="AO797" s="362"/>
      <c r="AP797" s="362"/>
      <c r="AQ797" s="362"/>
      <c r="AR797" s="362"/>
      <c r="AS797" s="362"/>
      <c r="AT797" s="362"/>
      <c r="AU797" s="362"/>
      <c r="AV797" s="362"/>
      <c r="AW797" s="362"/>
      <c r="AX797" s="362"/>
      <c r="AY797" s="362"/>
      <c r="AZ797" s="362"/>
      <c r="BA797" s="362"/>
      <c r="BB797" s="362"/>
      <c r="BC797" s="362"/>
      <c r="BD797" s="362"/>
      <c r="BE797" s="362"/>
      <c r="BF797" s="362"/>
      <c r="BG797" s="362"/>
      <c r="BH797" s="362"/>
      <c r="BI797" s="362"/>
      <c r="BJ797" s="362"/>
      <c r="BK797" s="362"/>
      <c r="BL797" s="362"/>
      <c r="BM797" s="362"/>
      <c r="BN797" s="362"/>
      <c r="BO797" s="362"/>
      <c r="BP797" s="362"/>
      <c r="BQ797" s="362"/>
      <c r="BR797" s="362"/>
      <c r="BS797" s="362"/>
      <c r="BT797" s="362"/>
      <c r="BU797" s="362"/>
      <c r="BV797" s="362"/>
      <c r="BW797" s="362"/>
      <c r="BX797" s="362"/>
      <c r="BY797" s="362"/>
      <c r="BZ797" s="362"/>
      <c r="CA797" s="362"/>
      <c r="CB797" s="362"/>
      <c r="CC797" s="362"/>
      <c r="CD797" s="362"/>
      <c r="CE797" s="362"/>
    </row>
    <row r="798" spans="1:83" ht="12.65" customHeight="1">
      <c r="A798" s="363" t="e">
        <f>RIGHT($C$83,3)&amp;"*"&amp;RIGHT($C$82,4)&amp;"*"&amp;BO$55&amp;"*"&amp;"A"</f>
        <v>#VALUE!</v>
      </c>
      <c r="B798" s="359"/>
      <c r="C798" s="364">
        <f>ROUND(BO60,2)</f>
        <v>0</v>
      </c>
      <c r="D798" s="359">
        <f>ROUND(BO61,0)</f>
        <v>0</v>
      </c>
      <c r="E798" s="359">
        <f>ROUND(BO62,0)</f>
        <v>0</v>
      </c>
      <c r="F798" s="359">
        <f>ROUND(BO63,0)</f>
        <v>0</v>
      </c>
      <c r="G798" s="359">
        <f>ROUND(BO64,0)</f>
        <v>0</v>
      </c>
      <c r="H798" s="359">
        <f>ROUND(BO65,0)</f>
        <v>0</v>
      </c>
      <c r="I798" s="359">
        <f>ROUND(BO66,0)</f>
        <v>0</v>
      </c>
      <c r="J798" s="359">
        <f>ROUND(BO67,0)</f>
        <v>0</v>
      </c>
      <c r="K798" s="359">
        <f>ROUND(BO68,0)</f>
        <v>0</v>
      </c>
      <c r="L798" s="359">
        <f>ROUND(BO69,0)</f>
        <v>0</v>
      </c>
      <c r="M798" s="359">
        <f>ROUND(BO70,0)</f>
        <v>0</v>
      </c>
      <c r="N798" s="359"/>
      <c r="O798" s="359"/>
      <c r="P798" s="359">
        <f>IF(BO76&gt;0,ROUND(BO76,0),0)</f>
        <v>0</v>
      </c>
      <c r="Q798" s="359">
        <f>IF(BO77&gt;0,ROUND(BO77,0),0)</f>
        <v>0</v>
      </c>
      <c r="R798" s="359">
        <f>IF(BO78&gt;0,ROUND(BO78,0),0)</f>
        <v>0</v>
      </c>
      <c r="S798" s="359">
        <f>IF(BO79&gt;0,ROUND(BO79,0),0)</f>
        <v>0</v>
      </c>
      <c r="T798" s="364">
        <f>IF(BO80&gt;0,ROUND(BO80,2),0)</f>
        <v>0</v>
      </c>
      <c r="U798" s="359"/>
      <c r="V798" s="362"/>
      <c r="W798" s="359"/>
      <c r="X798" s="359"/>
      <c r="Y798" s="359"/>
      <c r="Z798" s="362"/>
      <c r="AA798" s="362"/>
      <c r="AB798" s="362"/>
      <c r="AC798" s="362"/>
      <c r="AD798" s="362"/>
      <c r="AE798" s="362"/>
      <c r="AF798" s="362"/>
      <c r="AG798" s="362"/>
      <c r="AH798" s="362"/>
      <c r="AI798" s="362"/>
      <c r="AJ798" s="362"/>
      <c r="AK798" s="362"/>
      <c r="AL798" s="362"/>
      <c r="AM798" s="362"/>
      <c r="AN798" s="362"/>
      <c r="AO798" s="362"/>
      <c r="AP798" s="362"/>
      <c r="AQ798" s="362"/>
      <c r="AR798" s="362"/>
      <c r="AS798" s="362"/>
      <c r="AT798" s="362"/>
      <c r="AU798" s="362"/>
      <c r="AV798" s="362"/>
      <c r="AW798" s="362"/>
      <c r="AX798" s="362"/>
      <c r="AY798" s="362"/>
      <c r="AZ798" s="362"/>
      <c r="BA798" s="362"/>
      <c r="BB798" s="362"/>
      <c r="BC798" s="362"/>
      <c r="BD798" s="362"/>
      <c r="BE798" s="362"/>
      <c r="BF798" s="362"/>
      <c r="BG798" s="362"/>
      <c r="BH798" s="362"/>
      <c r="BI798" s="362"/>
      <c r="BJ798" s="362"/>
      <c r="BK798" s="362"/>
      <c r="BL798" s="362"/>
      <c r="BM798" s="362"/>
      <c r="BN798" s="362"/>
      <c r="BO798" s="362"/>
      <c r="BP798" s="362"/>
      <c r="BQ798" s="362"/>
      <c r="BR798" s="362"/>
      <c r="BS798" s="362"/>
      <c r="BT798" s="362"/>
      <c r="BU798" s="362"/>
      <c r="BV798" s="362"/>
      <c r="BW798" s="362"/>
      <c r="BX798" s="362"/>
      <c r="BY798" s="362"/>
      <c r="BZ798" s="362"/>
      <c r="CA798" s="362"/>
      <c r="CB798" s="362"/>
      <c r="CC798" s="362"/>
      <c r="CD798" s="362"/>
      <c r="CE798" s="362"/>
    </row>
    <row r="799" spans="1:83" ht="12.65" customHeight="1">
      <c r="A799" s="363" t="e">
        <f>RIGHT($C$83,3)&amp;"*"&amp;RIGHT($C$82,4)&amp;"*"&amp;BP$55&amp;"*"&amp;"A"</f>
        <v>#VALUE!</v>
      </c>
      <c r="B799" s="359"/>
      <c r="C799" s="364">
        <f>ROUND(BP60,2)</f>
        <v>1.07</v>
      </c>
      <c r="D799" s="359">
        <f>ROUND(BP61,0)</f>
        <v>16562</v>
      </c>
      <c r="E799" s="359">
        <f>ROUND(BP62,0)</f>
        <v>3249</v>
      </c>
      <c r="F799" s="359">
        <f>ROUND(BP63,0)</f>
        <v>0</v>
      </c>
      <c r="G799" s="359">
        <f>ROUND(BP64,0)</f>
        <v>255</v>
      </c>
      <c r="H799" s="359">
        <f>ROUND(BP65,0)</f>
        <v>0</v>
      </c>
      <c r="I799" s="359">
        <f>ROUND(BP66,0)</f>
        <v>3401</v>
      </c>
      <c r="J799" s="359">
        <f>ROUND(BP67,0)</f>
        <v>0</v>
      </c>
      <c r="K799" s="359">
        <f>ROUND(BP68,0)</f>
        <v>0</v>
      </c>
      <c r="L799" s="359">
        <f>ROUND(BP69,0)</f>
        <v>45999</v>
      </c>
      <c r="M799" s="359">
        <f>ROUND(BP70,0)</f>
        <v>0</v>
      </c>
      <c r="N799" s="359"/>
      <c r="O799" s="359"/>
      <c r="P799" s="359">
        <f>IF(BP76&gt;0,ROUND(BP76,0),0)</f>
        <v>729</v>
      </c>
      <c r="Q799" s="359">
        <f>IF(BP77&gt;0,ROUND(BP77,0),0)</f>
        <v>0</v>
      </c>
      <c r="R799" s="359">
        <f>IF(BP78&gt;0,ROUND(BP78,0),0)</f>
        <v>0</v>
      </c>
      <c r="S799" s="359">
        <f>IF(BP79&gt;0,ROUND(BP79,0),0)</f>
        <v>0</v>
      </c>
      <c r="T799" s="364">
        <f>IF(BP80&gt;0,ROUND(BP80,2),0)</f>
        <v>0</v>
      </c>
      <c r="U799" s="359"/>
      <c r="V799" s="362"/>
      <c r="W799" s="359"/>
      <c r="X799" s="359"/>
      <c r="Y799" s="359"/>
      <c r="Z799" s="362"/>
      <c r="AA799" s="362"/>
      <c r="AB799" s="362"/>
      <c r="AC799" s="362"/>
      <c r="AD799" s="362"/>
      <c r="AE799" s="362"/>
      <c r="AF799" s="362"/>
      <c r="AG799" s="362"/>
      <c r="AH799" s="362"/>
      <c r="AI799" s="362"/>
      <c r="AJ799" s="362"/>
      <c r="AK799" s="362"/>
      <c r="AL799" s="362"/>
      <c r="AM799" s="362"/>
      <c r="AN799" s="362"/>
      <c r="AO799" s="362"/>
      <c r="AP799" s="362"/>
      <c r="AQ799" s="362"/>
      <c r="AR799" s="362"/>
      <c r="AS799" s="362"/>
      <c r="AT799" s="362"/>
      <c r="AU799" s="362"/>
      <c r="AV799" s="362"/>
      <c r="AW799" s="362"/>
      <c r="AX799" s="362"/>
      <c r="AY799" s="362"/>
      <c r="AZ799" s="362"/>
      <c r="BA799" s="362"/>
      <c r="BB799" s="362"/>
      <c r="BC799" s="362"/>
      <c r="BD799" s="362"/>
      <c r="BE799" s="362"/>
      <c r="BF799" s="362"/>
      <c r="BG799" s="362"/>
      <c r="BH799" s="362"/>
      <c r="BI799" s="362"/>
      <c r="BJ799" s="362"/>
      <c r="BK799" s="362"/>
      <c r="BL799" s="362"/>
      <c r="BM799" s="362"/>
      <c r="BN799" s="362"/>
      <c r="BO799" s="362"/>
      <c r="BP799" s="362"/>
      <c r="BQ799" s="362"/>
      <c r="BR799" s="362"/>
      <c r="BS799" s="362"/>
      <c r="BT799" s="362"/>
      <c r="BU799" s="362"/>
      <c r="BV799" s="362"/>
      <c r="BW799" s="362"/>
      <c r="BX799" s="362"/>
      <c r="BY799" s="362"/>
      <c r="BZ799" s="362"/>
      <c r="CA799" s="362"/>
      <c r="CB799" s="362"/>
      <c r="CC799" s="362"/>
      <c r="CD799" s="362"/>
      <c r="CE799" s="362"/>
    </row>
    <row r="800" spans="1:83" ht="12.65" customHeight="1">
      <c r="A800" s="363" t="e">
        <f>RIGHT($C$83,3)&amp;"*"&amp;RIGHT($C$82,4)&amp;"*"&amp;BQ$55&amp;"*"&amp;"A"</f>
        <v>#VALUE!</v>
      </c>
      <c r="B800" s="359"/>
      <c r="C800" s="364">
        <f>ROUND(BQ60,2)</f>
        <v>0</v>
      </c>
      <c r="D800" s="359">
        <f>ROUND(BQ61,0)</f>
        <v>0</v>
      </c>
      <c r="E800" s="359">
        <f>ROUND(BQ62,0)</f>
        <v>0</v>
      </c>
      <c r="F800" s="359">
        <f>ROUND(BQ63,0)</f>
        <v>0</v>
      </c>
      <c r="G800" s="359">
        <f>ROUND(BQ64,0)</f>
        <v>0</v>
      </c>
      <c r="H800" s="359">
        <f>ROUND(BQ65,0)</f>
        <v>0</v>
      </c>
      <c r="I800" s="359">
        <f>ROUND(BQ66,0)</f>
        <v>0</v>
      </c>
      <c r="J800" s="359">
        <f>ROUND(BQ67,0)</f>
        <v>0</v>
      </c>
      <c r="K800" s="359">
        <f>ROUND(BQ68,0)</f>
        <v>0</v>
      </c>
      <c r="L800" s="359">
        <f>ROUND(BQ69,0)</f>
        <v>0</v>
      </c>
      <c r="M800" s="359">
        <f>ROUND(BQ70,0)</f>
        <v>0</v>
      </c>
      <c r="N800" s="359"/>
      <c r="O800" s="359"/>
      <c r="P800" s="359">
        <f>IF(BQ76&gt;0,ROUND(BQ76,0),0)</f>
        <v>0</v>
      </c>
      <c r="Q800" s="359">
        <f>IF(BQ77&gt;0,ROUND(BQ77,0),0)</f>
        <v>0</v>
      </c>
      <c r="R800" s="359">
        <f>IF(BQ78&gt;0,ROUND(BQ78,0),0)</f>
        <v>0</v>
      </c>
      <c r="S800" s="359">
        <f>IF(BQ79&gt;0,ROUND(BQ79,0),0)</f>
        <v>0</v>
      </c>
      <c r="T800" s="364">
        <f>IF(BQ80&gt;0,ROUND(BQ80,2),0)</f>
        <v>0</v>
      </c>
      <c r="U800" s="359"/>
      <c r="V800" s="362"/>
      <c r="W800" s="359"/>
      <c r="X800" s="359"/>
      <c r="Y800" s="359"/>
      <c r="Z800" s="362"/>
      <c r="AA800" s="362"/>
      <c r="AB800" s="362"/>
      <c r="AC800" s="362"/>
      <c r="AD800" s="362"/>
      <c r="AE800" s="362"/>
      <c r="AF800" s="362"/>
      <c r="AG800" s="362"/>
      <c r="AH800" s="362"/>
      <c r="AI800" s="362"/>
      <c r="AJ800" s="362"/>
      <c r="AK800" s="362"/>
      <c r="AL800" s="362"/>
      <c r="AM800" s="362"/>
      <c r="AN800" s="362"/>
      <c r="AO800" s="362"/>
      <c r="AP800" s="362"/>
      <c r="AQ800" s="362"/>
      <c r="AR800" s="362"/>
      <c r="AS800" s="362"/>
      <c r="AT800" s="362"/>
      <c r="AU800" s="362"/>
      <c r="AV800" s="362"/>
      <c r="AW800" s="362"/>
      <c r="AX800" s="362"/>
      <c r="AY800" s="362"/>
      <c r="AZ800" s="362"/>
      <c r="BA800" s="362"/>
      <c r="BB800" s="362"/>
      <c r="BC800" s="362"/>
      <c r="BD800" s="362"/>
      <c r="BE800" s="362"/>
      <c r="BF800" s="362"/>
      <c r="BG800" s="362"/>
      <c r="BH800" s="362"/>
      <c r="BI800" s="362"/>
      <c r="BJ800" s="362"/>
      <c r="BK800" s="362"/>
      <c r="BL800" s="362"/>
      <c r="BM800" s="362"/>
      <c r="BN800" s="362"/>
      <c r="BO800" s="362"/>
      <c r="BP800" s="362"/>
      <c r="BQ800" s="362"/>
      <c r="BR800" s="362"/>
      <c r="BS800" s="362"/>
      <c r="BT800" s="362"/>
      <c r="BU800" s="362"/>
      <c r="BV800" s="362"/>
      <c r="BW800" s="362"/>
      <c r="BX800" s="362"/>
      <c r="BY800" s="362"/>
      <c r="BZ800" s="362"/>
      <c r="CA800" s="362"/>
      <c r="CB800" s="362"/>
      <c r="CC800" s="362"/>
      <c r="CD800" s="362"/>
      <c r="CE800" s="362"/>
    </row>
    <row r="801" spans="1:83" ht="12.65" customHeight="1">
      <c r="A801" s="363" t="e">
        <f>RIGHT($C$83,3)&amp;"*"&amp;RIGHT($C$82,4)&amp;"*"&amp;BR$55&amp;"*"&amp;"A"</f>
        <v>#VALUE!</v>
      </c>
      <c r="B801" s="359"/>
      <c r="C801" s="364">
        <f>ROUND(BR60,2)</f>
        <v>4.75</v>
      </c>
      <c r="D801" s="359">
        <f>ROUND(BR61,0)</f>
        <v>86565</v>
      </c>
      <c r="E801" s="359">
        <f>ROUND(BR62,0)</f>
        <v>1158841</v>
      </c>
      <c r="F801" s="359">
        <f>ROUND(BR63,0)</f>
        <v>0</v>
      </c>
      <c r="G801" s="359">
        <f>ROUND(BR64,0)</f>
        <v>936</v>
      </c>
      <c r="H801" s="359">
        <f>ROUND(BR65,0)</f>
        <v>0</v>
      </c>
      <c r="I801" s="359">
        <f>ROUND(BR66,0)</f>
        <v>44171</v>
      </c>
      <c r="J801" s="359">
        <f>ROUND(BR67,0)</f>
        <v>0</v>
      </c>
      <c r="K801" s="359">
        <f>ROUND(BR68,0)</f>
        <v>0</v>
      </c>
      <c r="L801" s="359">
        <f>ROUND(BR69,0)</f>
        <v>47357</v>
      </c>
      <c r="M801" s="359">
        <f>ROUND(BR70,0)</f>
        <v>0</v>
      </c>
      <c r="N801" s="359"/>
      <c r="O801" s="359"/>
      <c r="P801" s="359">
        <f>IF(BR76&gt;0,ROUND(BR76,0),0)</f>
        <v>1013</v>
      </c>
      <c r="Q801" s="359">
        <f>IF(BR77&gt;0,ROUND(BR77,0),0)</f>
        <v>0</v>
      </c>
      <c r="R801" s="359">
        <f>IF(BR78&gt;0,ROUND(BR78,0),0)</f>
        <v>0</v>
      </c>
      <c r="S801" s="359">
        <f>IF(BR79&gt;0,ROUND(BR79,0),0)</f>
        <v>0</v>
      </c>
      <c r="T801" s="364">
        <f>IF(BR80&gt;0,ROUND(BR80,2),0)</f>
        <v>0</v>
      </c>
      <c r="U801" s="359"/>
      <c r="V801" s="362"/>
      <c r="W801" s="359"/>
      <c r="X801" s="359"/>
      <c r="Y801" s="359"/>
      <c r="Z801" s="362"/>
      <c r="AA801" s="362"/>
      <c r="AB801" s="362"/>
      <c r="AC801" s="362"/>
      <c r="AD801" s="362"/>
      <c r="AE801" s="362"/>
      <c r="AF801" s="362"/>
      <c r="AG801" s="362"/>
      <c r="AH801" s="362"/>
      <c r="AI801" s="362"/>
      <c r="AJ801" s="362"/>
      <c r="AK801" s="362"/>
      <c r="AL801" s="362"/>
      <c r="AM801" s="362"/>
      <c r="AN801" s="362"/>
      <c r="AO801" s="362"/>
      <c r="AP801" s="362"/>
      <c r="AQ801" s="362"/>
      <c r="AR801" s="362"/>
      <c r="AS801" s="362"/>
      <c r="AT801" s="362"/>
      <c r="AU801" s="362"/>
      <c r="AV801" s="362"/>
      <c r="AW801" s="362"/>
      <c r="AX801" s="362"/>
      <c r="AY801" s="362"/>
      <c r="AZ801" s="362"/>
      <c r="BA801" s="362"/>
      <c r="BB801" s="362"/>
      <c r="BC801" s="362"/>
      <c r="BD801" s="362"/>
      <c r="BE801" s="362"/>
      <c r="BF801" s="362"/>
      <c r="BG801" s="362"/>
      <c r="BH801" s="362"/>
      <c r="BI801" s="362"/>
      <c r="BJ801" s="362"/>
      <c r="BK801" s="362"/>
      <c r="BL801" s="362"/>
      <c r="BM801" s="362"/>
      <c r="BN801" s="362"/>
      <c r="BO801" s="362"/>
      <c r="BP801" s="362"/>
      <c r="BQ801" s="362"/>
      <c r="BR801" s="362"/>
      <c r="BS801" s="362"/>
      <c r="BT801" s="362"/>
      <c r="BU801" s="362"/>
      <c r="BV801" s="362"/>
      <c r="BW801" s="362"/>
      <c r="BX801" s="362"/>
      <c r="BY801" s="362"/>
      <c r="BZ801" s="362"/>
      <c r="CA801" s="362"/>
      <c r="CB801" s="362"/>
      <c r="CC801" s="362"/>
      <c r="CD801" s="362"/>
      <c r="CE801" s="362"/>
    </row>
    <row r="802" spans="1:83" ht="12.65" customHeight="1">
      <c r="A802" s="363" t="e">
        <f>RIGHT($C$83,3)&amp;"*"&amp;RIGHT($C$82,4)&amp;"*"&amp;BS$55&amp;"*"&amp;"A"</f>
        <v>#VALUE!</v>
      </c>
      <c r="B802" s="359"/>
      <c r="C802" s="364">
        <f>ROUND(BS60,2)</f>
        <v>0</v>
      </c>
      <c r="D802" s="359">
        <f>ROUND(BS61,0)</f>
        <v>0</v>
      </c>
      <c r="E802" s="359">
        <f>ROUND(BS62,0)</f>
        <v>0</v>
      </c>
      <c r="F802" s="359">
        <f>ROUND(BS63,0)</f>
        <v>0</v>
      </c>
      <c r="G802" s="359">
        <f>ROUND(BS64,0)</f>
        <v>0</v>
      </c>
      <c r="H802" s="359">
        <f>ROUND(BS65,0)</f>
        <v>0</v>
      </c>
      <c r="I802" s="359">
        <f>ROUND(BS66,0)</f>
        <v>0</v>
      </c>
      <c r="J802" s="359">
        <f>ROUND(BS67,0)</f>
        <v>0</v>
      </c>
      <c r="K802" s="359">
        <f>ROUND(BS68,0)</f>
        <v>0</v>
      </c>
      <c r="L802" s="359">
        <f>ROUND(BS69,0)</f>
        <v>0</v>
      </c>
      <c r="M802" s="359">
        <f>ROUND(BS70,0)</f>
        <v>0</v>
      </c>
      <c r="N802" s="359"/>
      <c r="O802" s="359"/>
      <c r="P802" s="359">
        <f>IF(BS76&gt;0,ROUND(BS76,0),0)</f>
        <v>286</v>
      </c>
      <c r="Q802" s="359">
        <f>IF(BS77&gt;0,ROUND(BS77,0),0)</f>
        <v>0</v>
      </c>
      <c r="R802" s="359">
        <f>IF(BS78&gt;0,ROUND(BS78,0),0)</f>
        <v>19</v>
      </c>
      <c r="S802" s="359">
        <f>IF(BS79&gt;0,ROUND(BS79,0),0)</f>
        <v>0</v>
      </c>
      <c r="T802" s="364">
        <f>IF(BS80&gt;0,ROUND(BS80,2),0)</f>
        <v>0</v>
      </c>
      <c r="U802" s="359"/>
      <c r="V802" s="362"/>
      <c r="W802" s="359"/>
      <c r="X802" s="359"/>
      <c r="Y802" s="359"/>
      <c r="Z802" s="362"/>
      <c r="AA802" s="362"/>
      <c r="AB802" s="362"/>
      <c r="AC802" s="362"/>
      <c r="AD802" s="362"/>
      <c r="AE802" s="362"/>
      <c r="AF802" s="362"/>
      <c r="AG802" s="362"/>
      <c r="AH802" s="362"/>
      <c r="AI802" s="362"/>
      <c r="AJ802" s="362"/>
      <c r="AK802" s="362"/>
      <c r="AL802" s="362"/>
      <c r="AM802" s="362"/>
      <c r="AN802" s="362"/>
      <c r="AO802" s="362"/>
      <c r="AP802" s="362"/>
      <c r="AQ802" s="362"/>
      <c r="AR802" s="362"/>
      <c r="AS802" s="362"/>
      <c r="AT802" s="362"/>
      <c r="AU802" s="362"/>
      <c r="AV802" s="362"/>
      <c r="AW802" s="362"/>
      <c r="AX802" s="362"/>
      <c r="AY802" s="362"/>
      <c r="AZ802" s="362"/>
      <c r="BA802" s="362"/>
      <c r="BB802" s="362"/>
      <c r="BC802" s="362"/>
      <c r="BD802" s="362"/>
      <c r="BE802" s="362"/>
      <c r="BF802" s="362"/>
      <c r="BG802" s="362"/>
      <c r="BH802" s="362"/>
      <c r="BI802" s="362"/>
      <c r="BJ802" s="362"/>
      <c r="BK802" s="362"/>
      <c r="BL802" s="362"/>
      <c r="BM802" s="362"/>
      <c r="BN802" s="362"/>
      <c r="BO802" s="362"/>
      <c r="BP802" s="362"/>
      <c r="BQ802" s="362"/>
      <c r="BR802" s="362"/>
      <c r="BS802" s="362"/>
      <c r="BT802" s="362"/>
      <c r="BU802" s="362"/>
      <c r="BV802" s="362"/>
      <c r="BW802" s="362"/>
      <c r="BX802" s="362"/>
      <c r="BY802" s="362"/>
      <c r="BZ802" s="362"/>
      <c r="CA802" s="362"/>
      <c r="CB802" s="362"/>
      <c r="CC802" s="362"/>
      <c r="CD802" s="362"/>
      <c r="CE802" s="362"/>
    </row>
    <row r="803" spans="1:83" ht="12.65" customHeight="1">
      <c r="A803" s="363" t="e">
        <f>RIGHT($C$83,3)&amp;"*"&amp;RIGHT($C$82,4)&amp;"*"&amp;BT$55&amp;"*"&amp;"A"</f>
        <v>#VALUE!</v>
      </c>
      <c r="B803" s="359"/>
      <c r="C803" s="364">
        <f>ROUND(BT60,2)</f>
        <v>0</v>
      </c>
      <c r="D803" s="359">
        <f>ROUND(BT61,0)</f>
        <v>0</v>
      </c>
      <c r="E803" s="359">
        <f>ROUND(BT62,0)</f>
        <v>0</v>
      </c>
      <c r="F803" s="359">
        <f>ROUND(BT63,0)</f>
        <v>0</v>
      </c>
      <c r="G803" s="359">
        <f>ROUND(BT64,0)</f>
        <v>0</v>
      </c>
      <c r="H803" s="359">
        <f>ROUND(BT65,0)</f>
        <v>0</v>
      </c>
      <c r="I803" s="359">
        <f>ROUND(BT66,0)</f>
        <v>0</v>
      </c>
      <c r="J803" s="359">
        <f>ROUND(BT67,0)</f>
        <v>0</v>
      </c>
      <c r="K803" s="359">
        <f>ROUND(BT68,0)</f>
        <v>0</v>
      </c>
      <c r="L803" s="359">
        <f>ROUND(BT69,0)</f>
        <v>0</v>
      </c>
      <c r="M803" s="359">
        <f>ROUND(BT70,0)</f>
        <v>0</v>
      </c>
      <c r="N803" s="359"/>
      <c r="O803" s="359"/>
      <c r="P803" s="359">
        <f>IF(BT76&gt;0,ROUND(BT76,0),0)</f>
        <v>0</v>
      </c>
      <c r="Q803" s="359">
        <f>IF(BT77&gt;0,ROUND(BT77,0),0)</f>
        <v>0</v>
      </c>
      <c r="R803" s="359">
        <f>IF(BT78&gt;0,ROUND(BT78,0),0)</f>
        <v>0</v>
      </c>
      <c r="S803" s="359">
        <f>IF(BT79&gt;0,ROUND(BT79,0),0)</f>
        <v>0</v>
      </c>
      <c r="T803" s="364">
        <f>IF(BT80&gt;0,ROUND(BT80,2),0)</f>
        <v>0</v>
      </c>
      <c r="U803" s="359"/>
      <c r="V803" s="362"/>
      <c r="W803" s="359"/>
      <c r="X803" s="359"/>
      <c r="Y803" s="359"/>
      <c r="Z803" s="362"/>
      <c r="AA803" s="362"/>
      <c r="AB803" s="362"/>
      <c r="AC803" s="362"/>
      <c r="AD803" s="362"/>
      <c r="AE803" s="362"/>
      <c r="AF803" s="362"/>
      <c r="AG803" s="362"/>
      <c r="AH803" s="362"/>
      <c r="AI803" s="362"/>
      <c r="AJ803" s="362"/>
      <c r="AK803" s="362"/>
      <c r="AL803" s="362"/>
      <c r="AM803" s="362"/>
      <c r="AN803" s="362"/>
      <c r="AO803" s="362"/>
      <c r="AP803" s="362"/>
      <c r="AQ803" s="362"/>
      <c r="AR803" s="362"/>
      <c r="AS803" s="362"/>
      <c r="AT803" s="362"/>
      <c r="AU803" s="362"/>
      <c r="AV803" s="362"/>
      <c r="AW803" s="362"/>
      <c r="AX803" s="362"/>
      <c r="AY803" s="362"/>
      <c r="AZ803" s="362"/>
      <c r="BA803" s="362"/>
      <c r="BB803" s="362"/>
      <c r="BC803" s="362"/>
      <c r="BD803" s="362"/>
      <c r="BE803" s="362"/>
      <c r="BF803" s="362"/>
      <c r="BG803" s="362"/>
      <c r="BH803" s="362"/>
      <c r="BI803" s="362"/>
      <c r="BJ803" s="362"/>
      <c r="BK803" s="362"/>
      <c r="BL803" s="362"/>
      <c r="BM803" s="362"/>
      <c r="BN803" s="362"/>
      <c r="BO803" s="362"/>
      <c r="BP803" s="362"/>
      <c r="BQ803" s="362"/>
      <c r="BR803" s="362"/>
      <c r="BS803" s="362"/>
      <c r="BT803" s="362"/>
      <c r="BU803" s="362"/>
      <c r="BV803" s="362"/>
      <c r="BW803" s="362"/>
      <c r="BX803" s="362"/>
      <c r="BY803" s="362"/>
      <c r="BZ803" s="362"/>
      <c r="CA803" s="362"/>
      <c r="CB803" s="362"/>
      <c r="CC803" s="362"/>
      <c r="CD803" s="362"/>
      <c r="CE803" s="362"/>
    </row>
    <row r="804" spans="1:83" ht="12.65" customHeight="1">
      <c r="A804" s="363" t="e">
        <f>RIGHT($C$83,3)&amp;"*"&amp;RIGHT($C$82,4)&amp;"*"&amp;BU$55&amp;"*"&amp;"A"</f>
        <v>#VALUE!</v>
      </c>
      <c r="B804" s="359"/>
      <c r="C804" s="364">
        <f>ROUND(BU60,2)</f>
        <v>0</v>
      </c>
      <c r="D804" s="359">
        <f>ROUND(BU61,0)</f>
        <v>0</v>
      </c>
      <c r="E804" s="359">
        <f>ROUND(BU62,0)</f>
        <v>0</v>
      </c>
      <c r="F804" s="359">
        <f>ROUND(BU63,0)</f>
        <v>0</v>
      </c>
      <c r="G804" s="359">
        <f>ROUND(BU64,0)</f>
        <v>0</v>
      </c>
      <c r="H804" s="359">
        <f>ROUND(BU65,0)</f>
        <v>0</v>
      </c>
      <c r="I804" s="359">
        <f>ROUND(BU66,0)</f>
        <v>0</v>
      </c>
      <c r="J804" s="359">
        <f>ROUND(BU67,0)</f>
        <v>0</v>
      </c>
      <c r="K804" s="359">
        <f>ROUND(BU68,0)</f>
        <v>0</v>
      </c>
      <c r="L804" s="359">
        <f>ROUND(BU69,0)</f>
        <v>0</v>
      </c>
      <c r="M804" s="359">
        <f>ROUND(BU70,0)</f>
        <v>0</v>
      </c>
      <c r="N804" s="359"/>
      <c r="O804" s="359"/>
      <c r="P804" s="359">
        <f>IF(BU76&gt;0,ROUND(BU76,0),0)</f>
        <v>3355</v>
      </c>
      <c r="Q804" s="359">
        <f>IF(BU77&gt;0,ROUND(BU77,0),0)</f>
        <v>0</v>
      </c>
      <c r="R804" s="359">
        <f>IF(BU78&gt;0,ROUND(BU78,0),0)</f>
        <v>0</v>
      </c>
      <c r="S804" s="359">
        <f>IF(BU79&gt;0,ROUND(BU79,0),0)</f>
        <v>0</v>
      </c>
      <c r="T804" s="364">
        <f>IF(BU80&gt;0,ROUND(BU80,2),0)</f>
        <v>0</v>
      </c>
      <c r="U804" s="359"/>
      <c r="V804" s="362"/>
      <c r="W804" s="359"/>
      <c r="X804" s="359"/>
      <c r="Y804" s="359"/>
      <c r="Z804" s="362"/>
      <c r="AA804" s="362"/>
      <c r="AB804" s="362"/>
      <c r="AC804" s="362"/>
      <c r="AD804" s="362"/>
      <c r="AE804" s="362"/>
      <c r="AF804" s="362"/>
      <c r="AG804" s="362"/>
      <c r="AH804" s="362"/>
      <c r="AI804" s="362"/>
      <c r="AJ804" s="362"/>
      <c r="AK804" s="362"/>
      <c r="AL804" s="362"/>
      <c r="AM804" s="362"/>
      <c r="AN804" s="362"/>
      <c r="AO804" s="362"/>
      <c r="AP804" s="362"/>
      <c r="AQ804" s="362"/>
      <c r="AR804" s="362"/>
      <c r="AS804" s="362"/>
      <c r="AT804" s="362"/>
      <c r="AU804" s="362"/>
      <c r="AV804" s="362"/>
      <c r="AW804" s="362"/>
      <c r="AX804" s="362"/>
      <c r="AY804" s="362"/>
      <c r="AZ804" s="362"/>
      <c r="BA804" s="362"/>
      <c r="BB804" s="362"/>
      <c r="BC804" s="362"/>
      <c r="BD804" s="362"/>
      <c r="BE804" s="362"/>
      <c r="BF804" s="362"/>
      <c r="BG804" s="362"/>
      <c r="BH804" s="362"/>
      <c r="BI804" s="362"/>
      <c r="BJ804" s="362"/>
      <c r="BK804" s="362"/>
      <c r="BL804" s="362"/>
      <c r="BM804" s="362"/>
      <c r="BN804" s="362"/>
      <c r="BO804" s="362"/>
      <c r="BP804" s="362"/>
      <c r="BQ804" s="362"/>
      <c r="BR804" s="362"/>
      <c r="BS804" s="362"/>
      <c r="BT804" s="362"/>
      <c r="BU804" s="362"/>
      <c r="BV804" s="362"/>
      <c r="BW804" s="362"/>
      <c r="BX804" s="362"/>
      <c r="BY804" s="362"/>
      <c r="BZ804" s="362"/>
      <c r="CA804" s="362"/>
      <c r="CB804" s="362"/>
      <c r="CC804" s="362"/>
      <c r="CD804" s="362"/>
      <c r="CE804" s="362"/>
    </row>
    <row r="805" spans="1:83" ht="12.65" customHeight="1">
      <c r="A805" s="363" t="e">
        <f>RIGHT($C$83,3)&amp;"*"&amp;RIGHT($C$82,4)&amp;"*"&amp;BV$55&amp;"*"&amp;"A"</f>
        <v>#VALUE!</v>
      </c>
      <c r="B805" s="359"/>
      <c r="C805" s="364">
        <f>ROUND(BV60,2)</f>
        <v>11.21</v>
      </c>
      <c r="D805" s="359">
        <f>ROUND(BV61,0)</f>
        <v>176289</v>
      </c>
      <c r="E805" s="359">
        <f>ROUND(BV62,0)</f>
        <v>35315</v>
      </c>
      <c r="F805" s="359">
        <f>ROUND(BV63,0)</f>
        <v>0</v>
      </c>
      <c r="G805" s="359">
        <f>ROUND(BV64,0)</f>
        <v>1532</v>
      </c>
      <c r="H805" s="359">
        <f>ROUND(BV65,0)</f>
        <v>0</v>
      </c>
      <c r="I805" s="359">
        <f>ROUND(BV66,0)</f>
        <v>53038</v>
      </c>
      <c r="J805" s="359">
        <f>ROUND(BV67,0)</f>
        <v>0</v>
      </c>
      <c r="K805" s="359">
        <f>ROUND(BV68,0)</f>
        <v>10243</v>
      </c>
      <c r="L805" s="359">
        <f>ROUND(BV69,0)</f>
        <v>2018</v>
      </c>
      <c r="M805" s="359">
        <f>ROUND(BV70,0)</f>
        <v>0</v>
      </c>
      <c r="N805" s="359"/>
      <c r="O805" s="359"/>
      <c r="P805" s="359">
        <f>IF(BV76&gt;0,ROUND(BV76,0),0)</f>
        <v>0</v>
      </c>
      <c r="Q805" s="359">
        <f>IF(BV77&gt;0,ROUND(BV77,0),0)</f>
        <v>0</v>
      </c>
      <c r="R805" s="359">
        <f>IF(BV78&gt;0,ROUND(BV78,0),0)</f>
        <v>219</v>
      </c>
      <c r="S805" s="359">
        <f>IF(BV79&gt;0,ROUND(BV79,0),0)</f>
        <v>0</v>
      </c>
      <c r="T805" s="364">
        <f>IF(BV80&gt;0,ROUND(BV80,2),0)</f>
        <v>0</v>
      </c>
      <c r="U805" s="359"/>
      <c r="V805" s="362"/>
      <c r="W805" s="359"/>
      <c r="X805" s="359"/>
      <c r="Y805" s="359"/>
      <c r="Z805" s="362"/>
      <c r="AA805" s="362"/>
      <c r="AB805" s="362"/>
      <c r="AC805" s="362"/>
      <c r="AD805" s="362"/>
      <c r="AE805" s="362"/>
      <c r="AF805" s="362"/>
      <c r="AG805" s="362"/>
      <c r="AH805" s="362"/>
      <c r="AI805" s="362"/>
      <c r="AJ805" s="362"/>
      <c r="AK805" s="362"/>
      <c r="AL805" s="362"/>
      <c r="AM805" s="362"/>
      <c r="AN805" s="362"/>
      <c r="AO805" s="362"/>
      <c r="AP805" s="362"/>
      <c r="AQ805" s="362"/>
      <c r="AR805" s="362"/>
      <c r="AS805" s="362"/>
      <c r="AT805" s="362"/>
      <c r="AU805" s="362"/>
      <c r="AV805" s="362"/>
      <c r="AW805" s="362"/>
      <c r="AX805" s="362"/>
      <c r="AY805" s="362"/>
      <c r="AZ805" s="362"/>
      <c r="BA805" s="362"/>
      <c r="BB805" s="362"/>
      <c r="BC805" s="362"/>
      <c r="BD805" s="362"/>
      <c r="BE805" s="362"/>
      <c r="BF805" s="362"/>
      <c r="BG805" s="362"/>
      <c r="BH805" s="362"/>
      <c r="BI805" s="362"/>
      <c r="BJ805" s="362"/>
      <c r="BK805" s="362"/>
      <c r="BL805" s="362"/>
      <c r="BM805" s="362"/>
      <c r="BN805" s="362"/>
      <c r="BO805" s="362"/>
      <c r="BP805" s="362"/>
      <c r="BQ805" s="362"/>
      <c r="BR805" s="362"/>
      <c r="BS805" s="362"/>
      <c r="BT805" s="362"/>
      <c r="BU805" s="362"/>
      <c r="BV805" s="362"/>
      <c r="BW805" s="362"/>
      <c r="BX805" s="362"/>
      <c r="BY805" s="362"/>
      <c r="BZ805" s="362"/>
      <c r="CA805" s="362"/>
      <c r="CB805" s="362"/>
      <c r="CC805" s="362"/>
      <c r="CD805" s="362"/>
      <c r="CE805" s="362"/>
    </row>
    <row r="806" spans="1:83" ht="12.65" customHeight="1">
      <c r="A806" s="363" t="e">
        <f>RIGHT($C$83,3)&amp;"*"&amp;RIGHT($C$82,4)&amp;"*"&amp;BW$55&amp;"*"&amp;"A"</f>
        <v>#VALUE!</v>
      </c>
      <c r="B806" s="359"/>
      <c r="C806" s="364">
        <f>ROUND(BW60,2)</f>
        <v>1.22</v>
      </c>
      <c r="D806" s="359">
        <f>ROUND(BW61,0)</f>
        <v>35115</v>
      </c>
      <c r="E806" s="359">
        <f>ROUND(BW62,0)</f>
        <v>6893</v>
      </c>
      <c r="F806" s="359">
        <f>ROUND(BW63,0)</f>
        <v>0</v>
      </c>
      <c r="G806" s="359">
        <f>ROUND(BW64,0)</f>
        <v>252</v>
      </c>
      <c r="H806" s="359">
        <f>ROUND(BW65,0)</f>
        <v>0</v>
      </c>
      <c r="I806" s="359">
        <f>ROUND(BW66,0)</f>
        <v>17425</v>
      </c>
      <c r="J806" s="359">
        <f>ROUND(BW67,0)</f>
        <v>0</v>
      </c>
      <c r="K806" s="359">
        <f>ROUND(BW68,0)</f>
        <v>128</v>
      </c>
      <c r="L806" s="359">
        <f>ROUND(BW69,0)</f>
        <v>-1992</v>
      </c>
      <c r="M806" s="359">
        <f>ROUND(BW70,0)</f>
        <v>0</v>
      </c>
      <c r="N806" s="359"/>
      <c r="O806" s="359"/>
      <c r="P806" s="359">
        <f>IF(BW76&gt;0,ROUND(BW76,0),0)</f>
        <v>0</v>
      </c>
      <c r="Q806" s="359">
        <f>IF(BW77&gt;0,ROUND(BW77,0),0)</f>
        <v>0</v>
      </c>
      <c r="R806" s="359">
        <f>IF(BW78&gt;0,ROUND(BW78,0),0)</f>
        <v>0</v>
      </c>
      <c r="S806" s="359">
        <f>IF(BW79&gt;0,ROUND(BW79,0),0)</f>
        <v>0</v>
      </c>
      <c r="T806" s="364">
        <f>IF(BW80&gt;0,ROUND(BW80,2),0)</f>
        <v>0</v>
      </c>
      <c r="U806" s="359"/>
      <c r="V806" s="362"/>
      <c r="W806" s="359"/>
      <c r="X806" s="359"/>
      <c r="Y806" s="359"/>
      <c r="Z806" s="362"/>
      <c r="AA806" s="362"/>
      <c r="AB806" s="362"/>
      <c r="AC806" s="362"/>
      <c r="AD806" s="362"/>
      <c r="AE806" s="362"/>
      <c r="AF806" s="362"/>
      <c r="AG806" s="362"/>
      <c r="AH806" s="362"/>
      <c r="AI806" s="362"/>
      <c r="AJ806" s="362"/>
      <c r="AK806" s="362"/>
      <c r="AL806" s="362"/>
      <c r="AM806" s="362"/>
      <c r="AN806" s="362"/>
      <c r="AO806" s="362"/>
      <c r="AP806" s="362"/>
      <c r="AQ806" s="362"/>
      <c r="AR806" s="362"/>
      <c r="AS806" s="362"/>
      <c r="AT806" s="362"/>
      <c r="AU806" s="362"/>
      <c r="AV806" s="362"/>
      <c r="AW806" s="362"/>
      <c r="AX806" s="362"/>
      <c r="AY806" s="362"/>
      <c r="AZ806" s="362"/>
      <c r="BA806" s="362"/>
      <c r="BB806" s="362"/>
      <c r="BC806" s="362"/>
      <c r="BD806" s="362"/>
      <c r="BE806" s="362"/>
      <c r="BF806" s="362"/>
      <c r="BG806" s="362"/>
      <c r="BH806" s="362"/>
      <c r="BI806" s="362"/>
      <c r="BJ806" s="362"/>
      <c r="BK806" s="362"/>
      <c r="BL806" s="362"/>
      <c r="BM806" s="362"/>
      <c r="BN806" s="362"/>
      <c r="BO806" s="362"/>
      <c r="BP806" s="362"/>
      <c r="BQ806" s="362"/>
      <c r="BR806" s="362"/>
      <c r="BS806" s="362"/>
      <c r="BT806" s="362"/>
      <c r="BU806" s="362"/>
      <c r="BV806" s="362"/>
      <c r="BW806" s="362"/>
      <c r="BX806" s="362"/>
      <c r="BY806" s="362"/>
      <c r="BZ806" s="362"/>
      <c r="CA806" s="362"/>
      <c r="CB806" s="362"/>
      <c r="CC806" s="362"/>
      <c r="CD806" s="362"/>
      <c r="CE806" s="362"/>
    </row>
    <row r="807" spans="1:83" ht="12.65" customHeight="1">
      <c r="A807" s="363" t="e">
        <f>RIGHT($C$83,3)&amp;"*"&amp;RIGHT($C$82,4)&amp;"*"&amp;BX$55&amp;"*"&amp;"A"</f>
        <v>#VALUE!</v>
      </c>
      <c r="B807" s="359"/>
      <c r="C807" s="364">
        <f>ROUND(BX60,2)</f>
        <v>3.36</v>
      </c>
      <c r="D807" s="359">
        <f>ROUND(BX61,0)</f>
        <v>121531</v>
      </c>
      <c r="E807" s="359">
        <f>ROUND(BX62,0)</f>
        <v>23661</v>
      </c>
      <c r="F807" s="359">
        <f>ROUND(BX63,0)</f>
        <v>13950</v>
      </c>
      <c r="G807" s="359">
        <f>ROUND(BX64,0)</f>
        <v>9</v>
      </c>
      <c r="H807" s="359">
        <f>ROUND(BX65,0)</f>
        <v>0</v>
      </c>
      <c r="I807" s="359">
        <f>ROUND(BX66,0)</f>
        <v>44021</v>
      </c>
      <c r="J807" s="359">
        <f>ROUND(BX67,0)</f>
        <v>0</v>
      </c>
      <c r="K807" s="359">
        <f>ROUND(BX68,0)</f>
        <v>0</v>
      </c>
      <c r="L807" s="359">
        <f>ROUND(BX69,0)</f>
        <v>18716</v>
      </c>
      <c r="M807" s="359">
        <f>ROUND(BX70,0)</f>
        <v>0</v>
      </c>
      <c r="N807" s="359"/>
      <c r="O807" s="359"/>
      <c r="P807" s="359">
        <f>IF(BX76&gt;0,ROUND(BX76,0),0)</f>
        <v>83</v>
      </c>
      <c r="Q807" s="359">
        <f>IF(BX77&gt;0,ROUND(BX77,0),0)</f>
        <v>0</v>
      </c>
      <c r="R807" s="359">
        <f>IF(BX78&gt;0,ROUND(BX78,0),0)</f>
        <v>5</v>
      </c>
      <c r="S807" s="359">
        <f>IF(BX79&gt;0,ROUND(BX79,0),0)</f>
        <v>0</v>
      </c>
      <c r="T807" s="364">
        <f>IF(BX80&gt;0,ROUND(BX80,2),0)</f>
        <v>0</v>
      </c>
      <c r="U807" s="359"/>
      <c r="V807" s="362"/>
      <c r="W807" s="359"/>
      <c r="X807" s="359"/>
      <c r="Y807" s="359"/>
      <c r="Z807" s="362"/>
      <c r="AA807" s="362"/>
      <c r="AB807" s="362"/>
      <c r="AC807" s="362"/>
      <c r="AD807" s="362"/>
      <c r="AE807" s="362"/>
      <c r="AF807" s="362"/>
      <c r="AG807" s="362"/>
      <c r="AH807" s="362"/>
      <c r="AI807" s="362"/>
      <c r="AJ807" s="362"/>
      <c r="AK807" s="362"/>
      <c r="AL807" s="362"/>
      <c r="AM807" s="362"/>
      <c r="AN807" s="362"/>
      <c r="AO807" s="362"/>
      <c r="AP807" s="362"/>
      <c r="AQ807" s="362"/>
      <c r="AR807" s="362"/>
      <c r="AS807" s="362"/>
      <c r="AT807" s="362"/>
      <c r="AU807" s="362"/>
      <c r="AV807" s="362"/>
      <c r="AW807" s="362"/>
      <c r="AX807" s="362"/>
      <c r="AY807" s="362"/>
      <c r="AZ807" s="362"/>
      <c r="BA807" s="362"/>
      <c r="BB807" s="362"/>
      <c r="BC807" s="362"/>
      <c r="BD807" s="362"/>
      <c r="BE807" s="362"/>
      <c r="BF807" s="362"/>
      <c r="BG807" s="362"/>
      <c r="BH807" s="362"/>
      <c r="BI807" s="362"/>
      <c r="BJ807" s="362"/>
      <c r="BK807" s="362"/>
      <c r="BL807" s="362"/>
      <c r="BM807" s="362"/>
      <c r="BN807" s="362"/>
      <c r="BO807" s="362"/>
      <c r="BP807" s="362"/>
      <c r="BQ807" s="362"/>
      <c r="BR807" s="362"/>
      <c r="BS807" s="362"/>
      <c r="BT807" s="362"/>
      <c r="BU807" s="362"/>
      <c r="BV807" s="362"/>
      <c r="BW807" s="362"/>
      <c r="BX807" s="362"/>
      <c r="BY807" s="362"/>
      <c r="BZ807" s="362"/>
      <c r="CA807" s="362"/>
      <c r="CB807" s="362"/>
      <c r="CC807" s="362"/>
      <c r="CD807" s="362"/>
      <c r="CE807" s="362"/>
    </row>
    <row r="808" spans="1:83" ht="12.65" customHeight="1">
      <c r="A808" s="363" t="e">
        <f>RIGHT($C$83,3)&amp;"*"&amp;RIGHT($C$82,4)&amp;"*"&amp;BY$55&amp;"*"&amp;"A"</f>
        <v>#VALUE!</v>
      </c>
      <c r="B808" s="359"/>
      <c r="C808" s="364">
        <f>ROUND(BY60,2)</f>
        <v>2.0699999999999998</v>
      </c>
      <c r="D808" s="359">
        <f>ROUND(BY61,0)</f>
        <v>250370</v>
      </c>
      <c r="E808" s="359">
        <f>ROUND(BY62,0)</f>
        <v>48831</v>
      </c>
      <c r="F808" s="359">
        <f>ROUND(BY63,0)</f>
        <v>0</v>
      </c>
      <c r="G808" s="359">
        <f>ROUND(BY64,0)</f>
        <v>5186</v>
      </c>
      <c r="H808" s="359">
        <f>ROUND(BY65,0)</f>
        <v>0</v>
      </c>
      <c r="I808" s="359">
        <f>ROUND(BY66,0)</f>
        <v>57</v>
      </c>
      <c r="J808" s="359">
        <f>ROUND(BY67,0)</f>
        <v>0</v>
      </c>
      <c r="K808" s="359">
        <f>ROUND(BY68,0)</f>
        <v>119</v>
      </c>
      <c r="L808" s="359">
        <f>ROUND(BY69,0)</f>
        <v>-50</v>
      </c>
      <c r="M808" s="359">
        <f>ROUND(BY70,0)</f>
        <v>0</v>
      </c>
      <c r="N808" s="359"/>
      <c r="O808" s="359"/>
      <c r="P808" s="359">
        <f>IF(BY76&gt;0,ROUND(BY76,0),0)</f>
        <v>1165</v>
      </c>
      <c r="Q808" s="359">
        <f>IF(BY77&gt;0,ROUND(BY77,0),0)</f>
        <v>0</v>
      </c>
      <c r="R808" s="359">
        <f>IF(BY78&gt;0,ROUND(BY78,0),0)</f>
        <v>76</v>
      </c>
      <c r="S808" s="359">
        <f>IF(BY79&gt;0,ROUND(BY79,0),0)</f>
        <v>0</v>
      </c>
      <c r="T808" s="364">
        <f>IF(BY80&gt;0,ROUND(BY80,2),0)</f>
        <v>0</v>
      </c>
      <c r="U808" s="359"/>
      <c r="V808" s="362"/>
      <c r="W808" s="359"/>
      <c r="X808" s="359"/>
      <c r="Y808" s="359"/>
      <c r="Z808" s="362"/>
      <c r="AA808" s="362"/>
      <c r="AB808" s="362"/>
      <c r="AC808" s="362"/>
      <c r="AD808" s="362"/>
      <c r="AE808" s="362"/>
      <c r="AF808" s="362"/>
      <c r="AG808" s="362"/>
      <c r="AH808" s="362"/>
      <c r="AI808" s="362"/>
      <c r="AJ808" s="362"/>
      <c r="AK808" s="362"/>
      <c r="AL808" s="362"/>
      <c r="AM808" s="362"/>
      <c r="AN808" s="362"/>
      <c r="AO808" s="362"/>
      <c r="AP808" s="362"/>
      <c r="AQ808" s="362"/>
      <c r="AR808" s="362"/>
      <c r="AS808" s="362"/>
      <c r="AT808" s="362"/>
      <c r="AU808" s="362"/>
      <c r="AV808" s="362"/>
      <c r="AW808" s="362"/>
      <c r="AX808" s="362"/>
      <c r="AY808" s="362"/>
      <c r="AZ808" s="362"/>
      <c r="BA808" s="362"/>
      <c r="BB808" s="362"/>
      <c r="BC808" s="362"/>
      <c r="BD808" s="362"/>
      <c r="BE808" s="362"/>
      <c r="BF808" s="362"/>
      <c r="BG808" s="362"/>
      <c r="BH808" s="362"/>
      <c r="BI808" s="362"/>
      <c r="BJ808" s="362"/>
      <c r="BK808" s="362"/>
      <c r="BL808" s="362"/>
      <c r="BM808" s="362"/>
      <c r="BN808" s="362"/>
      <c r="BO808" s="362"/>
      <c r="BP808" s="362"/>
      <c r="BQ808" s="362"/>
      <c r="BR808" s="362"/>
      <c r="BS808" s="362"/>
      <c r="BT808" s="362"/>
      <c r="BU808" s="362"/>
      <c r="BV808" s="362"/>
      <c r="BW808" s="362"/>
      <c r="BX808" s="362"/>
      <c r="BY808" s="362"/>
      <c r="BZ808" s="362"/>
      <c r="CA808" s="362"/>
      <c r="CB808" s="362"/>
      <c r="CC808" s="362"/>
      <c r="CD808" s="362"/>
      <c r="CE808" s="362"/>
    </row>
    <row r="809" spans="1:83" ht="12.65" customHeight="1">
      <c r="A809" s="363" t="e">
        <f>RIGHT($C$83,3)&amp;"*"&amp;RIGHT($C$82,4)&amp;"*"&amp;BZ$55&amp;"*"&amp;"A"</f>
        <v>#VALUE!</v>
      </c>
      <c r="B809" s="359"/>
      <c r="C809" s="364">
        <f>ROUND(BZ60,2)</f>
        <v>0</v>
      </c>
      <c r="D809" s="359">
        <f>ROUND(BZ61,0)</f>
        <v>0</v>
      </c>
      <c r="E809" s="359">
        <f>ROUND(BZ62,0)</f>
        <v>0</v>
      </c>
      <c r="F809" s="359">
        <f>ROUND(BZ63,0)</f>
        <v>0</v>
      </c>
      <c r="G809" s="359">
        <f>ROUND(BZ64,0)</f>
        <v>0</v>
      </c>
      <c r="H809" s="359">
        <f>ROUND(BZ65,0)</f>
        <v>0</v>
      </c>
      <c r="I809" s="359">
        <f>ROUND(BZ66,0)</f>
        <v>0</v>
      </c>
      <c r="J809" s="359">
        <f>ROUND(BZ67,0)</f>
        <v>0</v>
      </c>
      <c r="K809" s="359">
        <f>ROUND(BZ68,0)</f>
        <v>0</v>
      </c>
      <c r="L809" s="359">
        <f>ROUND(BZ69,0)</f>
        <v>0</v>
      </c>
      <c r="M809" s="359">
        <f>ROUND(BZ70,0)</f>
        <v>0</v>
      </c>
      <c r="N809" s="359"/>
      <c r="O809" s="359"/>
      <c r="P809" s="359">
        <f>IF(BZ76&gt;0,ROUND(BZ76,0),0)</f>
        <v>0</v>
      </c>
      <c r="Q809" s="359">
        <f>IF(BZ77&gt;0,ROUND(BZ77,0),0)</f>
        <v>0</v>
      </c>
      <c r="R809" s="359">
        <f>IF(BZ78&gt;0,ROUND(BZ78,0),0)</f>
        <v>0</v>
      </c>
      <c r="S809" s="359">
        <f>IF(BZ79&gt;0,ROUND(BZ79,0),0)</f>
        <v>0</v>
      </c>
      <c r="T809" s="364">
        <f>IF(BZ80&gt;0,ROUND(BZ80,2),0)</f>
        <v>0</v>
      </c>
      <c r="U809" s="359"/>
      <c r="V809" s="362"/>
      <c r="W809" s="359"/>
      <c r="X809" s="359"/>
      <c r="Y809" s="359"/>
      <c r="Z809" s="362"/>
      <c r="AA809" s="362"/>
      <c r="AB809" s="362"/>
      <c r="AC809" s="362"/>
      <c r="AD809" s="362"/>
      <c r="AE809" s="362"/>
      <c r="AF809" s="362"/>
      <c r="AG809" s="362"/>
      <c r="AH809" s="362"/>
      <c r="AI809" s="362"/>
      <c r="AJ809" s="362"/>
      <c r="AK809" s="362"/>
      <c r="AL809" s="362"/>
      <c r="AM809" s="362"/>
      <c r="AN809" s="362"/>
      <c r="AO809" s="362"/>
      <c r="AP809" s="362"/>
      <c r="AQ809" s="362"/>
      <c r="AR809" s="362"/>
      <c r="AS809" s="362"/>
      <c r="AT809" s="362"/>
      <c r="AU809" s="362"/>
      <c r="AV809" s="362"/>
      <c r="AW809" s="362"/>
      <c r="AX809" s="362"/>
      <c r="AY809" s="362"/>
      <c r="AZ809" s="362"/>
      <c r="BA809" s="362"/>
      <c r="BB809" s="362"/>
      <c r="BC809" s="362"/>
      <c r="BD809" s="362"/>
      <c r="BE809" s="362"/>
      <c r="BF809" s="362"/>
      <c r="BG809" s="362"/>
      <c r="BH809" s="362"/>
      <c r="BI809" s="362"/>
      <c r="BJ809" s="362"/>
      <c r="BK809" s="362"/>
      <c r="BL809" s="362"/>
      <c r="BM809" s="362"/>
      <c r="BN809" s="362"/>
      <c r="BO809" s="362"/>
      <c r="BP809" s="362"/>
      <c r="BQ809" s="362"/>
      <c r="BR809" s="362"/>
      <c r="BS809" s="362"/>
      <c r="BT809" s="362"/>
      <c r="BU809" s="362"/>
      <c r="BV809" s="362"/>
      <c r="BW809" s="362"/>
      <c r="BX809" s="362"/>
      <c r="BY809" s="362"/>
      <c r="BZ809" s="362"/>
      <c r="CA809" s="362"/>
      <c r="CB809" s="362"/>
      <c r="CC809" s="362"/>
      <c r="CD809" s="362"/>
      <c r="CE809" s="362"/>
    </row>
    <row r="810" spans="1:83" ht="12.65" customHeight="1">
      <c r="A810" s="363" t="e">
        <f>RIGHT($C$83,3)&amp;"*"&amp;RIGHT($C$82,4)&amp;"*"&amp;CA$55&amp;"*"&amp;"A"</f>
        <v>#VALUE!</v>
      </c>
      <c r="B810" s="359"/>
      <c r="C810" s="364">
        <f>ROUND(CA60,2)</f>
        <v>1.87</v>
      </c>
      <c r="D810" s="359">
        <f>ROUND(CA61,0)</f>
        <v>64761</v>
      </c>
      <c r="E810" s="359">
        <f>ROUND(CA62,0)</f>
        <v>12671</v>
      </c>
      <c r="F810" s="359">
        <f>ROUND(CA63,0)</f>
        <v>0</v>
      </c>
      <c r="G810" s="359">
        <f>ROUND(CA64,0)</f>
        <v>693</v>
      </c>
      <c r="H810" s="359">
        <f>ROUND(CA65,0)</f>
        <v>0</v>
      </c>
      <c r="I810" s="359">
        <f>ROUND(CA66,0)</f>
        <v>1000</v>
      </c>
      <c r="J810" s="359">
        <f>ROUND(CA67,0)</f>
        <v>0</v>
      </c>
      <c r="K810" s="359">
        <f>ROUND(CA68,0)</f>
        <v>0</v>
      </c>
      <c r="L810" s="359">
        <f>ROUND(CA69,0)</f>
        <v>20022</v>
      </c>
      <c r="M810" s="359">
        <f>ROUND(CA70,0)</f>
        <v>0</v>
      </c>
      <c r="N810" s="359"/>
      <c r="O810" s="359"/>
      <c r="P810" s="359">
        <f>IF(CA76&gt;0,ROUND(CA76,0),0)</f>
        <v>2239</v>
      </c>
      <c r="Q810" s="359">
        <f>IF(CA77&gt;0,ROUND(CA77,0),0)</f>
        <v>0</v>
      </c>
      <c r="R810" s="359">
        <f>IF(CA78&gt;0,ROUND(CA78,0),0)</f>
        <v>146</v>
      </c>
      <c r="S810" s="359">
        <f>IF(CA79&gt;0,ROUND(CA79,0),0)</f>
        <v>0</v>
      </c>
      <c r="T810" s="364">
        <f>IF(CA80&gt;0,ROUND(CA80,2),0)</f>
        <v>0</v>
      </c>
      <c r="U810" s="359"/>
      <c r="V810" s="362"/>
      <c r="W810" s="359"/>
      <c r="X810" s="359"/>
      <c r="Y810" s="359"/>
      <c r="Z810" s="362"/>
      <c r="AA810" s="362"/>
      <c r="AB810" s="362"/>
      <c r="AC810" s="362"/>
      <c r="AD810" s="362"/>
      <c r="AE810" s="362"/>
      <c r="AF810" s="362"/>
      <c r="AG810" s="362"/>
      <c r="AH810" s="362"/>
      <c r="AI810" s="362"/>
      <c r="AJ810" s="362"/>
      <c r="AK810" s="362"/>
      <c r="AL810" s="362"/>
      <c r="AM810" s="362"/>
      <c r="AN810" s="362"/>
      <c r="AO810" s="362"/>
      <c r="AP810" s="362"/>
      <c r="AQ810" s="362"/>
      <c r="AR810" s="362"/>
      <c r="AS810" s="362"/>
      <c r="AT810" s="362"/>
      <c r="AU810" s="362"/>
      <c r="AV810" s="362"/>
      <c r="AW810" s="362"/>
      <c r="AX810" s="362"/>
      <c r="AY810" s="362"/>
      <c r="AZ810" s="362"/>
      <c r="BA810" s="362"/>
      <c r="BB810" s="362"/>
      <c r="BC810" s="362"/>
      <c r="BD810" s="362"/>
      <c r="BE810" s="362"/>
      <c r="BF810" s="362"/>
      <c r="BG810" s="362"/>
      <c r="BH810" s="362"/>
      <c r="BI810" s="362"/>
      <c r="BJ810" s="362"/>
      <c r="BK810" s="362"/>
      <c r="BL810" s="362"/>
      <c r="BM810" s="362"/>
      <c r="BN810" s="362"/>
      <c r="BO810" s="362"/>
      <c r="BP810" s="362"/>
      <c r="BQ810" s="362"/>
      <c r="BR810" s="362"/>
      <c r="BS810" s="362"/>
      <c r="BT810" s="362"/>
      <c r="BU810" s="362"/>
      <c r="BV810" s="362"/>
      <c r="BW810" s="362"/>
      <c r="BX810" s="362"/>
      <c r="BY810" s="362"/>
      <c r="BZ810" s="362"/>
      <c r="CA810" s="362"/>
      <c r="CB810" s="362"/>
      <c r="CC810" s="362"/>
      <c r="CD810" s="362"/>
      <c r="CE810" s="362"/>
    </row>
    <row r="811" spans="1:83" ht="12.65" customHeight="1">
      <c r="A811" s="363" t="e">
        <f>RIGHT($C$83,3)&amp;"*"&amp;RIGHT($C$82,4)&amp;"*"&amp;CB$55&amp;"*"&amp;"A"</f>
        <v>#VALUE!</v>
      </c>
      <c r="B811" s="359"/>
      <c r="C811" s="364">
        <f>ROUND(CB60,2)</f>
        <v>0</v>
      </c>
      <c r="D811" s="359">
        <f>ROUND(CB61,0)</f>
        <v>0</v>
      </c>
      <c r="E811" s="359">
        <f>ROUND(CB62,0)</f>
        <v>0</v>
      </c>
      <c r="F811" s="359">
        <f>ROUND(CB63,0)</f>
        <v>0</v>
      </c>
      <c r="G811" s="359">
        <f>ROUND(CB64,0)</f>
        <v>0</v>
      </c>
      <c r="H811" s="359">
        <f>ROUND(CB65,0)</f>
        <v>0</v>
      </c>
      <c r="I811" s="359">
        <f>ROUND(CB66,0)</f>
        <v>0</v>
      </c>
      <c r="J811" s="359">
        <f>ROUND(CB67,0)</f>
        <v>0</v>
      </c>
      <c r="K811" s="359">
        <f>ROUND(CB68,0)</f>
        <v>0</v>
      </c>
      <c r="L811" s="359">
        <f>ROUND(CB69,0)</f>
        <v>0</v>
      </c>
      <c r="M811" s="359">
        <f>ROUND(CB70,0)</f>
        <v>0</v>
      </c>
      <c r="N811" s="359"/>
      <c r="O811" s="359"/>
      <c r="P811" s="359">
        <f>IF(CB76&gt;0,ROUND(CB76,0),0)</f>
        <v>0</v>
      </c>
      <c r="Q811" s="359">
        <f>IF(CB77&gt;0,ROUND(CB77,0),0)</f>
        <v>0</v>
      </c>
      <c r="R811" s="359">
        <f>IF(CB78&gt;0,ROUND(CB78,0),0)</f>
        <v>0</v>
      </c>
      <c r="S811" s="359">
        <f>IF(CB79&gt;0,ROUND(CB79,0),0)</f>
        <v>0</v>
      </c>
      <c r="T811" s="364">
        <f>IF(CB80&gt;0,ROUND(CB80,2),0)</f>
        <v>0</v>
      </c>
      <c r="U811" s="359"/>
      <c r="V811" s="362"/>
      <c r="W811" s="359"/>
      <c r="X811" s="359"/>
      <c r="Y811" s="359"/>
      <c r="Z811" s="362"/>
      <c r="AA811" s="362"/>
      <c r="AB811" s="362"/>
      <c r="AC811" s="362"/>
      <c r="AD811" s="362"/>
      <c r="AE811" s="362"/>
      <c r="AF811" s="362"/>
      <c r="AG811" s="362"/>
      <c r="AH811" s="362"/>
      <c r="AI811" s="362"/>
      <c r="AJ811" s="362"/>
      <c r="AK811" s="362"/>
      <c r="AL811" s="362"/>
      <c r="AM811" s="362"/>
      <c r="AN811" s="362"/>
      <c r="AO811" s="362"/>
      <c r="AP811" s="362"/>
      <c r="AQ811" s="362"/>
      <c r="AR811" s="362"/>
      <c r="AS811" s="362"/>
      <c r="AT811" s="362"/>
      <c r="AU811" s="362"/>
      <c r="AV811" s="362"/>
      <c r="AW811" s="362"/>
      <c r="AX811" s="362"/>
      <c r="AY811" s="362"/>
      <c r="AZ811" s="362"/>
      <c r="BA811" s="362"/>
      <c r="BB811" s="362"/>
      <c r="BC811" s="362"/>
      <c r="BD811" s="362"/>
      <c r="BE811" s="362"/>
      <c r="BF811" s="362"/>
      <c r="BG811" s="362"/>
      <c r="BH811" s="362"/>
      <c r="BI811" s="362"/>
      <c r="BJ811" s="362"/>
      <c r="BK811" s="362"/>
      <c r="BL811" s="362"/>
      <c r="BM811" s="362"/>
      <c r="BN811" s="362"/>
      <c r="BO811" s="362"/>
      <c r="BP811" s="362"/>
      <c r="BQ811" s="362"/>
      <c r="BR811" s="362"/>
      <c r="BS811" s="362"/>
      <c r="BT811" s="362"/>
      <c r="BU811" s="362"/>
      <c r="BV811" s="362"/>
      <c r="BW811" s="362"/>
      <c r="BX811" s="362"/>
      <c r="BY811" s="362"/>
      <c r="BZ811" s="362"/>
      <c r="CA811" s="362"/>
      <c r="CB811" s="362"/>
      <c r="CC811" s="362"/>
      <c r="CD811" s="362"/>
      <c r="CE811" s="362"/>
    </row>
    <row r="812" spans="1:83" ht="12.65" customHeight="1">
      <c r="A812" s="363" t="e">
        <f>RIGHT($C$83,3)&amp;"*"&amp;RIGHT($C$82,4)&amp;"*"&amp;CC$55&amp;"*"&amp;"A"</f>
        <v>#VALUE!</v>
      </c>
      <c r="B812" s="359"/>
      <c r="C812" s="364">
        <f>ROUND(CC60,2)</f>
        <v>0</v>
      </c>
      <c r="D812" s="359">
        <f>ROUND(CC61,0)</f>
        <v>0</v>
      </c>
      <c r="E812" s="359">
        <f>ROUND(CC62,0)</f>
        <v>0</v>
      </c>
      <c r="F812" s="359">
        <f>ROUND(CC63,0)</f>
        <v>0</v>
      </c>
      <c r="G812" s="359">
        <f>ROUND(CC64,0)</f>
        <v>0</v>
      </c>
      <c r="H812" s="359">
        <f>ROUND(CC65,0)</f>
        <v>0</v>
      </c>
      <c r="I812" s="359">
        <f>ROUND(CC66,0)</f>
        <v>0</v>
      </c>
      <c r="J812" s="359">
        <f>ROUND(CC67,0)</f>
        <v>0</v>
      </c>
      <c r="K812" s="359">
        <f>ROUND(CC68,0)</f>
        <v>0</v>
      </c>
      <c r="L812" s="359">
        <f>ROUND(CC69,0)</f>
        <v>0</v>
      </c>
      <c r="M812" s="359">
        <f>ROUND(CC70,0)</f>
        <v>0</v>
      </c>
      <c r="N812" s="359"/>
      <c r="O812" s="359"/>
      <c r="P812" s="359">
        <f>IF(CC76&gt;0,ROUND(CC76,0),0)</f>
        <v>0</v>
      </c>
      <c r="Q812" s="359">
        <f>IF(CC77&gt;0,ROUND(CC77,0),0)</f>
        <v>0</v>
      </c>
      <c r="R812" s="359">
        <f>IF(CC78&gt;0,ROUND(CC78,0),0)</f>
        <v>0</v>
      </c>
      <c r="S812" s="359">
        <f>IF(CC79&gt;0,ROUND(CC79,0),0)</f>
        <v>0</v>
      </c>
      <c r="T812" s="364">
        <f>IF(CC80&gt;0,ROUND(CC80,2),0)</f>
        <v>0</v>
      </c>
      <c r="U812" s="359"/>
      <c r="V812" s="362"/>
      <c r="W812" s="359"/>
      <c r="X812" s="359"/>
      <c r="Y812" s="359"/>
      <c r="Z812" s="362"/>
      <c r="AA812" s="362"/>
      <c r="AB812" s="362"/>
      <c r="AC812" s="362"/>
      <c r="AD812" s="362"/>
      <c r="AE812" s="362"/>
      <c r="AF812" s="362"/>
      <c r="AG812" s="362"/>
      <c r="AH812" s="362"/>
      <c r="AI812" s="362"/>
      <c r="AJ812" s="362"/>
      <c r="AK812" s="362"/>
      <c r="AL812" s="362"/>
      <c r="AM812" s="362"/>
      <c r="AN812" s="362"/>
      <c r="AO812" s="362"/>
      <c r="AP812" s="362"/>
      <c r="AQ812" s="362"/>
      <c r="AR812" s="362"/>
      <c r="AS812" s="362"/>
      <c r="AT812" s="362"/>
      <c r="AU812" s="362"/>
      <c r="AV812" s="362"/>
      <c r="AW812" s="362"/>
      <c r="AX812" s="362"/>
      <c r="AY812" s="362"/>
      <c r="AZ812" s="362"/>
      <c r="BA812" s="362"/>
      <c r="BB812" s="362"/>
      <c r="BC812" s="362"/>
      <c r="BD812" s="362"/>
      <c r="BE812" s="362"/>
      <c r="BF812" s="362"/>
      <c r="BG812" s="362"/>
      <c r="BH812" s="362"/>
      <c r="BI812" s="362"/>
      <c r="BJ812" s="362"/>
      <c r="BK812" s="362"/>
      <c r="BL812" s="362"/>
      <c r="BM812" s="362"/>
      <c r="BN812" s="362"/>
      <c r="BO812" s="362"/>
      <c r="BP812" s="362"/>
      <c r="BQ812" s="362"/>
      <c r="BR812" s="362"/>
      <c r="BS812" s="362"/>
      <c r="BT812" s="362"/>
      <c r="BU812" s="362"/>
      <c r="BV812" s="362"/>
      <c r="BW812" s="362"/>
      <c r="BX812" s="362"/>
      <c r="BY812" s="362"/>
      <c r="BZ812" s="362"/>
      <c r="CA812" s="362"/>
      <c r="CB812" s="362"/>
      <c r="CC812" s="362"/>
      <c r="CD812" s="362"/>
      <c r="CE812" s="362"/>
    </row>
    <row r="813" spans="1:83" ht="12.65" customHeight="1">
      <c r="A813" s="363" t="e">
        <f>RIGHT($C$83,3)&amp;"*"&amp;RIGHT($C$82,4)&amp;"*"&amp;"9000"&amp;"*"&amp;"A"</f>
        <v>#VALUE!</v>
      </c>
      <c r="B813" s="359"/>
      <c r="C813" s="365"/>
      <c r="D813" s="359"/>
      <c r="E813" s="359"/>
      <c r="F813" s="359"/>
      <c r="G813" s="359"/>
      <c r="H813" s="359"/>
      <c r="I813" s="359"/>
      <c r="J813" s="359"/>
      <c r="K813" s="359"/>
      <c r="L813" s="359"/>
      <c r="M813" s="359"/>
      <c r="N813" s="359"/>
      <c r="O813" s="359"/>
      <c r="P813" s="359"/>
      <c r="Q813" s="359"/>
      <c r="R813" s="359"/>
      <c r="S813" s="359"/>
      <c r="T813" s="365"/>
      <c r="U813" s="359">
        <f>ROUND(CD69,0)</f>
        <v>0</v>
      </c>
      <c r="V813" s="362">
        <f>ROUND(CD70,0)</f>
        <v>0</v>
      </c>
      <c r="W813" s="359">
        <f>ROUND(CE72,0)</f>
        <v>0</v>
      </c>
      <c r="X813" s="359">
        <f>ROUND(C131,0)</f>
        <v>0</v>
      </c>
      <c r="Y813" s="359"/>
      <c r="Z813" s="362"/>
      <c r="AA813" s="362"/>
      <c r="AB813" s="362"/>
      <c r="AC813" s="362"/>
      <c r="AD813" s="362"/>
      <c r="AE813" s="362"/>
      <c r="AF813" s="362"/>
      <c r="AG813" s="362"/>
      <c r="AH813" s="362"/>
      <c r="AI813" s="362"/>
      <c r="AJ813" s="362"/>
      <c r="AK813" s="362"/>
      <c r="AL813" s="362"/>
      <c r="AM813" s="362"/>
      <c r="AN813" s="362"/>
      <c r="AO813" s="362"/>
      <c r="AP813" s="362"/>
      <c r="AQ813" s="362"/>
      <c r="AR813" s="362"/>
      <c r="AS813" s="362"/>
      <c r="AT813" s="362"/>
      <c r="AU813" s="362"/>
      <c r="AV813" s="362"/>
      <c r="AW813" s="362"/>
      <c r="AX813" s="362"/>
      <c r="AY813" s="362"/>
      <c r="AZ813" s="362"/>
      <c r="BA813" s="362"/>
      <c r="BB813" s="362"/>
      <c r="BC813" s="362"/>
      <c r="BD813" s="362"/>
      <c r="BE813" s="362"/>
      <c r="BF813" s="362"/>
      <c r="BG813" s="362"/>
      <c r="BH813" s="362"/>
      <c r="BI813" s="362"/>
      <c r="BJ813" s="362"/>
      <c r="BK813" s="362"/>
      <c r="BL813" s="362"/>
      <c r="BM813" s="362"/>
      <c r="BN813" s="362"/>
      <c r="BO813" s="362"/>
      <c r="BP813" s="362"/>
      <c r="BQ813" s="362"/>
      <c r="BR813" s="362"/>
      <c r="BS813" s="362"/>
      <c r="BT813" s="362"/>
      <c r="BU813" s="362"/>
      <c r="BV813" s="362"/>
      <c r="BW813" s="362"/>
      <c r="BX813" s="362"/>
      <c r="BY813" s="362"/>
      <c r="BZ813" s="362"/>
      <c r="CA813" s="362"/>
      <c r="CB813" s="362"/>
      <c r="CC813" s="362"/>
      <c r="CD813" s="362"/>
      <c r="CE813" s="362"/>
    </row>
    <row r="814" spans="1:83" ht="12.65" customHeight="1">
      <c r="B814" s="362"/>
      <c r="C814" s="362"/>
      <c r="D814" s="362"/>
      <c r="E814" s="362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62"/>
      <c r="AA814" s="362"/>
      <c r="AB814" s="362"/>
      <c r="AC814" s="362"/>
      <c r="AD814" s="362"/>
      <c r="AE814" s="362"/>
      <c r="AF814" s="362"/>
      <c r="AG814" s="362"/>
      <c r="AH814" s="362"/>
      <c r="AI814" s="362"/>
      <c r="AJ814" s="362"/>
      <c r="AK814" s="362"/>
      <c r="AL814" s="362"/>
      <c r="AM814" s="362"/>
      <c r="AN814" s="362"/>
      <c r="AO814" s="362"/>
      <c r="AP814" s="362"/>
      <c r="AQ814" s="362"/>
      <c r="AR814" s="362"/>
      <c r="AS814" s="362"/>
      <c r="AT814" s="362"/>
      <c r="AU814" s="362"/>
      <c r="AV814" s="362"/>
      <c r="AW814" s="362"/>
      <c r="AX814" s="362"/>
      <c r="AY814" s="362"/>
      <c r="AZ814" s="362"/>
      <c r="BA814" s="362"/>
      <c r="BB814" s="362"/>
      <c r="BC814" s="362"/>
      <c r="BD814" s="362"/>
      <c r="BE814" s="362"/>
      <c r="BF814" s="362"/>
      <c r="BG814" s="362"/>
      <c r="BH814" s="362"/>
      <c r="BI814" s="362"/>
      <c r="BJ814" s="362"/>
      <c r="BK814" s="362"/>
      <c r="BL814" s="362"/>
      <c r="BM814" s="362"/>
      <c r="BN814" s="362"/>
      <c r="BO814" s="362"/>
      <c r="BP814" s="362"/>
      <c r="BQ814" s="362"/>
      <c r="BR814" s="362"/>
      <c r="BS814" s="362"/>
      <c r="BT814" s="362"/>
      <c r="BU814" s="362"/>
      <c r="BV814" s="362"/>
      <c r="BW814" s="362"/>
      <c r="BX814" s="362"/>
      <c r="BY814" s="362"/>
      <c r="BZ814" s="362"/>
      <c r="CA814" s="362"/>
      <c r="CB814" s="362"/>
      <c r="CC814" s="362"/>
      <c r="CD814" s="362"/>
      <c r="CE814" s="362"/>
    </row>
    <row r="815" spans="1:83" ht="12.65" customHeight="1">
      <c r="B815" s="366" t="s">
        <v>1004</v>
      </c>
      <c r="C815" s="367">
        <f t="shared" ref="C815:K815" si="23">SUM(C734:C813)</f>
        <v>440.15000000000003</v>
      </c>
      <c r="D815" s="362">
        <f t="shared" si="23"/>
        <v>9508101</v>
      </c>
      <c r="E815" s="362">
        <f t="shared" si="23"/>
        <v>2996448</v>
      </c>
      <c r="F815" s="362">
        <f t="shared" si="23"/>
        <v>1339041</v>
      </c>
      <c r="G815" s="362">
        <f t="shared" si="23"/>
        <v>4057080</v>
      </c>
      <c r="H815" s="362">
        <f t="shared" si="23"/>
        <v>248782</v>
      </c>
      <c r="I815" s="362">
        <f t="shared" si="23"/>
        <v>2758399</v>
      </c>
      <c r="J815" s="362">
        <f t="shared" si="23"/>
        <v>0</v>
      </c>
      <c r="K815" s="362">
        <f t="shared" si="23"/>
        <v>621446</v>
      </c>
      <c r="L815" s="362">
        <f>SUM(L734:L813)+SUM(U734:U813)</f>
        <v>3168506</v>
      </c>
      <c r="M815" s="362">
        <f>SUM(M734:M813)+SUM(V734:V813)</f>
        <v>0</v>
      </c>
      <c r="N815" s="362">
        <f t="shared" ref="N815:Y815" si="24">SUM(N734:N813)</f>
        <v>141279442</v>
      </c>
      <c r="O815" s="362">
        <f t="shared" si="24"/>
        <v>53930323</v>
      </c>
      <c r="P815" s="362">
        <f t="shared" si="24"/>
        <v>155374</v>
      </c>
      <c r="Q815" s="362">
        <f t="shared" si="24"/>
        <v>9270</v>
      </c>
      <c r="R815" s="362">
        <f t="shared" si="24"/>
        <v>10157</v>
      </c>
      <c r="S815" s="362">
        <f t="shared" si="24"/>
        <v>124036</v>
      </c>
      <c r="T815" s="367">
        <f t="shared" si="24"/>
        <v>366.69999999999993</v>
      </c>
      <c r="U815" s="362">
        <f t="shared" si="24"/>
        <v>0</v>
      </c>
      <c r="V815" s="362">
        <f t="shared" si="24"/>
        <v>0</v>
      </c>
      <c r="W815" s="362">
        <f t="shared" si="24"/>
        <v>0</v>
      </c>
      <c r="X815" s="362">
        <f t="shared" si="24"/>
        <v>0</v>
      </c>
      <c r="Y815" s="362">
        <f t="shared" si="24"/>
        <v>9611777</v>
      </c>
      <c r="Z815" s="362"/>
      <c r="AA815" s="362"/>
      <c r="AB815" s="362"/>
      <c r="AC815" s="362"/>
      <c r="AD815" s="362"/>
      <c r="AE815" s="362"/>
      <c r="AF815" s="362"/>
      <c r="AG815" s="362"/>
      <c r="AH815" s="362"/>
      <c r="AI815" s="362"/>
      <c r="AJ815" s="362"/>
      <c r="AK815" s="362"/>
      <c r="AL815" s="362"/>
      <c r="AM815" s="362"/>
      <c r="AN815" s="362"/>
      <c r="AO815" s="362"/>
      <c r="AP815" s="362"/>
      <c r="AQ815" s="362"/>
      <c r="AR815" s="362"/>
      <c r="AS815" s="362"/>
      <c r="AT815" s="362"/>
      <c r="AU815" s="362"/>
      <c r="AV815" s="362"/>
      <c r="AW815" s="362"/>
      <c r="AX815" s="362"/>
      <c r="AY815" s="362"/>
      <c r="AZ815" s="362"/>
      <c r="BA815" s="362"/>
      <c r="BB815" s="362"/>
      <c r="BC815" s="362"/>
      <c r="BD815" s="362"/>
      <c r="BE815" s="362"/>
      <c r="BF815" s="362"/>
      <c r="BG815" s="362"/>
      <c r="BH815" s="362"/>
      <c r="BI815" s="362"/>
      <c r="BJ815" s="362"/>
      <c r="BK815" s="362"/>
      <c r="BL815" s="362"/>
      <c r="BM815" s="362"/>
      <c r="BN815" s="362"/>
      <c r="BO815" s="362"/>
      <c r="BP815" s="362"/>
      <c r="BQ815" s="362"/>
      <c r="BR815" s="362"/>
      <c r="BS815" s="362"/>
      <c r="BT815" s="362"/>
      <c r="BU815" s="362"/>
      <c r="BV815" s="362"/>
      <c r="BW815" s="362"/>
      <c r="BX815" s="362"/>
      <c r="BY815" s="362"/>
      <c r="BZ815" s="362"/>
      <c r="CA815" s="362"/>
      <c r="CB815" s="362"/>
      <c r="CC815" s="362"/>
      <c r="CD815" s="362"/>
      <c r="CE815" s="362"/>
    </row>
    <row r="816" spans="1:83" ht="12.65" customHeight="1">
      <c r="B816" s="362" t="s">
        <v>1005</v>
      </c>
      <c r="C816" s="367">
        <f>CE60</f>
        <v>440.15000000000009</v>
      </c>
      <c r="D816" s="362">
        <f>CE61</f>
        <v>9508101</v>
      </c>
      <c r="E816" s="362">
        <f>CE62</f>
        <v>2996448</v>
      </c>
      <c r="F816" s="362">
        <f>CE63</f>
        <v>1339041</v>
      </c>
      <c r="G816" s="362">
        <f>CE64</f>
        <v>4057080</v>
      </c>
      <c r="H816" s="366">
        <f>CE65</f>
        <v>248782</v>
      </c>
      <c r="I816" s="366">
        <f>CE66</f>
        <v>2758399</v>
      </c>
      <c r="J816" s="366">
        <f>CE67</f>
        <v>0</v>
      </c>
      <c r="K816" s="366">
        <f>CE68</f>
        <v>621446</v>
      </c>
      <c r="L816" s="366">
        <f>CE69</f>
        <v>3168506</v>
      </c>
      <c r="M816" s="366">
        <f>CE70</f>
        <v>0</v>
      </c>
      <c r="N816" s="362">
        <f>CE75</f>
        <v>141279442</v>
      </c>
      <c r="O816" s="362">
        <f>CE73</f>
        <v>53930323</v>
      </c>
      <c r="P816" s="362">
        <f>CE76</f>
        <v>155374</v>
      </c>
      <c r="Q816" s="362">
        <f>CE77</f>
        <v>9270</v>
      </c>
      <c r="R816" s="362">
        <f>CE78</f>
        <v>10157</v>
      </c>
      <c r="S816" s="362">
        <f>CE79</f>
        <v>124036</v>
      </c>
      <c r="T816" s="367">
        <f>CE80</f>
        <v>366.69999999999993</v>
      </c>
      <c r="U816" s="362" t="s">
        <v>1006</v>
      </c>
      <c r="V816" s="362" t="s">
        <v>1006</v>
      </c>
      <c r="W816" s="362" t="s">
        <v>1006</v>
      </c>
      <c r="X816" s="362" t="s">
        <v>1006</v>
      </c>
      <c r="Y816" s="362">
        <f>M716</f>
        <v>9611778</v>
      </c>
      <c r="Z816" s="362"/>
      <c r="AA816" s="362"/>
      <c r="AB816" s="362"/>
      <c r="AC816" s="362"/>
      <c r="AD816" s="362"/>
      <c r="AE816" s="362"/>
      <c r="AF816" s="362"/>
      <c r="AG816" s="362"/>
      <c r="AH816" s="362"/>
      <c r="AI816" s="362"/>
      <c r="AJ816" s="362"/>
      <c r="AK816" s="362"/>
      <c r="AL816" s="362"/>
      <c r="AM816" s="362"/>
      <c r="AN816" s="362"/>
      <c r="AO816" s="362"/>
      <c r="AP816" s="362"/>
      <c r="AQ816" s="362"/>
      <c r="AR816" s="362"/>
      <c r="AS816" s="362"/>
      <c r="AT816" s="362"/>
      <c r="AU816" s="362"/>
      <c r="AV816" s="362"/>
      <c r="AW816" s="362"/>
      <c r="AX816" s="362"/>
      <c r="AY816" s="362"/>
      <c r="AZ816" s="362"/>
      <c r="BA816" s="362"/>
      <c r="BB816" s="362"/>
      <c r="BC816" s="362"/>
      <c r="BD816" s="362"/>
      <c r="BE816" s="362"/>
      <c r="BF816" s="362"/>
      <c r="BG816" s="362"/>
      <c r="BH816" s="362"/>
      <c r="BI816" s="362"/>
      <c r="BJ816" s="362"/>
      <c r="BK816" s="362"/>
      <c r="BL816" s="362"/>
      <c r="BM816" s="362"/>
      <c r="BN816" s="362"/>
      <c r="BO816" s="362"/>
      <c r="BP816" s="362"/>
      <c r="BQ816" s="362"/>
      <c r="BR816" s="362"/>
      <c r="BS816" s="362"/>
      <c r="BT816" s="362"/>
      <c r="BU816" s="362"/>
      <c r="BV816" s="362"/>
      <c r="BW816" s="362"/>
      <c r="BX816" s="362"/>
      <c r="BY816" s="362"/>
      <c r="BZ816" s="362"/>
      <c r="CA816" s="362"/>
      <c r="CB816" s="362"/>
      <c r="CC816" s="362"/>
      <c r="CD816" s="362"/>
      <c r="CE816" s="362"/>
    </row>
    <row r="817" spans="2:15" ht="12.65" customHeight="1">
      <c r="B817" s="2" t="s">
        <v>471</v>
      </c>
      <c r="C817" s="290" t="s">
        <v>1007</v>
      </c>
      <c r="D817" s="2">
        <f>C378</f>
        <v>9508095</v>
      </c>
      <c r="E817" s="2">
        <f>C379</f>
        <v>1845898</v>
      </c>
      <c r="F817" s="2">
        <f>C380</f>
        <v>1339041</v>
      </c>
      <c r="G817" s="299">
        <f>C381</f>
        <v>4057074</v>
      </c>
      <c r="H817" s="299">
        <f>C382</f>
        <v>248783</v>
      </c>
      <c r="I817" s="299">
        <f>C383</f>
        <v>2758397</v>
      </c>
      <c r="J817" s="299">
        <f>C384</f>
        <v>0</v>
      </c>
      <c r="K817" s="299">
        <f>C385</f>
        <v>621444</v>
      </c>
      <c r="L817" s="299">
        <f>C386+C387+C388+C389</f>
        <v>3096332</v>
      </c>
      <c r="M817" s="299">
        <f>C370</f>
        <v>48385</v>
      </c>
      <c r="N817" s="2">
        <f>D361</f>
        <v>141231056</v>
      </c>
      <c r="O817" s="2">
        <f>C359</f>
        <v>53881939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hyperlinks>
    <hyperlink ref="F16" r:id="rId1" xr:uid="{C6F476FC-597D-4B14-8F84-B72468470D88}"/>
    <hyperlink ref="C17" r:id="rId2" xr:uid="{7EAC80F1-8DEE-49CC-8325-61A59FDAD369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>
      <c r="J1" s="166" t="s">
        <v>1008</v>
      </c>
    </row>
    <row r="2" spans="2:13" ht="1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>
      <c r="B6" s="146"/>
      <c r="C6" s="147"/>
      <c r="D6" s="147"/>
      <c r="E6" s="147"/>
      <c r="F6" s="147"/>
      <c r="G6" s="147"/>
      <c r="H6" s="147"/>
      <c r="I6" s="147"/>
      <c r="J6" s="282" t="s">
        <v>1264</v>
      </c>
    </row>
    <row r="7" spans="2:13" ht="1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>
      <c r="B17" s="141"/>
      <c r="C17" s="150" t="s">
        <v>1014</v>
      </c>
      <c r="D17" s="150"/>
      <c r="E17" s="142" t="str">
        <f>+'data 2Q21-4Q21'!C84</f>
        <v>Capital Medical Center</v>
      </c>
      <c r="F17" s="149"/>
      <c r="G17" s="149"/>
      <c r="H17" s="142"/>
      <c r="I17" s="142"/>
      <c r="J17" s="143"/>
    </row>
    <row r="18" spans="2:10" ht="15.5">
      <c r="B18" s="144"/>
      <c r="C18" s="151" t="s">
        <v>1015</v>
      </c>
      <c r="D18" s="151"/>
      <c r="E18" s="8" t="str">
        <f>+"H-"&amp;'data 2Q21-4Q21'!C83</f>
        <v>H-197</v>
      </c>
      <c r="F18" s="76"/>
      <c r="G18" s="76"/>
      <c r="H18" s="8"/>
      <c r="I18" s="8"/>
      <c r="J18" s="145"/>
    </row>
    <row r="19" spans="2:10" ht="15.5">
      <c r="B19" s="144"/>
      <c r="C19" s="151" t="s">
        <v>1016</v>
      </c>
      <c r="D19" s="151"/>
      <c r="E19" s="8" t="str">
        <f>+'data 2Q21-4Q21'!C85</f>
        <v>3900 Capital Mall Drive SW</v>
      </c>
      <c r="F19" s="76"/>
      <c r="G19" s="76"/>
      <c r="H19" s="8"/>
      <c r="I19" s="8"/>
      <c r="J19" s="145"/>
    </row>
    <row r="20" spans="2:10" ht="15.5">
      <c r="B20" s="144"/>
      <c r="C20" s="151" t="s">
        <v>1017</v>
      </c>
      <c r="D20" s="151"/>
      <c r="E20" s="8">
        <f>+'data 2Q21-4Q21'!C86</f>
        <v>0</v>
      </c>
      <c r="F20" s="76"/>
      <c r="G20" s="76"/>
      <c r="H20" s="8"/>
      <c r="I20" s="8"/>
      <c r="J20" s="145"/>
    </row>
    <row r="21" spans="2:10" ht="15.5">
      <c r="B21" s="144"/>
      <c r="C21" s="151" t="s">
        <v>1018</v>
      </c>
      <c r="D21" s="151"/>
      <c r="E21" s="8" t="str">
        <f>+'data 2Q21-4Q21'!C87</f>
        <v>Olympia, WA 98502</v>
      </c>
      <c r="F21" s="76"/>
      <c r="G21" s="76"/>
      <c r="H21" s="8"/>
      <c r="I21" s="8"/>
      <c r="J21" s="145"/>
    </row>
    <row r="22" spans="2:10" ht="1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>
      <c r="B28" s="144" t="str">
        <f>+"by the Department of Health for the fiscal year ended "&amp;'data 2Q21-4Q21'!C82&amp;"."</f>
        <v>by the Department of Health for the fiscal year ended 12/31/21.</v>
      </c>
      <c r="C28" s="8"/>
      <c r="D28" s="8"/>
      <c r="E28" s="8"/>
      <c r="F28" s="8"/>
      <c r="G28" s="8"/>
      <c r="H28" s="8"/>
      <c r="I28" s="8"/>
      <c r="J28" s="145"/>
    </row>
    <row r="29" spans="2:10" ht="15.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sqref="A1:XFD1048576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>
      <c r="A3" s="7"/>
      <c r="B3" s="5"/>
      <c r="C3" s="5"/>
      <c r="D3" s="5"/>
      <c r="E3" s="5"/>
      <c r="F3" s="5"/>
      <c r="G3" s="5"/>
      <c r="H3" s="7"/>
    </row>
    <row r="4" spans="1:13" ht="20.149999999999999" customHeight="1">
      <c r="A4" s="13">
        <v>1</v>
      </c>
      <c r="B4" s="127" t="str">
        <f>"Fiscal Year Ended:  "&amp;'data 2021'!C82</f>
        <v>Fiscal Year Ended:  12/31/2021</v>
      </c>
      <c r="C4" s="38"/>
      <c r="D4" s="120"/>
      <c r="E4" s="70"/>
      <c r="F4" s="127" t="str">
        <f>"License Number:  "&amp;"H-"&amp;FIXED('data 2021'!C83,0)</f>
        <v>License Number:  H-197</v>
      </c>
      <c r="G4" s="24"/>
      <c r="H4" s="7"/>
    </row>
    <row r="5" spans="1:13" ht="20.149999999999999" customHeight="1">
      <c r="A5" s="13">
        <v>2</v>
      </c>
      <c r="B5" s="49" t="s">
        <v>257</v>
      </c>
      <c r="C5" s="24"/>
      <c r="D5" s="127" t="str">
        <f>"  "&amp;'data 2021'!C84</f>
        <v xml:space="preserve">  Capital Medical Center</v>
      </c>
      <c r="E5" s="70"/>
      <c r="F5" s="70"/>
      <c r="G5" s="24"/>
      <c r="H5" s="7"/>
    </row>
    <row r="6" spans="1:13" ht="20.149999999999999" customHeight="1">
      <c r="A6" s="13">
        <v>3</v>
      </c>
      <c r="B6" s="49" t="s">
        <v>259</v>
      </c>
      <c r="C6" s="24"/>
      <c r="D6" s="127" t="str">
        <f>"  "&amp;'data 2021'!C88</f>
        <v xml:space="preserve">  Thurston</v>
      </c>
      <c r="E6" s="70"/>
      <c r="F6" s="70"/>
      <c r="G6" s="24"/>
      <c r="H6" s="7"/>
    </row>
    <row r="7" spans="1:13" ht="20.149999999999999" customHeight="1">
      <c r="A7" s="13">
        <v>4</v>
      </c>
      <c r="B7" s="49" t="s">
        <v>1029</v>
      </c>
      <c r="C7" s="24"/>
      <c r="D7" s="127" t="str">
        <f>"  "&amp;'data 2021'!C89</f>
        <v xml:space="preserve">  Bill Robertson</v>
      </c>
      <c r="E7" s="70"/>
      <c r="F7" s="70"/>
      <c r="G7" s="24"/>
      <c r="H7" s="7"/>
    </row>
    <row r="8" spans="1:13" ht="20.149999999999999" customHeight="1">
      <c r="A8" s="13">
        <v>5</v>
      </c>
      <c r="B8" s="49" t="s">
        <v>1030</v>
      </c>
      <c r="C8" s="24"/>
      <c r="D8" s="127" t="str">
        <f>"  "&amp;'data 2021'!C90</f>
        <v xml:space="preserve">  James Lee</v>
      </c>
      <c r="E8" s="70"/>
      <c r="F8" s="70"/>
      <c r="G8" s="24"/>
      <c r="H8" s="7"/>
    </row>
    <row r="9" spans="1:13" ht="20.149999999999999" customHeight="1">
      <c r="A9" s="13">
        <v>6</v>
      </c>
      <c r="B9" s="49" t="s">
        <v>1031</v>
      </c>
      <c r="C9" s="24"/>
      <c r="D9" s="127" t="str">
        <f>"  "&amp;'data 2021'!C91</f>
        <v xml:space="preserve">  Stephen Snow, MD</v>
      </c>
      <c r="E9" s="70"/>
      <c r="F9" s="70"/>
      <c r="G9" s="24"/>
      <c r="H9" s="7"/>
    </row>
    <row r="10" spans="1:13" ht="20.149999999999999" customHeight="1">
      <c r="A10" s="13">
        <v>7</v>
      </c>
      <c r="B10" s="49" t="s">
        <v>1032</v>
      </c>
      <c r="C10" s="24"/>
      <c r="D10" s="127" t="str">
        <f>"  "&amp;'data 2021'!C92</f>
        <v xml:space="preserve">  360-706-6234</v>
      </c>
      <c r="E10" s="70"/>
      <c r="F10" s="70"/>
      <c r="G10" s="24"/>
      <c r="H10" s="7"/>
    </row>
    <row r="11" spans="1:13" ht="20.149999999999999" customHeight="1">
      <c r="A11" s="13">
        <v>8</v>
      </c>
      <c r="B11" s="49" t="s">
        <v>1033</v>
      </c>
      <c r="C11" s="24"/>
      <c r="D11" s="127" t="str">
        <f>"  "&amp;'data 2021'!C93</f>
        <v xml:space="preserve">  360-956-3540</v>
      </c>
      <c r="E11" s="70"/>
      <c r="F11" s="70"/>
      <c r="G11" s="24"/>
      <c r="H11" s="7"/>
    </row>
    <row r="12" spans="1:13" ht="20.149999999999999" customHeight="1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>
      <c r="A16" s="111" t="str">
        <f>IF('data 2021'!C97&gt;0," X","")</f>
        <v/>
      </c>
      <c r="B16" s="14" t="s">
        <v>267</v>
      </c>
      <c r="C16" s="15" t="str">
        <f>IF('data 2021'!C101&gt;0," X","")</f>
        <v/>
      </c>
      <c r="D16" s="22" t="s">
        <v>1035</v>
      </c>
      <c r="E16" s="15" t="str">
        <f>IF('data 2021'!C104&gt;0," X","")</f>
        <v/>
      </c>
      <c r="F16" s="129" t="s">
        <v>272</v>
      </c>
      <c r="G16" s="24"/>
      <c r="H16" s="7"/>
    </row>
    <row r="17" spans="1:9" ht="20.149999999999999" customHeight="1">
      <c r="A17" s="111" t="str">
        <f>IF('data 2021'!C98&gt;0," X","")</f>
        <v/>
      </c>
      <c r="B17" s="14" t="s">
        <v>259</v>
      </c>
      <c r="C17" s="15" t="str">
        <f>IF('data 2021'!C102&gt;0," X","")</f>
        <v xml:space="preserve"> X</v>
      </c>
      <c r="D17" s="22" t="s">
        <v>349</v>
      </c>
      <c r="E17" s="15" t="str">
        <f>IF('data 2021'!C105&gt;0," X","")</f>
        <v/>
      </c>
      <c r="F17" s="129" t="s">
        <v>273</v>
      </c>
      <c r="G17" s="24"/>
      <c r="H17" s="7"/>
    </row>
    <row r="18" spans="1:9" ht="20.149999999999999" customHeight="1">
      <c r="A18" s="130"/>
      <c r="B18" s="14" t="s">
        <v>1036</v>
      </c>
      <c r="C18" s="24"/>
      <c r="D18" s="24"/>
      <c r="E18" s="15" t="str">
        <f>IF('data 2021'!C106&gt;0," X","")</f>
        <v/>
      </c>
      <c r="F18" s="129" t="s">
        <v>274</v>
      </c>
      <c r="G18" s="24"/>
      <c r="H18" s="7"/>
    </row>
    <row r="19" spans="1:9" ht="20.149999999999999" customHeight="1">
      <c r="A19" s="111" t="str">
        <f>IF('data 2021'!C99&gt;0,"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>
      <c r="A23" s="130"/>
      <c r="B23" s="49" t="s">
        <v>1039</v>
      </c>
      <c r="C23" s="38"/>
      <c r="D23" s="38"/>
      <c r="E23" s="38"/>
      <c r="F23" s="13">
        <f>'data 2021'!C111</f>
        <v>3684</v>
      </c>
      <c r="G23" s="21">
        <f>'data 2021'!D111</f>
        <v>16715</v>
      </c>
      <c r="H23" s="7"/>
    </row>
    <row r="24" spans="1:9" ht="20.149999999999999" customHeight="1">
      <c r="A24" s="130"/>
      <c r="B24" s="49" t="s">
        <v>1040</v>
      </c>
      <c r="C24" s="38"/>
      <c r="D24" s="38"/>
      <c r="E24" s="38"/>
      <c r="F24" s="13">
        <f>'data 2021'!C112</f>
        <v>0</v>
      </c>
      <c r="G24" s="21">
        <f>'data 2021'!D112</f>
        <v>0</v>
      </c>
      <c r="H24" s="7"/>
    </row>
    <row r="25" spans="1:9" ht="20.149999999999999" customHeight="1">
      <c r="A25" s="130"/>
      <c r="B25" s="49" t="s">
        <v>1041</v>
      </c>
      <c r="C25" s="38"/>
      <c r="D25" s="38"/>
      <c r="E25" s="38"/>
      <c r="F25" s="13">
        <f>'data 2021'!C113</f>
        <v>0</v>
      </c>
      <c r="G25" s="21">
        <f>'data 2021'!D113</f>
        <v>0</v>
      </c>
      <c r="H25" s="7"/>
    </row>
    <row r="26" spans="1:9" ht="20.149999999999999" customHeight="1">
      <c r="A26" s="13">
        <v>11</v>
      </c>
      <c r="B26" s="49" t="s">
        <v>281</v>
      </c>
      <c r="C26" s="38"/>
      <c r="D26" s="38"/>
      <c r="E26" s="38"/>
      <c r="F26" s="13">
        <f>'data 2021'!C114</f>
        <v>629</v>
      </c>
      <c r="G26" s="13">
        <f>'data 2021'!D114</f>
        <v>878</v>
      </c>
      <c r="H26" s="7"/>
    </row>
    <row r="27" spans="1:9" ht="20.149999999999999" customHeight="1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>
      <c r="A30" s="130"/>
      <c r="B30" s="49" t="s">
        <v>283</v>
      </c>
      <c r="C30" s="24"/>
      <c r="D30" s="21">
        <f>'data 2021'!C116</f>
        <v>10</v>
      </c>
      <c r="E30" s="49" t="s">
        <v>288</v>
      </c>
      <c r="F30" s="24"/>
      <c r="G30" s="21">
        <f>'data 2021'!C123</f>
        <v>0</v>
      </c>
      <c r="H30" s="7"/>
    </row>
    <row r="31" spans="1:9" ht="20.149999999999999" customHeight="1">
      <c r="A31" s="130"/>
      <c r="B31" s="97" t="s">
        <v>1043</v>
      </c>
      <c r="C31" s="24"/>
      <c r="D31" s="21">
        <f>'data 2021'!C117</f>
        <v>22</v>
      </c>
      <c r="E31" s="49" t="s">
        <v>289</v>
      </c>
      <c r="F31" s="24"/>
      <c r="G31" s="21">
        <f>'data 2021'!C124</f>
        <v>0</v>
      </c>
      <c r="H31" s="7"/>
    </row>
    <row r="32" spans="1:9" ht="20.149999999999999" customHeight="1">
      <c r="A32" s="130"/>
      <c r="B32" s="97" t="s">
        <v>1044</v>
      </c>
      <c r="C32" s="24"/>
      <c r="D32" s="21">
        <f>'data 2021'!C118</f>
        <v>41</v>
      </c>
      <c r="E32" s="49" t="s">
        <v>1045</v>
      </c>
      <c r="F32" s="24"/>
      <c r="G32" s="21">
        <f>'data 2021'!C125</f>
        <v>0</v>
      </c>
      <c r="H32" s="7"/>
    </row>
    <row r="33" spans="1:8" ht="20.149999999999999" customHeight="1">
      <c r="A33" s="130"/>
      <c r="B33" s="97" t="s">
        <v>1046</v>
      </c>
      <c r="C33" s="24"/>
      <c r="D33" s="21">
        <f>'data 2021'!C119</f>
        <v>0</v>
      </c>
      <c r="E33" s="49" t="s">
        <v>1047</v>
      </c>
      <c r="F33" s="24"/>
      <c r="G33" s="21">
        <f>'data 2021'!C126</f>
        <v>0</v>
      </c>
      <c r="H33" s="7"/>
    </row>
    <row r="34" spans="1:8" ht="20.149999999999999" customHeight="1">
      <c r="A34" s="130"/>
      <c r="B34" s="97" t="s">
        <v>1048</v>
      </c>
      <c r="C34" s="24"/>
      <c r="D34" s="21">
        <f>'data 2021'!C120</f>
        <v>15</v>
      </c>
      <c r="E34" s="49" t="s">
        <v>291</v>
      </c>
      <c r="F34" s="24"/>
      <c r="G34" s="21">
        <f>'data 2021'!E127</f>
        <v>88</v>
      </c>
      <c r="H34" s="7"/>
    </row>
    <row r="35" spans="1:8" ht="20.149999999999999" customHeight="1">
      <c r="A35" s="130"/>
      <c r="B35" s="97" t="s">
        <v>1049</v>
      </c>
      <c r="C35" s="24"/>
      <c r="D35" s="21">
        <f>'data 2021'!C121</f>
        <v>0</v>
      </c>
      <c r="E35" s="49" t="s">
        <v>1050</v>
      </c>
      <c r="F35" s="27"/>
      <c r="G35" s="21"/>
      <c r="H35" s="7"/>
    </row>
    <row r="36" spans="1:8" ht="20.149999999999999" customHeight="1">
      <c r="A36" s="130"/>
      <c r="B36" s="49" t="s">
        <v>97</v>
      </c>
      <c r="C36" s="24"/>
      <c r="D36" s="21">
        <f>'data 2021'!C122</f>
        <v>0</v>
      </c>
      <c r="E36" s="49" t="s">
        <v>292</v>
      </c>
      <c r="F36" s="24"/>
      <c r="G36" s="21">
        <f>'data 2021'!C128</f>
        <v>107</v>
      </c>
      <c r="H36" s="7"/>
    </row>
    <row r="37" spans="1:8" ht="20.149999999999999" customHeight="1">
      <c r="A37" s="130"/>
      <c r="E37" s="49" t="s">
        <v>293</v>
      </c>
      <c r="F37" s="24"/>
      <c r="G37" s="21">
        <f>'data 2021'!C129</f>
        <v>7</v>
      </c>
      <c r="H37" s="7"/>
    </row>
    <row r="38" spans="1:8" ht="20.149999999999999" customHeight="1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>
      <c r="A40" s="134"/>
      <c r="B40" s="135" t="s">
        <v>1051</v>
      </c>
      <c r="C40" s="136" t="s">
        <v>256</v>
      </c>
      <c r="D40" s="137">
        <f>'data 2021'!C131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sqref="A1:XFD1048576"/>
    </sheetView>
  </sheetViews>
  <sheetFormatPr defaultColWidth="8.9140625" defaultRowHeight="20.149999999999999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>
      <c r="A2" s="105" t="str">
        <f>"Hospital Name: "&amp;'data 2021'!C84</f>
        <v>Hospital Name: Capital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>
      <c r="A3" s="8"/>
      <c r="B3" s="8"/>
      <c r="C3" s="8"/>
      <c r="D3" s="8"/>
      <c r="E3" s="8"/>
      <c r="F3" s="8"/>
      <c r="G3" s="106" t="str">
        <f>"FYE: "&amp;'data 2021'!C82</f>
        <v>FYE: 12/31/2021</v>
      </c>
    </row>
    <row r="4" spans="1:13" ht="20.149999999999999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>
      <c r="A7" s="23" t="s">
        <v>296</v>
      </c>
      <c r="B7" s="48">
        <f>'data 2021'!B138</f>
        <v>1227.5281466512702</v>
      </c>
      <c r="C7" s="48">
        <f>'data 2021'!B139</f>
        <v>6791.1875256126541</v>
      </c>
      <c r="D7" s="48">
        <f>'data 2021'!B140</f>
        <v>9364.0598641539109</v>
      </c>
      <c r="E7" s="48">
        <f>'data 2021'!B141</f>
        <v>95081138.744104743</v>
      </c>
      <c r="F7" s="48">
        <f>'data 2021'!B142</f>
        <v>112745712.71487053</v>
      </c>
      <c r="G7" s="48">
        <f>'data 2021'!B141+'data 2021'!B142</f>
        <v>207826851.45897526</v>
      </c>
    </row>
    <row r="8" spans="1:13" ht="20.149999999999999" customHeight="1">
      <c r="A8" s="23" t="s">
        <v>297</v>
      </c>
      <c r="B8" s="48">
        <f>'data 2021'!C138</f>
        <v>100.95482101616628</v>
      </c>
      <c r="C8" s="48">
        <f>'data 2021'!C139</f>
        <v>333.56519957380544</v>
      </c>
      <c r="D8" s="48">
        <f>'data 2021'!C140</f>
        <v>385.26264951138762</v>
      </c>
      <c r="E8" s="48">
        <f>'data 2021'!C141</f>
        <v>4502911.5393794235</v>
      </c>
      <c r="F8" s="48">
        <f>'data 2021'!C142</f>
        <v>4983575.7546729855</v>
      </c>
      <c r="G8" s="48">
        <f>'data 2021'!C141+'data 2021'!C142</f>
        <v>9486487.294052409</v>
      </c>
    </row>
    <row r="9" spans="1:13" ht="20.149999999999999" customHeight="1">
      <c r="A9" s="23" t="s">
        <v>1058</v>
      </c>
      <c r="B9" s="48">
        <f>'data 2021'!D138</f>
        <v>2355.0170323325638</v>
      </c>
      <c r="C9" s="48">
        <f>'data 2021'!D139</f>
        <v>9590.2472748135406</v>
      </c>
      <c r="D9" s="48">
        <f>'data 2021'!D140</f>
        <v>19791.677486334702</v>
      </c>
      <c r="E9" s="48">
        <f>'data 2021'!D141</f>
        <v>143987745.68651584</v>
      </c>
      <c r="F9" s="48">
        <f>'data 2021'!D142</f>
        <v>238263557.36045647</v>
      </c>
      <c r="G9" s="48">
        <f>'data 2021'!D141+'data 2021'!D142</f>
        <v>382251303.04697227</v>
      </c>
    </row>
    <row r="10" spans="1:13" ht="20.149999999999999" customHeight="1">
      <c r="A10" s="111" t="s">
        <v>203</v>
      </c>
      <c r="B10" s="48">
        <f>'data 2021'!E138</f>
        <v>3683.5</v>
      </c>
      <c r="C10" s="48">
        <f>'data 2021'!E139</f>
        <v>16715</v>
      </c>
      <c r="D10" s="48">
        <f>'data 2021'!E140</f>
        <v>29541</v>
      </c>
      <c r="E10" s="48">
        <f>'data 2021'!E141</f>
        <v>243571795.97</v>
      </c>
      <c r="F10" s="48">
        <f>'data 2021'!E142</f>
        <v>355992845.82999998</v>
      </c>
      <c r="G10" s="48">
        <f>'data 2021'!E141+'data 2021'!E142</f>
        <v>599564641.79999995</v>
      </c>
    </row>
    <row r="11" spans="1:13" ht="20.149999999999999" customHeight="1">
      <c r="A11" s="112"/>
      <c r="B11" s="113"/>
      <c r="C11" s="113"/>
      <c r="D11" s="113"/>
      <c r="E11" s="113"/>
      <c r="F11" s="113"/>
      <c r="G11" s="114"/>
    </row>
    <row r="12" spans="1:13" ht="20.149999999999999" customHeight="1">
      <c r="A12" s="73"/>
      <c r="B12" s="30"/>
      <c r="C12" s="30"/>
      <c r="D12" s="30"/>
      <c r="E12" s="30"/>
      <c r="F12" s="30"/>
      <c r="G12" s="20"/>
    </row>
    <row r="13" spans="1:13" ht="20.149999999999999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>
      <c r="A16" s="23" t="s">
        <v>296</v>
      </c>
      <c r="B16" s="48">
        <f>'data 2021'!B144</f>
        <v>0</v>
      </c>
      <c r="C16" s="48">
        <f>'data 2021'!B145</f>
        <v>0</v>
      </c>
      <c r="D16" s="48">
        <f>'data 2021'!B146</f>
        <v>0</v>
      </c>
      <c r="E16" s="48">
        <f>'data 2021'!B147</f>
        <v>0</v>
      </c>
      <c r="F16" s="48">
        <f>'data 2021'!B148</f>
        <v>0</v>
      </c>
      <c r="G16" s="48">
        <f>'data 2021'!B147+'data 2021'!B148</f>
        <v>0</v>
      </c>
    </row>
    <row r="17" spans="1:7" ht="20.149999999999999" customHeight="1">
      <c r="A17" s="23" t="s">
        <v>297</v>
      </c>
      <c r="B17" s="48">
        <f>'data 2021'!C144</f>
        <v>0</v>
      </c>
      <c r="C17" s="48">
        <f>'data 2021'!C145</f>
        <v>0</v>
      </c>
      <c r="D17" s="48">
        <f>'data 2021'!C146</f>
        <v>0</v>
      </c>
      <c r="E17" s="48">
        <f>'data 2021'!C147</f>
        <v>0</v>
      </c>
      <c r="F17" s="48">
        <f>'data 2021'!C148</f>
        <v>0</v>
      </c>
      <c r="G17" s="48">
        <f>'data 2021'!C147+'data 2021'!C148</f>
        <v>0</v>
      </c>
    </row>
    <row r="18" spans="1:7" ht="20.149999999999999" customHeight="1">
      <c r="A18" s="23" t="s">
        <v>1058</v>
      </c>
      <c r="B18" s="48">
        <f>'data 2021'!D144</f>
        <v>0</v>
      </c>
      <c r="C18" s="48">
        <f>'data 2021'!D145</f>
        <v>0</v>
      </c>
      <c r="D18" s="48">
        <f>'data 2021'!D146</f>
        <v>0</v>
      </c>
      <c r="E18" s="48">
        <f>'data 2021'!D147</f>
        <v>0</v>
      </c>
      <c r="F18" s="48">
        <f>'data 2021'!D148</f>
        <v>0</v>
      </c>
      <c r="G18" s="48">
        <f>'data 2021'!D147+'data 2021'!D148</f>
        <v>0</v>
      </c>
    </row>
    <row r="19" spans="1:7" ht="20.149999999999999" customHeight="1">
      <c r="A19" s="111" t="s">
        <v>203</v>
      </c>
      <c r="B19" s="48">
        <f>'data 2021'!E144</f>
        <v>0</v>
      </c>
      <c r="C19" s="48">
        <f>'data 2021'!E145</f>
        <v>0</v>
      </c>
      <c r="D19" s="48">
        <f>'data 2021'!E146</f>
        <v>0</v>
      </c>
      <c r="E19" s="48">
        <f>'data 2021'!E147</f>
        <v>0</v>
      </c>
      <c r="F19" s="48">
        <f>'data 2021'!E148</f>
        <v>0</v>
      </c>
      <c r="G19" s="48">
        <f>'data 2021'!E147+'data 2021'!E148</f>
        <v>0</v>
      </c>
    </row>
    <row r="20" spans="1:7" ht="20.149999999999999" customHeight="1">
      <c r="A20" s="112"/>
      <c r="B20" s="113"/>
      <c r="C20" s="113"/>
      <c r="D20" s="113"/>
      <c r="E20" s="113"/>
      <c r="F20" s="113"/>
      <c r="G20" s="114"/>
    </row>
    <row r="21" spans="1:7" ht="20.149999999999999" customHeight="1">
      <c r="A21" s="73"/>
      <c r="B21" s="30"/>
      <c r="C21" s="30"/>
      <c r="D21" s="30"/>
      <c r="E21" s="30"/>
      <c r="F21" s="30"/>
      <c r="G21" s="20"/>
    </row>
    <row r="22" spans="1:7" ht="20.149999999999999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>
      <c r="A25" s="23" t="s">
        <v>296</v>
      </c>
      <c r="B25" s="48">
        <f>'data 2021'!B150</f>
        <v>0</v>
      </c>
      <c r="C25" s="48">
        <f>'data 2021'!B151</f>
        <v>0</v>
      </c>
      <c r="D25" s="48">
        <f>'data 2021'!B152</f>
        <v>0</v>
      </c>
      <c r="E25" s="48">
        <f>'data 2021'!B153</f>
        <v>0</v>
      </c>
      <c r="F25" s="48">
        <f>'data 2021'!B154</f>
        <v>0</v>
      </c>
      <c r="G25" s="48">
        <f>'data 2021'!B153+'data 2021'!B154</f>
        <v>0</v>
      </c>
    </row>
    <row r="26" spans="1:7" ht="20.149999999999999" customHeight="1">
      <c r="A26" s="23" t="s">
        <v>297</v>
      </c>
      <c r="B26" s="48">
        <f>'data 2021'!C150</f>
        <v>0</v>
      </c>
      <c r="C26" s="48">
        <f>'data 2021'!C151</f>
        <v>0</v>
      </c>
      <c r="D26" s="48">
        <f>'data 2021'!C152</f>
        <v>0</v>
      </c>
      <c r="E26" s="48">
        <f>'data 2021'!C153</f>
        <v>0</v>
      </c>
      <c r="F26" s="48">
        <f>'data 2021'!C154</f>
        <v>0</v>
      </c>
      <c r="G26" s="48">
        <f>'data 2021'!C153+'data 2021'!C154</f>
        <v>0</v>
      </c>
    </row>
    <row r="27" spans="1:7" ht="20.149999999999999" customHeight="1">
      <c r="A27" s="23" t="s">
        <v>1058</v>
      </c>
      <c r="B27" s="48">
        <f>'data 2021'!D150</f>
        <v>0</v>
      </c>
      <c r="C27" s="48">
        <f>'data 2021'!D151</f>
        <v>0</v>
      </c>
      <c r="D27" s="48">
        <f>'data 2021'!D152</f>
        <v>0</v>
      </c>
      <c r="E27" s="48">
        <f>'data 2021'!D153</f>
        <v>0</v>
      </c>
      <c r="F27" s="48">
        <f>'data 2021'!D154</f>
        <v>0</v>
      </c>
      <c r="G27" s="48">
        <f>'data 2021'!D153+'data 2021'!D154</f>
        <v>0</v>
      </c>
    </row>
    <row r="28" spans="1:7" ht="20.149999999999999" customHeight="1">
      <c r="A28" s="111" t="s">
        <v>203</v>
      </c>
      <c r="B28" s="48">
        <f>'data 2021'!E150</f>
        <v>0</v>
      </c>
      <c r="C28" s="48">
        <f>'data 2021'!E151</f>
        <v>0</v>
      </c>
      <c r="D28" s="48">
        <f>'data 2021'!E152</f>
        <v>0</v>
      </c>
      <c r="E28" s="48">
        <f>'data 2021'!E153</f>
        <v>0</v>
      </c>
      <c r="F28" s="48">
        <f>'data 2021'!E154</f>
        <v>0</v>
      </c>
      <c r="G28" s="48">
        <f>'data 2021'!E153+'data 2021'!E154</f>
        <v>0</v>
      </c>
    </row>
    <row r="29" spans="1:7" ht="20.149999999999999" customHeight="1">
      <c r="A29" s="112"/>
      <c r="B29" s="113"/>
      <c r="C29" s="113"/>
      <c r="D29" s="113"/>
      <c r="E29" s="113"/>
      <c r="F29" s="113"/>
      <c r="G29" s="114"/>
    </row>
    <row r="30" spans="1:7" ht="20.149999999999999" customHeight="1">
      <c r="A30" s="73"/>
      <c r="B30" s="50"/>
      <c r="C30" s="30"/>
      <c r="D30" s="30"/>
      <c r="E30" s="30"/>
      <c r="F30" s="30"/>
      <c r="G30" s="20"/>
    </row>
    <row r="31" spans="1:7" ht="20.149999999999999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>
      <c r="A32" s="122"/>
      <c r="B32" s="65" t="s">
        <v>1062</v>
      </c>
      <c r="C32" s="123">
        <f>'data 2021'!B157</f>
        <v>0</v>
      </c>
      <c r="D32" s="70"/>
      <c r="E32" s="70"/>
      <c r="F32" s="70"/>
      <c r="G32" s="27"/>
    </row>
    <row r="33" spans="1:7" ht="20.149999999999999" customHeight="1">
      <c r="A33" s="122"/>
      <c r="B33" s="124" t="s">
        <v>1063</v>
      </c>
      <c r="C33" s="125">
        <f>'data 2021'!C157</f>
        <v>0</v>
      </c>
      <c r="D33" s="119"/>
      <c r="E33" s="119"/>
      <c r="F33" s="119"/>
      <c r="G33" s="126"/>
    </row>
    <row r="34" spans="1:7" ht="20.149999999999999" customHeight="1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sqref="A1:XFD1048576"/>
    </sheetView>
  </sheetViews>
  <sheetFormatPr defaultColWidth="8.9140625" defaultRowHeight="14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>
      <c r="A1" s="4" t="s">
        <v>305</v>
      </c>
      <c r="B1" s="5"/>
      <c r="C1" s="167" t="s">
        <v>1064</v>
      </c>
    </row>
    <row r="2" spans="1:13" ht="20.149999999999999" customHeight="1">
      <c r="A2" s="94"/>
      <c r="B2" s="8"/>
      <c r="C2" s="8"/>
    </row>
    <row r="3" spans="1:13" ht="20.149999999999999" customHeight="1">
      <c r="A3" s="29" t="str">
        <f>"Hospital: "&amp;'data 2021'!C84</f>
        <v>Hospital: Capital Medical Center</v>
      </c>
      <c r="B3" s="30"/>
      <c r="C3" s="31" t="str">
        <f>"FYE: "&amp;'data 2021'!C82</f>
        <v>FYE: 12/31/2021</v>
      </c>
    </row>
    <row r="4" spans="1:13" ht="20.149999999999999" customHeight="1">
      <c r="A4" s="30"/>
      <c r="B4" s="8"/>
      <c r="C4" s="8"/>
    </row>
    <row r="5" spans="1:13" ht="20.149999999999999" customHeight="1">
      <c r="A5" s="23">
        <v>1</v>
      </c>
      <c r="B5" s="37" t="s">
        <v>306</v>
      </c>
      <c r="C5" s="95"/>
    </row>
    <row r="6" spans="1:13" ht="20.149999999999999" customHeight="1">
      <c r="A6" s="96">
        <v>2</v>
      </c>
      <c r="B6" s="49" t="s">
        <v>1065</v>
      </c>
      <c r="C6" s="13">
        <f>'data 2021'!C165</f>
        <v>2834219.24</v>
      </c>
    </row>
    <row r="7" spans="1:13" ht="20.149999999999999" customHeight="1">
      <c r="A7" s="40">
        <v>3</v>
      </c>
      <c r="B7" s="97" t="s">
        <v>308</v>
      </c>
      <c r="C7" s="13">
        <f>'data 2021'!C166</f>
        <v>138664</v>
      </c>
    </row>
    <row r="8" spans="1:13" ht="20.149999999999999" customHeight="1">
      <c r="A8" s="40">
        <v>4</v>
      </c>
      <c r="B8" s="49" t="s">
        <v>309</v>
      </c>
      <c r="C8" s="13">
        <f>'data 2021'!C167</f>
        <v>135943</v>
      </c>
    </row>
    <row r="9" spans="1:13" ht="20.149999999999999" customHeight="1">
      <c r="A9" s="40">
        <v>5</v>
      </c>
      <c r="B9" s="49" t="s">
        <v>310</v>
      </c>
      <c r="C9" s="13">
        <f>'data 2021'!C168</f>
        <v>2673468.2399999998</v>
      </c>
    </row>
    <row r="10" spans="1:13" ht="20.149999999999999" customHeight="1">
      <c r="A10" s="40">
        <v>6</v>
      </c>
      <c r="B10" s="49" t="s">
        <v>311</v>
      </c>
      <c r="C10" s="13">
        <f>'data 2021'!C169</f>
        <v>14031</v>
      </c>
    </row>
    <row r="11" spans="1:13" ht="20.149999999999999" customHeight="1">
      <c r="A11" s="40">
        <v>7</v>
      </c>
      <c r="B11" s="49" t="s">
        <v>312</v>
      </c>
      <c r="C11" s="13">
        <f>'data 2021'!C170</f>
        <v>0</v>
      </c>
    </row>
    <row r="12" spans="1:13" ht="20.149999999999999" customHeight="1">
      <c r="A12" s="40">
        <v>8</v>
      </c>
      <c r="B12" s="49" t="s">
        <v>313</v>
      </c>
      <c r="C12" s="13">
        <f>'data 2021'!C171</f>
        <v>800140.30999999994</v>
      </c>
    </row>
    <row r="13" spans="1:13" ht="20.149999999999999" customHeight="1">
      <c r="A13" s="40">
        <v>9</v>
      </c>
      <c r="B13" s="49" t="s">
        <v>313</v>
      </c>
      <c r="C13" s="13">
        <f>'data 2021'!C172</f>
        <v>108165.08</v>
      </c>
    </row>
    <row r="14" spans="1:13" ht="20.149999999999999" customHeight="1">
      <c r="A14" s="40">
        <v>10</v>
      </c>
      <c r="B14" s="49" t="s">
        <v>1066</v>
      </c>
      <c r="C14" s="13">
        <f>'data 2021'!D173</f>
        <v>6704630.8700000001</v>
      </c>
    </row>
    <row r="15" spans="1:13" ht="20.149999999999999" customHeight="1">
      <c r="A15" s="57"/>
      <c r="B15" s="45"/>
      <c r="C15" s="98"/>
      <c r="M15" s="180"/>
    </row>
    <row r="16" spans="1:13" ht="20.149999999999999" customHeight="1">
      <c r="A16" s="73"/>
      <c r="B16" s="30"/>
      <c r="C16" s="20"/>
    </row>
    <row r="17" spans="1:3" ht="20.149999999999999" customHeight="1">
      <c r="A17" s="99">
        <v>11</v>
      </c>
      <c r="B17" s="100" t="s">
        <v>314</v>
      </c>
      <c r="C17" s="101"/>
    </row>
    <row r="18" spans="1:3" ht="20.149999999999999" customHeight="1">
      <c r="A18" s="13">
        <v>12</v>
      </c>
      <c r="B18" s="49" t="s">
        <v>1067</v>
      </c>
      <c r="C18" s="13">
        <f>'data 2021'!C175</f>
        <v>8828028.7399999984</v>
      </c>
    </row>
    <row r="19" spans="1:3" ht="20.149999999999999" customHeight="1">
      <c r="A19" s="13">
        <v>13</v>
      </c>
      <c r="B19" s="49" t="s">
        <v>1068</v>
      </c>
      <c r="C19" s="13">
        <f>'data 2021'!C176</f>
        <v>2480724.39</v>
      </c>
    </row>
    <row r="20" spans="1:3" ht="20.149999999999999" customHeight="1">
      <c r="A20" s="13">
        <v>14</v>
      </c>
      <c r="B20" s="49" t="s">
        <v>1069</v>
      </c>
      <c r="C20" s="13">
        <f>'data 2021'!D177</f>
        <v>11308753.129999999</v>
      </c>
    </row>
    <row r="21" spans="1:3" ht="20.149999999999999" customHeight="1">
      <c r="A21" s="57"/>
      <c r="B21" s="45"/>
      <c r="C21" s="98"/>
    </row>
    <row r="22" spans="1:3" ht="20.149999999999999" customHeight="1">
      <c r="A22" s="73"/>
      <c r="B22" s="8"/>
      <c r="C22" s="44"/>
    </row>
    <row r="23" spans="1:3" ht="20.149999999999999" customHeight="1">
      <c r="A23" s="102">
        <v>15</v>
      </c>
      <c r="B23" s="103" t="s">
        <v>317</v>
      </c>
      <c r="C23" s="95"/>
    </row>
    <row r="24" spans="1:3" ht="20.149999999999999" customHeight="1">
      <c r="A24" s="13">
        <v>16</v>
      </c>
      <c r="B24" s="37" t="s">
        <v>1070</v>
      </c>
      <c r="C24" s="104"/>
    </row>
    <row r="25" spans="1:3" ht="20.149999999999999" customHeight="1">
      <c r="A25" s="13">
        <v>17</v>
      </c>
      <c r="B25" s="49" t="s">
        <v>1071</v>
      </c>
      <c r="C25" s="13">
        <f>'data 2021'!C179</f>
        <v>125963.33</v>
      </c>
    </row>
    <row r="26" spans="1:3" ht="20.149999999999999" customHeight="1">
      <c r="A26" s="13">
        <v>18</v>
      </c>
      <c r="B26" s="49" t="s">
        <v>319</v>
      </c>
      <c r="C26" s="13">
        <f>'data 2021'!C180</f>
        <v>25330</v>
      </c>
    </row>
    <row r="27" spans="1:3" ht="20.149999999999999" customHeight="1">
      <c r="A27" s="13">
        <v>19</v>
      </c>
      <c r="B27" s="49" t="s">
        <v>1072</v>
      </c>
      <c r="C27" s="13">
        <f>'data 2021'!D181</f>
        <v>151293.33000000002</v>
      </c>
    </row>
    <row r="28" spans="1:3" ht="20.149999999999999" customHeight="1">
      <c r="A28" s="57"/>
      <c r="B28" s="45"/>
      <c r="C28" s="98"/>
    </row>
    <row r="29" spans="1:3" ht="20.149999999999999" customHeight="1">
      <c r="A29" s="73"/>
      <c r="B29" s="30"/>
      <c r="C29" s="20"/>
    </row>
    <row r="30" spans="1:3" ht="20.149999999999999" customHeight="1">
      <c r="A30" s="102">
        <v>20</v>
      </c>
      <c r="B30" s="43" t="s">
        <v>1073</v>
      </c>
      <c r="C30" s="34"/>
    </row>
    <row r="31" spans="1:3" ht="20.149999999999999" customHeight="1">
      <c r="A31" s="13">
        <v>21</v>
      </c>
      <c r="B31" s="49" t="s">
        <v>321</v>
      </c>
      <c r="C31" s="13">
        <f>'data 2021'!C183</f>
        <v>141081.07999999999</v>
      </c>
    </row>
    <row r="32" spans="1:3" ht="20.149999999999999" customHeight="1">
      <c r="A32" s="13">
        <v>22</v>
      </c>
      <c r="B32" s="49" t="s">
        <v>1074</v>
      </c>
      <c r="C32" s="13">
        <f>'data 2021'!C184</f>
        <v>2184476.1700000004</v>
      </c>
    </row>
    <row r="33" spans="1:3" ht="20.149999999999999" customHeight="1">
      <c r="A33" s="13">
        <v>23</v>
      </c>
      <c r="B33" s="49" t="s">
        <v>132</v>
      </c>
      <c r="C33" s="13">
        <f>'data 2021'!C185</f>
        <v>976371.27</v>
      </c>
    </row>
    <row r="34" spans="1:3" ht="20.149999999999999" customHeight="1">
      <c r="A34" s="13">
        <v>24</v>
      </c>
      <c r="B34" s="49" t="s">
        <v>1075</v>
      </c>
      <c r="C34" s="13">
        <f>'data 2021'!D186</f>
        <v>3301928.5200000005</v>
      </c>
    </row>
    <row r="35" spans="1:3" ht="20.149999999999999" customHeight="1">
      <c r="A35" s="57"/>
      <c r="B35" s="45"/>
      <c r="C35" s="98"/>
    </row>
    <row r="36" spans="1:3" ht="20.149999999999999" customHeight="1">
      <c r="A36" s="73"/>
      <c r="B36" s="30"/>
      <c r="C36" s="20"/>
    </row>
    <row r="37" spans="1:3" ht="20.149999999999999" customHeight="1">
      <c r="A37" s="102">
        <v>25</v>
      </c>
      <c r="B37" s="43" t="s">
        <v>323</v>
      </c>
      <c r="C37" s="95"/>
    </row>
    <row r="38" spans="1:3" ht="20.149999999999999" customHeight="1">
      <c r="A38" s="13">
        <v>26</v>
      </c>
      <c r="B38" s="49" t="s">
        <v>1076</v>
      </c>
      <c r="C38" s="13">
        <f>'data 2021'!C188</f>
        <v>0</v>
      </c>
    </row>
    <row r="39" spans="1:3" ht="20.149999999999999" customHeight="1">
      <c r="A39" s="13">
        <v>27</v>
      </c>
      <c r="B39" s="49" t="s">
        <v>325</v>
      </c>
      <c r="C39" s="13">
        <f>'data 2021'!C189</f>
        <v>2513722</v>
      </c>
    </row>
    <row r="40" spans="1:3" ht="20.149999999999999" customHeight="1">
      <c r="A40" s="13">
        <v>28</v>
      </c>
      <c r="B40" s="49" t="s">
        <v>1077</v>
      </c>
      <c r="C40" s="13">
        <f>'data 2021'!D190</f>
        <v>2513722</v>
      </c>
    </row>
    <row r="41" spans="1:3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sqref="A1:XFD1048576"/>
    </sheetView>
  </sheetViews>
  <sheetFormatPr defaultColWidth="8.9140625" defaultRowHeight="20.149999999999999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>
      <c r="A2" s="8"/>
      <c r="B2" s="8"/>
      <c r="C2" s="8"/>
      <c r="D2" s="8"/>
      <c r="E2" s="8"/>
      <c r="F2" s="8"/>
    </row>
    <row r="3" spans="1:13" ht="20.149999999999999" customHeight="1">
      <c r="A3" s="10" t="str">
        <f>"Hospital: "&amp;'data 2021'!C84</f>
        <v>Hospital: Capital Medical Center</v>
      </c>
      <c r="B3" s="8"/>
      <c r="C3" s="8"/>
      <c r="E3" s="11"/>
      <c r="F3" s="12" t="str">
        <f>" FYE: "&amp;'data 2021'!C82</f>
        <v xml:space="preserve"> FYE: 12/31/2021</v>
      </c>
    </row>
    <row r="4" spans="1:13" ht="20.149999999999999" customHeight="1">
      <c r="A4" s="39" t="s">
        <v>327</v>
      </c>
      <c r="B4" s="36"/>
      <c r="C4" s="36"/>
      <c r="D4" s="71"/>
      <c r="E4" s="71"/>
      <c r="F4" s="36"/>
    </row>
    <row r="5" spans="1:13" ht="20.149999999999999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>
      <c r="A7" s="13">
        <v>1</v>
      </c>
      <c r="B7" s="14" t="s">
        <v>332</v>
      </c>
      <c r="C7" s="21">
        <f>'data 2021'!B195</f>
        <v>3160000</v>
      </c>
      <c r="D7" s="21">
        <f>'data 2021'!C195</f>
        <v>2014183.2800000003</v>
      </c>
      <c r="E7" s="21">
        <f>'data 2021'!D195</f>
        <v>0</v>
      </c>
      <c r="F7" s="21">
        <f>'data 2021'!E195</f>
        <v>5174183.28</v>
      </c>
    </row>
    <row r="8" spans="1:13" ht="20.149999999999999" customHeight="1">
      <c r="A8" s="13">
        <v>2</v>
      </c>
      <c r="B8" s="14" t="s">
        <v>333</v>
      </c>
      <c r="C8" s="21">
        <f>'data 2021'!B196</f>
        <v>710000</v>
      </c>
      <c r="D8" s="21">
        <f>'data 2021'!C196</f>
        <v>0</v>
      </c>
      <c r="E8" s="21">
        <f>'data 2021'!D196</f>
        <v>710000</v>
      </c>
      <c r="F8" s="21">
        <f>'data 2021'!E196</f>
        <v>0</v>
      </c>
    </row>
    <row r="9" spans="1:13" ht="20.149999999999999" customHeight="1">
      <c r="A9" s="13">
        <v>3</v>
      </c>
      <c r="B9" s="14" t="s">
        <v>334</v>
      </c>
      <c r="C9" s="21">
        <f>'data 2021'!B197</f>
        <v>38437221</v>
      </c>
      <c r="D9" s="21">
        <f>'data 2021'!C197</f>
        <v>112105454.78999999</v>
      </c>
      <c r="E9" s="21">
        <f>'data 2021'!D197</f>
        <v>0</v>
      </c>
      <c r="F9" s="21">
        <f>'data 2021'!E197</f>
        <v>150542675.78999999</v>
      </c>
    </row>
    <row r="10" spans="1:13" ht="20.149999999999999" customHeight="1">
      <c r="A10" s="13">
        <v>4</v>
      </c>
      <c r="B10" s="14" t="s">
        <v>1083</v>
      </c>
      <c r="C10" s="21">
        <f>'data 2021'!B198</f>
        <v>0</v>
      </c>
      <c r="D10" s="21">
        <f>'data 2021'!C198</f>
        <v>0</v>
      </c>
      <c r="E10" s="21">
        <f>'data 2021'!D198</f>
        <v>0</v>
      </c>
      <c r="F10" s="21">
        <f>'data 2021'!E198</f>
        <v>0</v>
      </c>
    </row>
    <row r="11" spans="1:13" ht="20.149999999999999" customHeight="1">
      <c r="A11" s="13">
        <v>5</v>
      </c>
      <c r="B11" s="14" t="s">
        <v>1084</v>
      </c>
      <c r="C11" s="21">
        <f>'data 2021'!B199</f>
        <v>21106338</v>
      </c>
      <c r="D11" s="21">
        <f>'data 2021'!C199</f>
        <v>0</v>
      </c>
      <c r="E11" s="21">
        <f>'data 2021'!D199</f>
        <v>19636290.48</v>
      </c>
      <c r="F11" s="21">
        <f>'data 2021'!E199</f>
        <v>1470047.5199999996</v>
      </c>
    </row>
    <row r="12" spans="1:13" ht="20.149999999999999" customHeight="1">
      <c r="A12" s="13">
        <v>6</v>
      </c>
      <c r="B12" s="14" t="s">
        <v>1085</v>
      </c>
      <c r="C12" s="21">
        <f>'data 2021'!B200</f>
        <v>13488264</v>
      </c>
      <c r="D12" s="21">
        <f>'data 2021'!C200</f>
        <v>0</v>
      </c>
      <c r="E12" s="21">
        <f>'data 2021'!D200</f>
        <v>1209691.3400000001</v>
      </c>
      <c r="F12" s="21">
        <f>'data 2021'!E200</f>
        <v>12278572.66</v>
      </c>
    </row>
    <row r="13" spans="1:13" ht="20.149999999999999" customHeight="1">
      <c r="A13" s="13">
        <v>7</v>
      </c>
      <c r="B13" s="14" t="s">
        <v>1086</v>
      </c>
      <c r="C13" s="21">
        <f>'data 2021'!B201</f>
        <v>7501032</v>
      </c>
      <c r="D13" s="21">
        <f>'data 2021'!C201</f>
        <v>0</v>
      </c>
      <c r="E13" s="21">
        <f>'data 2021'!D201</f>
        <v>7501032</v>
      </c>
      <c r="F13" s="21">
        <f>'data 2021'!E201</f>
        <v>0</v>
      </c>
    </row>
    <row r="14" spans="1:13" ht="20.149999999999999" customHeight="1">
      <c r="A14" s="13">
        <v>8</v>
      </c>
      <c r="B14" s="14" t="s">
        <v>339</v>
      </c>
      <c r="C14" s="21">
        <f>'data 2021'!B202</f>
        <v>4521546</v>
      </c>
      <c r="D14" s="21">
        <f>'data 2021'!C202</f>
        <v>0</v>
      </c>
      <c r="E14" s="21">
        <f>'data 2021'!D202</f>
        <v>3228690.5</v>
      </c>
      <c r="F14" s="21">
        <f>'data 2021'!E202</f>
        <v>1292855.5</v>
      </c>
    </row>
    <row r="15" spans="1:13" ht="20.149999999999999" customHeight="1">
      <c r="A15" s="13">
        <v>9</v>
      </c>
      <c r="B15" s="14" t="s">
        <v>1087</v>
      </c>
      <c r="C15" s="21">
        <f>'data 2021'!B203</f>
        <v>716299</v>
      </c>
      <c r="D15" s="21">
        <f>'data 2021'!C203</f>
        <v>0</v>
      </c>
      <c r="E15" s="21">
        <f>'data 2021'!D203</f>
        <v>716299</v>
      </c>
      <c r="F15" s="21">
        <f>'data 2021'!E203</f>
        <v>0</v>
      </c>
      <c r="M15" s="267"/>
    </row>
    <row r="16" spans="1:13" ht="20.149999999999999" customHeight="1">
      <c r="A16" s="13">
        <v>10</v>
      </c>
      <c r="B16" s="14" t="s">
        <v>661</v>
      </c>
      <c r="C16" s="21">
        <f>'data 2021'!B204</f>
        <v>89640700</v>
      </c>
      <c r="D16" s="21">
        <f>'data 2021'!C204</f>
        <v>114119638.06999999</v>
      </c>
      <c r="E16" s="21">
        <f>'data 2021'!D204</f>
        <v>33002003.32</v>
      </c>
      <c r="F16" s="21">
        <f>'data 2021'!E204</f>
        <v>170758334.75</v>
      </c>
    </row>
    <row r="17" spans="1:6" ht="20.149999999999999" customHeight="1">
      <c r="A17" s="73"/>
      <c r="B17" s="30"/>
      <c r="C17" s="30"/>
      <c r="D17" s="30"/>
      <c r="E17" s="30"/>
      <c r="F17" s="20"/>
    </row>
    <row r="18" spans="1:6" ht="20.149999999999999" customHeight="1">
      <c r="A18" s="74"/>
      <c r="B18" s="8"/>
      <c r="C18" s="8"/>
      <c r="D18" s="8"/>
      <c r="E18" s="8"/>
      <c r="F18" s="28"/>
    </row>
    <row r="19" spans="1:6" ht="20.149999999999999" customHeight="1">
      <c r="A19" s="74"/>
      <c r="B19" s="8"/>
      <c r="C19" s="8"/>
      <c r="D19" s="8"/>
      <c r="E19" s="8"/>
      <c r="F19" s="28"/>
    </row>
    <row r="20" spans="1:6" ht="20.149999999999999" customHeight="1">
      <c r="A20" s="39" t="s">
        <v>341</v>
      </c>
      <c r="B20" s="36"/>
      <c r="C20" s="36"/>
      <c r="D20" s="36"/>
      <c r="E20" s="36"/>
      <c r="F20" s="36"/>
    </row>
    <row r="21" spans="1:6" ht="20.149999999999999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>
      <c r="A24" s="13">
        <v>12</v>
      </c>
      <c r="B24" s="14" t="s">
        <v>333</v>
      </c>
      <c r="C24" s="21">
        <f>'data 2021'!B209</f>
        <v>414165.67000000004</v>
      </c>
      <c r="D24" s="21">
        <f>'data 2021'!C209</f>
        <v>0</v>
      </c>
      <c r="E24" s="21">
        <f>'data 2021'!D209</f>
        <v>414165.67</v>
      </c>
      <c r="F24" s="21">
        <f>'data 2021'!E209</f>
        <v>0</v>
      </c>
    </row>
    <row r="25" spans="1:6" ht="20.149999999999999" customHeight="1">
      <c r="A25" s="13">
        <v>13</v>
      </c>
      <c r="B25" s="14" t="s">
        <v>334</v>
      </c>
      <c r="C25" s="21">
        <f>'data 2021'!B210</f>
        <v>7719190.0199999996</v>
      </c>
      <c r="D25" s="21">
        <f>'data 2021'!C210</f>
        <v>0</v>
      </c>
      <c r="E25" s="21">
        <f>'data 2021'!D210</f>
        <v>6994824.1299999999</v>
      </c>
      <c r="F25" s="21">
        <f>'data 2021'!E210</f>
        <v>724365.88999999966</v>
      </c>
    </row>
    <row r="26" spans="1:6" ht="20.149999999999999" customHeight="1">
      <c r="A26" s="13">
        <v>14</v>
      </c>
      <c r="B26" s="14" t="s">
        <v>1083</v>
      </c>
      <c r="C26" s="21">
        <f>'data 2021'!B211</f>
        <v>0</v>
      </c>
      <c r="D26" s="21">
        <f>'data 2021'!C211</f>
        <v>0</v>
      </c>
      <c r="E26" s="21">
        <f>'data 2021'!D211</f>
        <v>0</v>
      </c>
      <c r="F26" s="21">
        <f>'data 2021'!E211</f>
        <v>0</v>
      </c>
    </row>
    <row r="27" spans="1:6" ht="20.149999999999999" customHeight="1">
      <c r="A27" s="13">
        <v>15</v>
      </c>
      <c r="B27" s="14" t="s">
        <v>1084</v>
      </c>
      <c r="C27" s="21">
        <f>'data 2021'!B212</f>
        <v>3539791</v>
      </c>
      <c r="D27" s="21">
        <f>'data 2021'!C212</f>
        <v>0</v>
      </c>
      <c r="E27" s="21">
        <f>'data 2021'!D212</f>
        <v>3433557.94</v>
      </c>
      <c r="F27" s="21">
        <f>'data 2021'!E212</f>
        <v>106233.06000000006</v>
      </c>
    </row>
    <row r="28" spans="1:6" ht="20.149999999999999" customHeight="1">
      <c r="A28" s="13">
        <v>16</v>
      </c>
      <c r="B28" s="14" t="s">
        <v>1085</v>
      </c>
      <c r="C28" s="21">
        <f>'data 2021'!B213</f>
        <v>7763942.6699999999</v>
      </c>
      <c r="D28" s="21">
        <f>'data 2021'!C213</f>
        <v>0</v>
      </c>
      <c r="E28" s="21">
        <f>'data 2021'!D213</f>
        <v>6189515.1399999997</v>
      </c>
      <c r="F28" s="21">
        <f>'data 2021'!E213</f>
        <v>1574427.5300000003</v>
      </c>
    </row>
    <row r="29" spans="1:6" ht="20.149999999999999" customHeight="1">
      <c r="A29" s="13">
        <v>17</v>
      </c>
      <c r="B29" s="14" t="s">
        <v>1086</v>
      </c>
      <c r="C29" s="21">
        <f>'data 2021'!B214</f>
        <v>3130334</v>
      </c>
      <c r="D29" s="21">
        <f>'data 2021'!C214</f>
        <v>0</v>
      </c>
      <c r="E29" s="21">
        <f>'data 2021'!D214</f>
        <v>3130334</v>
      </c>
      <c r="F29" s="21">
        <f>'data 2021'!E214</f>
        <v>0</v>
      </c>
    </row>
    <row r="30" spans="1:6" ht="20.149999999999999" customHeight="1">
      <c r="A30" s="13">
        <v>18</v>
      </c>
      <c r="B30" s="14" t="s">
        <v>339</v>
      </c>
      <c r="C30" s="21">
        <f>'data 2021'!B215</f>
        <v>1553082</v>
      </c>
      <c r="D30" s="21">
        <f>'data 2021'!C215</f>
        <v>0</v>
      </c>
      <c r="E30" s="21">
        <f>'data 2021'!D215</f>
        <v>1423796.46</v>
      </c>
      <c r="F30" s="21">
        <f>'data 2021'!E215</f>
        <v>129285.54000000004</v>
      </c>
    </row>
    <row r="31" spans="1:6" ht="20.149999999999999" customHeight="1">
      <c r="A31" s="13">
        <v>19</v>
      </c>
      <c r="B31" s="14" t="s">
        <v>1087</v>
      </c>
      <c r="C31" s="21">
        <f>'data 2021'!B216</f>
        <v>0</v>
      </c>
      <c r="D31" s="21">
        <f>'data 2021'!C216</f>
        <v>0</v>
      </c>
      <c r="E31" s="21">
        <f>'data 2021'!D216</f>
        <v>0</v>
      </c>
      <c r="F31" s="21">
        <f>'data 2021'!E216</f>
        <v>0</v>
      </c>
    </row>
    <row r="32" spans="1:6" ht="20.149999999999999" customHeight="1">
      <c r="A32" s="13">
        <v>20</v>
      </c>
      <c r="B32" s="14" t="s">
        <v>661</v>
      </c>
      <c r="C32" s="21">
        <f>'data 2021'!B217</f>
        <v>24120505.359999999</v>
      </c>
      <c r="D32" s="21">
        <f>'data 2021'!C217</f>
        <v>0</v>
      </c>
      <c r="E32" s="21">
        <f>'data 2021'!D217</f>
        <v>21586193.34</v>
      </c>
      <c r="F32" s="21">
        <f>'data 2021'!E217</f>
        <v>2534312.02</v>
      </c>
    </row>
  </sheetData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13" sqref="D13"/>
    </sheetView>
  </sheetViews>
  <sheetFormatPr defaultColWidth="8.9140625" defaultRowHeight="20.149999999999999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>
      <c r="A1" s="6" t="s">
        <v>1089</v>
      </c>
      <c r="B1" s="6"/>
      <c r="C1" s="6"/>
      <c r="D1" s="169" t="s">
        <v>1090</v>
      </c>
    </row>
    <row r="2" spans="1:13" ht="20.149999999999999" customHeight="1">
      <c r="A2" s="29" t="str">
        <f>"Hospital: "&amp;'data 2021'!C84</f>
        <v>Hospital: Capital Medical Center</v>
      </c>
      <c r="B2" s="30"/>
      <c r="C2" s="30"/>
      <c r="D2" s="31" t="str">
        <f>"FYE: "&amp;'data 2021'!C82</f>
        <v>FYE: 12/31/2021</v>
      </c>
    </row>
    <row r="3" spans="1:13" ht="20.149999999999999" customHeight="1">
      <c r="A3" s="42"/>
      <c r="B3" s="52"/>
      <c r="C3" s="52"/>
      <c r="D3" s="52"/>
    </row>
    <row r="4" spans="1:13" ht="20.149999999999999" customHeight="1">
      <c r="A4" s="53"/>
      <c r="B4" s="41" t="s">
        <v>1091</v>
      </c>
      <c r="C4" s="41" t="s">
        <v>1092</v>
      </c>
      <c r="D4" s="54"/>
    </row>
    <row r="5" spans="1:13" ht="20.149999999999999" customHeight="1">
      <c r="A5" s="102">
        <v>1</v>
      </c>
      <c r="B5" s="55"/>
      <c r="C5" s="22" t="s">
        <v>1255</v>
      </c>
      <c r="D5" s="14">
        <f>'data 2021'!D221</f>
        <v>4902043.6500000004</v>
      </c>
    </row>
    <row r="6" spans="1:13" ht="20.149999999999999" customHeight="1">
      <c r="A6" s="13">
        <v>2</v>
      </c>
      <c r="B6" s="30"/>
      <c r="C6" s="31" t="s">
        <v>432</v>
      </c>
      <c r="D6" s="25"/>
    </row>
    <row r="7" spans="1:13" ht="20.149999999999999" customHeight="1">
      <c r="A7" s="13">
        <v>3</v>
      </c>
      <c r="B7" s="55">
        <v>5810</v>
      </c>
      <c r="C7" s="14" t="s">
        <v>296</v>
      </c>
      <c r="D7" s="14">
        <f>'data 2021'!C223</f>
        <v>170423052.1359084</v>
      </c>
    </row>
    <row r="8" spans="1:13" ht="20.149999999999999" customHeight="1">
      <c r="A8" s="13">
        <v>4</v>
      </c>
      <c r="B8" s="55">
        <v>5820</v>
      </c>
      <c r="C8" s="14" t="s">
        <v>297</v>
      </c>
      <c r="D8" s="14">
        <f>'data 2021'!C224</f>
        <v>4846566.148989819</v>
      </c>
    </row>
    <row r="9" spans="1:13" ht="20.149999999999999" customHeight="1">
      <c r="A9" s="13">
        <v>5</v>
      </c>
      <c r="B9" s="55">
        <v>5830</v>
      </c>
      <c r="C9" s="14" t="s">
        <v>309</v>
      </c>
      <c r="D9" s="14">
        <f>'data 2021'!C225</f>
        <v>5167929.2078360971</v>
      </c>
    </row>
    <row r="10" spans="1:13" ht="20.149999999999999" customHeight="1">
      <c r="A10" s="13">
        <v>6</v>
      </c>
      <c r="B10" s="55">
        <v>5840</v>
      </c>
      <c r="C10" s="14" t="s">
        <v>347</v>
      </c>
      <c r="D10" s="14">
        <f>'data 2021'!C226</f>
        <v>15820984.272230003</v>
      </c>
    </row>
    <row r="11" spans="1:13" ht="20.149999999999999" customHeight="1">
      <c r="A11" s="13">
        <v>7</v>
      </c>
      <c r="B11" s="55">
        <v>5850</v>
      </c>
      <c r="C11" s="14" t="s">
        <v>1093</v>
      </c>
      <c r="D11" s="14">
        <f>'data 2021'!C227</f>
        <v>0</v>
      </c>
    </row>
    <row r="12" spans="1:13" ht="20.149999999999999" customHeight="1">
      <c r="A12" s="13">
        <v>8</v>
      </c>
      <c r="B12" s="55">
        <v>5860</v>
      </c>
      <c r="C12" s="14" t="s">
        <v>132</v>
      </c>
      <c r="D12" s="14">
        <f>'data 2021'!C228</f>
        <v>297296786.57503557</v>
      </c>
    </row>
    <row r="13" spans="1:13" ht="20.149999999999999" customHeight="1">
      <c r="A13" s="23">
        <v>9</v>
      </c>
      <c r="B13" s="24"/>
      <c r="C13" s="14" t="s">
        <v>1094</v>
      </c>
      <c r="D13" s="14">
        <f>'data 2021'!D229</f>
        <v>493555318.33999991</v>
      </c>
    </row>
    <row r="14" spans="1:13" ht="20.149999999999999" customHeight="1">
      <c r="A14" s="81">
        <v>10</v>
      </c>
      <c r="B14" s="56"/>
      <c r="C14" s="56"/>
      <c r="D14" s="56"/>
    </row>
    <row r="15" spans="1:13" ht="20.149999999999999" customHeight="1">
      <c r="A15" s="23">
        <v>11</v>
      </c>
      <c r="B15" s="58"/>
      <c r="C15" s="9" t="s">
        <v>351</v>
      </c>
      <c r="D15" s="25"/>
    </row>
    <row r="16" spans="1:13" ht="20.149999999999999" customHeight="1">
      <c r="A16" s="81">
        <v>12</v>
      </c>
      <c r="B16" s="56"/>
      <c r="C16" s="49" t="s">
        <v>1095</v>
      </c>
      <c r="D16" s="140">
        <f>+'data 2021'!C231</f>
        <v>5</v>
      </c>
      <c r="M16" s="267"/>
    </row>
    <row r="17" spans="1:4" ht="20.149999999999999" customHeight="1">
      <c r="A17" s="23">
        <v>13</v>
      </c>
      <c r="B17" s="58"/>
      <c r="C17" s="45"/>
      <c r="D17" s="83"/>
    </row>
    <row r="18" spans="1:4" ht="20.149999999999999" customHeight="1">
      <c r="A18" s="13">
        <v>14</v>
      </c>
      <c r="B18" s="59">
        <v>5900</v>
      </c>
      <c r="C18" s="14" t="s">
        <v>353</v>
      </c>
      <c r="D18" s="60">
        <f>'data 2021'!C233</f>
        <v>900507.90630873991</v>
      </c>
    </row>
    <row r="19" spans="1:4" ht="20.149999999999999" customHeight="1">
      <c r="A19" s="61">
        <v>15</v>
      </c>
      <c r="B19" s="55">
        <v>5910</v>
      </c>
      <c r="C19" s="22" t="s">
        <v>1096</v>
      </c>
      <c r="D19" s="14">
        <f>'data 2021'!C234</f>
        <v>1438549.6136912601</v>
      </c>
    </row>
    <row r="20" spans="1:4" ht="20.149999999999999" customHeight="1">
      <c r="A20" s="23">
        <v>16</v>
      </c>
      <c r="B20" s="24"/>
      <c r="C20" s="24"/>
      <c r="D20" s="56"/>
    </row>
    <row r="21" spans="1:4" ht="20.149999999999999" customHeight="1">
      <c r="A21" s="23">
        <v>17</v>
      </c>
      <c r="B21" s="56"/>
      <c r="C21" s="56"/>
      <c r="D21" s="56"/>
    </row>
    <row r="22" spans="1:4" ht="20.149999999999999" customHeight="1">
      <c r="A22" s="81">
        <v>18</v>
      </c>
      <c r="B22" s="56"/>
      <c r="C22" s="15" t="s">
        <v>1097</v>
      </c>
      <c r="D22" s="14">
        <f>'data 2021'!D236</f>
        <v>2339057.52</v>
      </c>
    </row>
    <row r="23" spans="1:4" ht="20.149999999999999" customHeight="1">
      <c r="A23" s="62">
        <v>19</v>
      </c>
      <c r="B23" s="58"/>
      <c r="C23" s="58"/>
      <c r="D23" s="25"/>
    </row>
    <row r="24" spans="1:4" ht="20.149999999999999" customHeight="1">
      <c r="A24" s="272">
        <v>20</v>
      </c>
      <c r="B24" s="55">
        <v>5970</v>
      </c>
      <c r="C24" s="14" t="s">
        <v>357</v>
      </c>
      <c r="D24" s="14">
        <f>'data 2021'!C238</f>
        <v>0</v>
      </c>
    </row>
    <row r="25" spans="1:4" ht="20.149999999999999" customHeight="1">
      <c r="A25" s="62">
        <v>21</v>
      </c>
      <c r="B25" s="30"/>
      <c r="C25" s="30"/>
      <c r="D25" s="25"/>
    </row>
    <row r="26" spans="1:4" ht="20.149999999999999" customHeight="1">
      <c r="A26" s="23">
        <v>22</v>
      </c>
      <c r="B26" s="55">
        <v>5980</v>
      </c>
      <c r="C26" s="14" t="s">
        <v>1098</v>
      </c>
      <c r="D26" s="14">
        <f>'data 2021'!C239</f>
        <v>0</v>
      </c>
    </row>
    <row r="27" spans="1:4" ht="20.149999999999999" customHeight="1">
      <c r="A27" s="64">
        <v>23</v>
      </c>
      <c r="B27" s="63" t="s">
        <v>1099</v>
      </c>
      <c r="C27" s="56"/>
      <c r="D27" s="14">
        <f>'data 2021'!D242</f>
        <v>500796419.50999987</v>
      </c>
    </row>
    <row r="28" spans="1:4" ht="20.149999999999999" customHeight="1">
      <c r="A28" s="126">
        <v>24</v>
      </c>
      <c r="B28" s="65" t="s">
        <v>1100</v>
      </c>
      <c r="C28" s="50"/>
      <c r="D28" s="54"/>
    </row>
    <row r="29" spans="1:4" ht="20.149999999999999" customHeight="1">
      <c r="A29" s="66"/>
      <c r="B29" s="67"/>
      <c r="C29" s="67"/>
      <c r="D29" s="56"/>
    </row>
    <row r="30" spans="1:4" ht="20.149999999999999" customHeight="1">
      <c r="A30" s="68"/>
      <c r="B30" s="38"/>
      <c r="C30" s="38"/>
      <c r="D30" s="56"/>
    </row>
    <row r="31" spans="1:4" ht="20.149999999999999" customHeight="1">
      <c r="A31" s="68"/>
      <c r="B31" s="38"/>
      <c r="C31" s="38"/>
      <c r="D31" s="56"/>
    </row>
    <row r="32" spans="1:4" ht="20.149999999999999" customHeight="1">
      <c r="A32" s="68"/>
      <c r="B32" s="38"/>
      <c r="C32" s="38"/>
      <c r="D32" s="56"/>
    </row>
    <row r="33" spans="1:4" ht="20.149999999999999" customHeight="1">
      <c r="A33" s="68"/>
      <c r="B33" s="38"/>
      <c r="C33" s="38"/>
      <c r="D33" s="24"/>
    </row>
    <row r="34" spans="1:4" ht="20.149999999999999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sqref="A1:XFD1048576"/>
    </sheetView>
  </sheetViews>
  <sheetFormatPr defaultColWidth="57.4140625" defaultRowHeight="15.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>
      <c r="A1" s="4" t="s">
        <v>1101</v>
      </c>
      <c r="B1" s="5"/>
      <c r="C1" s="6"/>
    </row>
    <row r="2" spans="1:13" ht="20.149999999999999" customHeight="1">
      <c r="A2" s="4"/>
      <c r="B2" s="5"/>
      <c r="C2" s="167" t="s">
        <v>1102</v>
      </c>
    </row>
    <row r="3" spans="1:13" ht="20.149999999999999" customHeight="1">
      <c r="A3" s="29" t="str">
        <f>"HOSPITAL: "&amp;'data 2021'!C84</f>
        <v>HOSPITAL: Capital Medical Center</v>
      </c>
      <c r="B3" s="30"/>
      <c r="C3" s="31" t="str">
        <f>" FYE: "&amp;'data 2021'!C82</f>
        <v xml:space="preserve"> FYE: 12/31/2021</v>
      </c>
    </row>
    <row r="4" spans="1:13" ht="20.149999999999999" customHeight="1">
      <c r="A4" s="32"/>
      <c r="B4" s="33" t="s">
        <v>1103</v>
      </c>
      <c r="C4" s="34"/>
    </row>
    <row r="5" spans="1:13" ht="20.149999999999999" customHeight="1">
      <c r="A5" s="23">
        <v>1</v>
      </c>
      <c r="B5" s="35" t="s">
        <v>361</v>
      </c>
      <c r="C5" s="36"/>
    </row>
    <row r="6" spans="1:13" ht="20.149999999999999" customHeight="1">
      <c r="A6" s="13">
        <v>2</v>
      </c>
      <c r="B6" s="14" t="s">
        <v>362</v>
      </c>
      <c r="C6" s="21">
        <f>'data 2021'!C250</f>
        <v>2881401.9899999797</v>
      </c>
    </row>
    <row r="7" spans="1:13" ht="20.149999999999999" customHeight="1">
      <c r="A7" s="13">
        <v>3</v>
      </c>
      <c r="B7" s="14" t="s">
        <v>363</v>
      </c>
      <c r="C7" s="21">
        <f>'data 2021'!C251</f>
        <v>0</v>
      </c>
    </row>
    <row r="8" spans="1:13" ht="20.149999999999999" customHeight="1">
      <c r="A8" s="13">
        <v>4</v>
      </c>
      <c r="B8" s="14" t="s">
        <v>364</v>
      </c>
      <c r="C8" s="21">
        <f>'data 2021'!C252</f>
        <v>29162693.359999992</v>
      </c>
    </row>
    <row r="9" spans="1:13" ht="20.149999999999999" customHeight="1">
      <c r="A9" s="13">
        <v>5</v>
      </c>
      <c r="B9" s="14" t="s">
        <v>1104</v>
      </c>
      <c r="C9" s="21">
        <f>'data 2021'!C253</f>
        <v>7900653.3399999989</v>
      </c>
    </row>
    <row r="10" spans="1:13" ht="20.149999999999999" customHeight="1">
      <c r="A10" s="13">
        <v>6</v>
      </c>
      <c r="B10" s="14" t="s">
        <v>1105</v>
      </c>
      <c r="C10" s="21">
        <f>'data 2021'!C254</f>
        <v>0</v>
      </c>
    </row>
    <row r="11" spans="1:13" ht="20.149999999999999" customHeight="1">
      <c r="A11" s="13">
        <v>7</v>
      </c>
      <c r="B11" s="14" t="s">
        <v>1106</v>
      </c>
      <c r="C11" s="21">
        <f>'data 2021'!C255</f>
        <v>1297974.71</v>
      </c>
    </row>
    <row r="12" spans="1:13" ht="20.149999999999999" customHeight="1">
      <c r="A12" s="13">
        <v>8</v>
      </c>
      <c r="B12" s="14" t="s">
        <v>367</v>
      </c>
      <c r="C12" s="21">
        <f>'data 2021'!C256</f>
        <v>0</v>
      </c>
    </row>
    <row r="13" spans="1:13" ht="20.149999999999999" customHeight="1">
      <c r="A13" s="13">
        <v>9</v>
      </c>
      <c r="B13" s="14" t="s">
        <v>368</v>
      </c>
      <c r="C13" s="21">
        <f>'data 2021'!C257</f>
        <v>3541588.44</v>
      </c>
    </row>
    <row r="14" spans="1:13" ht="20.149999999999999" customHeight="1">
      <c r="A14" s="13">
        <v>10</v>
      </c>
      <c r="B14" s="14" t="s">
        <v>369</v>
      </c>
      <c r="C14" s="21">
        <f>'data 2021'!C258</f>
        <v>437795.58999999997</v>
      </c>
    </row>
    <row r="15" spans="1:13" ht="20.149999999999999" customHeight="1">
      <c r="A15" s="13">
        <v>11</v>
      </c>
      <c r="B15" s="14" t="s">
        <v>1107</v>
      </c>
      <c r="C15" s="21">
        <f>'data 2021'!C259</f>
        <v>0</v>
      </c>
      <c r="M15" s="267"/>
    </row>
    <row r="16" spans="1:13" ht="20.149999999999999" customHeight="1">
      <c r="A16" s="13">
        <v>12</v>
      </c>
      <c r="B16" s="14" t="s">
        <v>1108</v>
      </c>
      <c r="C16" s="21">
        <f>'data 2021'!D260</f>
        <v>29420800.74999997</v>
      </c>
    </row>
    <row r="17" spans="1:3" ht="20.149999999999999" customHeight="1">
      <c r="A17" s="13">
        <v>13</v>
      </c>
      <c r="B17" s="24"/>
      <c r="C17" s="24"/>
    </row>
    <row r="18" spans="1:3" ht="20.149999999999999" customHeight="1">
      <c r="A18" s="13">
        <v>14</v>
      </c>
      <c r="B18" s="37" t="s">
        <v>1109</v>
      </c>
      <c r="C18" s="36"/>
    </row>
    <row r="19" spans="1:3" ht="20.149999999999999" customHeight="1">
      <c r="A19" s="13">
        <v>15</v>
      </c>
      <c r="B19" s="14" t="s">
        <v>362</v>
      </c>
      <c r="C19" s="21">
        <f>'data 2021'!C262</f>
        <v>0</v>
      </c>
    </row>
    <row r="20" spans="1:3" ht="20.149999999999999" customHeight="1">
      <c r="A20" s="13">
        <v>16</v>
      </c>
      <c r="B20" s="14" t="s">
        <v>363</v>
      </c>
      <c r="C20" s="21">
        <f>'data 2021'!C263</f>
        <v>0</v>
      </c>
    </row>
    <row r="21" spans="1:3" ht="20.149999999999999" customHeight="1">
      <c r="A21" s="13">
        <v>17</v>
      </c>
      <c r="B21" s="14" t="s">
        <v>373</v>
      </c>
      <c r="C21" s="21">
        <f>'data 2021'!C264</f>
        <v>0</v>
      </c>
    </row>
    <row r="22" spans="1:3" ht="20.149999999999999" customHeight="1">
      <c r="A22" s="13">
        <v>18</v>
      </c>
      <c r="B22" s="14" t="s">
        <v>1110</v>
      </c>
      <c r="C22" s="21">
        <f>'data 2021'!D265</f>
        <v>0</v>
      </c>
    </row>
    <row r="23" spans="1:3" ht="20.149999999999999" customHeight="1">
      <c r="A23" s="13">
        <v>19</v>
      </c>
      <c r="B23" s="38"/>
      <c r="C23" s="24"/>
    </row>
    <row r="24" spans="1:3" ht="20.149999999999999" customHeight="1">
      <c r="A24" s="13">
        <v>20</v>
      </c>
      <c r="B24" s="37" t="s">
        <v>1111</v>
      </c>
      <c r="C24" s="36"/>
    </row>
    <row r="25" spans="1:3" ht="20.149999999999999" customHeight="1">
      <c r="A25" s="13">
        <v>21</v>
      </c>
      <c r="B25" s="14" t="s">
        <v>332</v>
      </c>
      <c r="C25" s="21">
        <f>'data 2021'!C267</f>
        <v>5174183.28</v>
      </c>
    </row>
    <row r="26" spans="1:3" ht="20.149999999999999" customHeight="1">
      <c r="A26" s="13">
        <v>22</v>
      </c>
      <c r="B26" s="14" t="s">
        <v>333</v>
      </c>
      <c r="C26" s="21">
        <f>'data 2021'!C268</f>
        <v>0</v>
      </c>
    </row>
    <row r="27" spans="1:3" ht="20.149999999999999" customHeight="1">
      <c r="A27" s="13">
        <v>23</v>
      </c>
      <c r="B27" s="14" t="s">
        <v>334</v>
      </c>
      <c r="C27" s="21">
        <f>'data 2021'!C269</f>
        <v>150542675.78999999</v>
      </c>
    </row>
    <row r="28" spans="1:3" ht="20.149999999999999" customHeight="1">
      <c r="A28" s="13">
        <v>24</v>
      </c>
      <c r="B28" s="14" t="s">
        <v>1112</v>
      </c>
      <c r="C28" s="21">
        <f>'data 2021'!C270</f>
        <v>0</v>
      </c>
    </row>
    <row r="29" spans="1:3" ht="20.149999999999999" customHeight="1">
      <c r="A29" s="13">
        <v>25</v>
      </c>
      <c r="B29" s="14" t="s">
        <v>336</v>
      </c>
      <c r="C29" s="21">
        <f>'data 2021'!C271</f>
        <v>1470047.5200000033</v>
      </c>
    </row>
    <row r="30" spans="1:3" ht="20.149999999999999" customHeight="1">
      <c r="A30" s="13">
        <v>26</v>
      </c>
      <c r="B30" s="14" t="s">
        <v>378</v>
      </c>
      <c r="C30" s="21">
        <f>'data 2021'!C272</f>
        <v>12278572.659999996</v>
      </c>
    </row>
    <row r="31" spans="1:3" ht="20.149999999999999" customHeight="1">
      <c r="A31" s="13">
        <v>27</v>
      </c>
      <c r="B31" s="14" t="s">
        <v>339</v>
      </c>
      <c r="C31" s="21">
        <f>'data 2021'!C273</f>
        <v>1292855.5</v>
      </c>
    </row>
    <row r="32" spans="1:3" ht="20.149999999999999" customHeight="1">
      <c r="A32" s="13">
        <v>28</v>
      </c>
      <c r="B32" s="14" t="s">
        <v>340</v>
      </c>
      <c r="C32" s="21">
        <f>'data 2021'!C274</f>
        <v>0</v>
      </c>
    </row>
    <row r="33" spans="1:3" ht="20.149999999999999" customHeight="1">
      <c r="A33" s="13">
        <v>29</v>
      </c>
      <c r="B33" s="14" t="s">
        <v>661</v>
      </c>
      <c r="C33" s="21">
        <f>'data 2021'!D275</f>
        <v>170758334.75</v>
      </c>
    </row>
    <row r="34" spans="1:3" ht="20.149999999999999" customHeight="1">
      <c r="A34" s="13">
        <v>30</v>
      </c>
      <c r="B34" s="14" t="s">
        <v>1113</v>
      </c>
      <c r="C34" s="21">
        <f>'data 2021'!C276</f>
        <v>2534312.0199999982</v>
      </c>
    </row>
    <row r="35" spans="1:3" ht="20.149999999999999" customHeight="1">
      <c r="A35" s="13">
        <v>31</v>
      </c>
      <c r="B35" s="14" t="s">
        <v>1114</v>
      </c>
      <c r="C35" s="21">
        <f>'data 2021'!D277</f>
        <v>168224022.72999999</v>
      </c>
    </row>
    <row r="36" spans="1:3" ht="20.149999999999999" customHeight="1">
      <c r="A36" s="13">
        <v>32</v>
      </c>
      <c r="B36" s="38"/>
      <c r="C36" s="24"/>
    </row>
    <row r="37" spans="1:3" ht="20.149999999999999" customHeight="1">
      <c r="A37" s="23">
        <v>33</v>
      </c>
      <c r="B37" s="37" t="s">
        <v>1115</v>
      </c>
      <c r="C37" s="36"/>
    </row>
    <row r="38" spans="1:3" ht="20.149999999999999" customHeight="1">
      <c r="A38" s="13">
        <v>34</v>
      </c>
      <c r="B38" s="14" t="s">
        <v>1116</v>
      </c>
      <c r="C38" s="21">
        <f>'data 2021'!C279</f>
        <v>0</v>
      </c>
    </row>
    <row r="39" spans="1:3" ht="20.149999999999999" customHeight="1">
      <c r="A39" s="13">
        <v>35</v>
      </c>
      <c r="B39" s="14" t="s">
        <v>1117</v>
      </c>
      <c r="C39" s="21">
        <f>'data 2021'!C280</f>
        <v>0</v>
      </c>
    </row>
    <row r="40" spans="1:3" ht="20.149999999999999" customHeight="1">
      <c r="A40" s="13">
        <v>36</v>
      </c>
      <c r="B40" s="14" t="s">
        <v>385</v>
      </c>
      <c r="C40" s="21">
        <f>'data 2021'!C281</f>
        <v>0</v>
      </c>
    </row>
    <row r="41" spans="1:3" ht="20.149999999999999" customHeight="1">
      <c r="A41" s="13">
        <v>37</v>
      </c>
      <c r="B41" s="14" t="s">
        <v>373</v>
      </c>
      <c r="C41" s="21">
        <f>'data 2021'!C282</f>
        <v>10573252.270000007</v>
      </c>
    </row>
    <row r="42" spans="1:3" ht="20.149999999999999" customHeight="1">
      <c r="A42" s="13">
        <v>38</v>
      </c>
      <c r="B42" s="14" t="s">
        <v>1118</v>
      </c>
      <c r="C42" s="21">
        <f>'data 2021'!D283</f>
        <v>10573252.270000007</v>
      </c>
    </row>
    <row r="43" spans="1:3" ht="20.149999999999999" customHeight="1">
      <c r="A43" s="13">
        <v>39</v>
      </c>
      <c r="B43" s="38"/>
      <c r="C43" s="24"/>
    </row>
    <row r="44" spans="1:3" ht="20.149999999999999" customHeight="1">
      <c r="A44" s="23">
        <v>40</v>
      </c>
      <c r="B44" s="37" t="s">
        <v>1119</v>
      </c>
      <c r="C44" s="36"/>
    </row>
    <row r="45" spans="1:3" ht="20.149999999999999" customHeight="1">
      <c r="A45" s="13">
        <v>41</v>
      </c>
      <c r="B45" s="14" t="s">
        <v>388</v>
      </c>
      <c r="C45" s="21">
        <f>'data 2021'!C286</f>
        <v>0</v>
      </c>
    </row>
    <row r="46" spans="1:3" ht="20.149999999999999" customHeight="1">
      <c r="A46" s="13">
        <v>42</v>
      </c>
      <c r="B46" s="14" t="s">
        <v>389</v>
      </c>
      <c r="C46" s="21">
        <f>'data 2021'!C287</f>
        <v>0</v>
      </c>
    </row>
    <row r="47" spans="1:3" ht="20.149999999999999" customHeight="1">
      <c r="A47" s="13">
        <v>43</v>
      </c>
      <c r="B47" s="14" t="s">
        <v>1120</v>
      </c>
      <c r="C47" s="21">
        <f>'data 2021'!C288</f>
        <v>0</v>
      </c>
    </row>
    <row r="48" spans="1:3" ht="20.149999999999999" customHeight="1">
      <c r="A48" s="13">
        <v>44</v>
      </c>
      <c r="B48" s="14" t="s">
        <v>391</v>
      </c>
      <c r="C48" s="21">
        <f>'data 2021'!C289</f>
        <v>0</v>
      </c>
    </row>
    <row r="49" spans="1:3" ht="20.149999999999999" customHeight="1">
      <c r="A49" s="13">
        <v>45</v>
      </c>
      <c r="B49" s="14" t="s">
        <v>1121</v>
      </c>
      <c r="C49" s="21">
        <f>'data 2021'!D290</f>
        <v>0</v>
      </c>
    </row>
    <row r="50" spans="1:3" ht="20.149999999999999" customHeight="1">
      <c r="A50" s="40">
        <v>46</v>
      </c>
      <c r="B50" s="41" t="s">
        <v>1122</v>
      </c>
      <c r="C50" s="21">
        <f>'data 2021'!D292</f>
        <v>208218075.74999997</v>
      </c>
    </row>
    <row r="51" spans="1:3" ht="20.149999999999999" customHeight="1"/>
    <row r="52" spans="1:3" ht="20.149999999999999" customHeight="1"/>
    <row r="53" spans="1:3" ht="20.149999999999999" customHeight="1">
      <c r="A53" s="4" t="s">
        <v>1123</v>
      </c>
      <c r="B53" s="5"/>
      <c r="C53" s="6"/>
    </row>
    <row r="54" spans="1:3" ht="20.149999999999999" customHeight="1">
      <c r="A54" s="4"/>
      <c r="B54" s="5"/>
      <c r="C54" s="167" t="s">
        <v>1124</v>
      </c>
    </row>
    <row r="55" spans="1:3" ht="20.149999999999999" customHeight="1">
      <c r="A55" s="29" t="str">
        <f>"HOSPITAL: "&amp;'data 2021'!C84</f>
        <v>HOSPITAL: Capital Medical Center</v>
      </c>
      <c r="B55" s="30"/>
      <c r="C55" s="31" t="str">
        <f>"FYE: "&amp;'data 2021'!C82</f>
        <v>FYE: 12/31/2021</v>
      </c>
    </row>
    <row r="56" spans="1:3" ht="20.149999999999999" customHeight="1">
      <c r="A56" s="42"/>
      <c r="B56" s="43" t="s">
        <v>1125</v>
      </c>
      <c r="C56" s="34"/>
    </row>
    <row r="57" spans="1:3" ht="20.149999999999999" customHeight="1">
      <c r="A57" s="16">
        <v>1</v>
      </c>
      <c r="B57" s="4" t="s">
        <v>395</v>
      </c>
      <c r="C57" s="44"/>
    </row>
    <row r="58" spans="1:3" ht="20.149999999999999" customHeight="1">
      <c r="A58" s="13">
        <v>2</v>
      </c>
      <c r="B58" s="14" t="s">
        <v>396</v>
      </c>
      <c r="C58" s="21">
        <f>'data 2021'!C304</f>
        <v>0</v>
      </c>
    </row>
    <row r="59" spans="1:3" ht="20.149999999999999" customHeight="1">
      <c r="A59" s="13">
        <v>3</v>
      </c>
      <c r="B59" s="14" t="s">
        <v>1126</v>
      </c>
      <c r="C59" s="21">
        <f>'data 2021'!C305</f>
        <v>1250519.1399999997</v>
      </c>
    </row>
    <row r="60" spans="1:3" ht="20.149999999999999" customHeight="1">
      <c r="A60" s="13">
        <v>4</v>
      </c>
      <c r="B60" s="14" t="s">
        <v>1127</v>
      </c>
      <c r="C60" s="21">
        <f>'data 2021'!C306</f>
        <v>251377.74999999994</v>
      </c>
    </row>
    <row r="61" spans="1:3" ht="20.149999999999999" customHeight="1">
      <c r="A61" s="13">
        <v>5</v>
      </c>
      <c r="B61" s="14" t="s">
        <v>399</v>
      </c>
      <c r="C61" s="21">
        <f>'data 2021'!C307</f>
        <v>0</v>
      </c>
    </row>
    <row r="62" spans="1:3" ht="20.149999999999999" customHeight="1">
      <c r="A62" s="13">
        <v>6</v>
      </c>
      <c r="B62" s="14" t="s">
        <v>1128</v>
      </c>
      <c r="C62" s="21">
        <f>'data 2021'!C308</f>
        <v>0</v>
      </c>
    </row>
    <row r="63" spans="1:3" ht="20.149999999999999" customHeight="1">
      <c r="A63" s="13">
        <v>7</v>
      </c>
      <c r="B63" s="14" t="s">
        <v>1129</v>
      </c>
      <c r="C63" s="21">
        <f>'data 2021'!C309</f>
        <v>112500</v>
      </c>
    </row>
    <row r="64" spans="1:3" ht="20.149999999999999" customHeight="1">
      <c r="A64" s="13">
        <v>8</v>
      </c>
      <c r="B64" s="14" t="s">
        <v>401</v>
      </c>
      <c r="C64" s="21">
        <f>'data 2021'!C310</f>
        <v>0</v>
      </c>
    </row>
    <row r="65" spans="1:3" ht="20.149999999999999" customHeight="1">
      <c r="A65" s="13">
        <v>9</v>
      </c>
      <c r="B65" s="14" t="s">
        <v>402</v>
      </c>
      <c r="C65" s="21">
        <f>'data 2021'!C311</f>
        <v>0</v>
      </c>
    </row>
    <row r="66" spans="1:3" ht="20.149999999999999" customHeight="1">
      <c r="A66" s="13">
        <v>10</v>
      </c>
      <c r="B66" s="14" t="s">
        <v>403</v>
      </c>
      <c r="C66" s="21">
        <f>'data 2021'!C312</f>
        <v>251198.40999999995</v>
      </c>
    </row>
    <row r="67" spans="1:3" ht="20.149999999999999" customHeight="1">
      <c r="A67" s="13">
        <v>11</v>
      </c>
      <c r="B67" s="14" t="s">
        <v>1130</v>
      </c>
      <c r="C67" s="21">
        <f>'data 2021'!C313</f>
        <v>235984.79999999897</v>
      </c>
    </row>
    <row r="68" spans="1:3" ht="20.149999999999999" customHeight="1">
      <c r="A68" s="13">
        <v>12</v>
      </c>
      <c r="B68" s="14" t="s">
        <v>1131</v>
      </c>
      <c r="C68" s="21">
        <f>'data 2021'!D314</f>
        <v>2101580.0999999987</v>
      </c>
    </row>
    <row r="69" spans="1:3" ht="20.149999999999999" customHeight="1">
      <c r="A69" s="13">
        <v>13</v>
      </c>
      <c r="B69" s="38"/>
      <c r="C69" s="24"/>
    </row>
    <row r="70" spans="1:3" ht="20.149999999999999" customHeight="1">
      <c r="A70" s="13">
        <v>14</v>
      </c>
      <c r="B70" s="37" t="s">
        <v>1132</v>
      </c>
      <c r="C70" s="36"/>
    </row>
    <row r="71" spans="1:3" ht="20.149999999999999" customHeight="1">
      <c r="A71" s="13">
        <v>15</v>
      </c>
      <c r="B71" s="14" t="s">
        <v>407</v>
      </c>
      <c r="C71" s="21">
        <f>'data 2021'!C316</f>
        <v>0</v>
      </c>
    </row>
    <row r="72" spans="1:3" ht="20.149999999999999" customHeight="1">
      <c r="A72" s="13">
        <v>16</v>
      </c>
      <c r="B72" s="14" t="s">
        <v>1133</v>
      </c>
      <c r="C72" s="21">
        <f>'data 2021'!C317</f>
        <v>0</v>
      </c>
    </row>
    <row r="73" spans="1:3" ht="20.149999999999999" customHeight="1">
      <c r="A73" s="13">
        <v>17</v>
      </c>
      <c r="B73" s="14" t="s">
        <v>409</v>
      </c>
      <c r="C73" s="21">
        <f>'data 2021'!C318</f>
        <v>0</v>
      </c>
    </row>
    <row r="74" spans="1:3" ht="20.149999999999999" customHeight="1">
      <c r="A74" s="13">
        <v>18</v>
      </c>
      <c r="B74" s="14" t="s">
        <v>1134</v>
      </c>
      <c r="C74" s="21">
        <f>'data 2021'!D319</f>
        <v>0</v>
      </c>
    </row>
    <row r="75" spans="1:3" ht="20.149999999999999" customHeight="1">
      <c r="A75" s="13">
        <v>19</v>
      </c>
      <c r="B75" s="38"/>
      <c r="C75" s="24"/>
    </row>
    <row r="76" spans="1:3" ht="20.149999999999999" customHeight="1">
      <c r="A76" s="23">
        <v>20</v>
      </c>
      <c r="B76" s="37" t="s">
        <v>411</v>
      </c>
      <c r="C76" s="36"/>
    </row>
    <row r="77" spans="1:3" ht="20.149999999999999" customHeight="1">
      <c r="A77" s="13">
        <v>21</v>
      </c>
      <c r="B77" s="14" t="s">
        <v>412</v>
      </c>
      <c r="C77" s="21">
        <f>'data 2021'!C321</f>
        <v>0</v>
      </c>
    </row>
    <row r="78" spans="1:3" ht="20.149999999999999" customHeight="1">
      <c r="A78" s="13">
        <v>22</v>
      </c>
      <c r="B78" s="14" t="s">
        <v>1135</v>
      </c>
      <c r="C78" s="21">
        <f>'data 2021'!C322</f>
        <v>0</v>
      </c>
    </row>
    <row r="79" spans="1:3" ht="20.149999999999999" customHeight="1">
      <c r="A79" s="13">
        <v>23</v>
      </c>
      <c r="B79" s="14" t="s">
        <v>414</v>
      </c>
      <c r="C79" s="21">
        <f>'data 2021'!C323</f>
        <v>0</v>
      </c>
    </row>
    <row r="80" spans="1:3" ht="20.149999999999999" customHeight="1">
      <c r="A80" s="13">
        <v>24</v>
      </c>
      <c r="B80" s="14" t="s">
        <v>1136</v>
      </c>
      <c r="C80" s="21">
        <f>'data 2021'!C324</f>
        <v>0</v>
      </c>
    </row>
    <row r="81" spans="1:3" ht="20.149999999999999" customHeight="1">
      <c r="A81" s="13">
        <v>25</v>
      </c>
      <c r="B81" s="14" t="s">
        <v>416</v>
      </c>
      <c r="C81" s="21">
        <f>'data 2021'!C325</f>
        <v>0</v>
      </c>
    </row>
    <row r="82" spans="1:3" ht="20.149999999999999" customHeight="1">
      <c r="A82" s="13">
        <v>26</v>
      </c>
      <c r="B82" s="14" t="s">
        <v>1137</v>
      </c>
      <c r="C82" s="21">
        <f>'data 2021'!C326</f>
        <v>220155139.53999999</v>
      </c>
    </row>
    <row r="83" spans="1:3" ht="20.149999999999999" customHeight="1">
      <c r="A83" s="13">
        <v>27</v>
      </c>
      <c r="B83" s="14" t="s">
        <v>418</v>
      </c>
      <c r="C83" s="21">
        <f>'data 2021'!C327</f>
        <v>0</v>
      </c>
    </row>
    <row r="84" spans="1:3" ht="20.149999999999999" customHeight="1">
      <c r="A84" s="13">
        <v>28</v>
      </c>
      <c r="B84" s="14" t="s">
        <v>661</v>
      </c>
      <c r="C84" s="21">
        <f>'data 2021'!D328</f>
        <v>220155139.53999999</v>
      </c>
    </row>
    <row r="85" spans="1:3" ht="20.149999999999999" customHeight="1">
      <c r="A85" s="13">
        <v>29</v>
      </c>
      <c r="B85" s="14" t="s">
        <v>1138</v>
      </c>
      <c r="C85" s="21">
        <f>'data 2021'!D329</f>
        <v>235984.79999999897</v>
      </c>
    </row>
    <row r="86" spans="1:3" ht="20.149999999999999" customHeight="1">
      <c r="A86" s="13">
        <v>30</v>
      </c>
      <c r="B86" s="14" t="s">
        <v>1139</v>
      </c>
      <c r="C86" s="21">
        <f>'data 2021'!D330</f>
        <v>219919154.73999998</v>
      </c>
    </row>
    <row r="87" spans="1:3" ht="20.149999999999999" customHeight="1">
      <c r="A87" s="13">
        <v>31</v>
      </c>
      <c r="B87" s="38"/>
      <c r="C87" s="24"/>
    </row>
    <row r="88" spans="1:3" ht="20.149999999999999" customHeight="1">
      <c r="A88" s="13">
        <v>32</v>
      </c>
      <c r="B88" s="89" t="s">
        <v>1140</v>
      </c>
      <c r="C88" s="21">
        <f>'data 2021'!C332</f>
        <v>-13802659.09</v>
      </c>
    </row>
    <row r="89" spans="1:3" ht="20.149999999999999" customHeight="1">
      <c r="A89" s="13">
        <v>33</v>
      </c>
      <c r="B89" s="24"/>
      <c r="C89" s="24"/>
    </row>
    <row r="90" spans="1:3" ht="20.149999999999999" customHeight="1">
      <c r="A90" s="13">
        <v>34</v>
      </c>
      <c r="B90" s="37" t="s">
        <v>1141</v>
      </c>
      <c r="C90" s="36"/>
    </row>
    <row r="91" spans="1:3" ht="20.149999999999999" customHeight="1">
      <c r="A91" s="13">
        <v>35</v>
      </c>
      <c r="B91" s="14" t="s">
        <v>1142</v>
      </c>
      <c r="C91" s="21">
        <f>'data 2021'!C334</f>
        <v>0</v>
      </c>
    </row>
    <row r="92" spans="1:3" ht="20.149999999999999" customHeight="1">
      <c r="A92" s="13">
        <v>36</v>
      </c>
      <c r="B92" s="38"/>
      <c r="C92" s="24"/>
    </row>
    <row r="93" spans="1:3" ht="20.149999999999999" customHeight="1">
      <c r="A93" s="13">
        <v>37</v>
      </c>
      <c r="B93" s="14" t="s">
        <v>1143</v>
      </c>
      <c r="C93" s="21">
        <f>'data 2021'!C335</f>
        <v>0</v>
      </c>
    </row>
    <row r="94" spans="1:3" ht="20.149999999999999" customHeight="1">
      <c r="A94" s="13">
        <v>38</v>
      </c>
      <c r="B94" s="38"/>
      <c r="C94" s="24"/>
    </row>
    <row r="95" spans="1:3" ht="20.149999999999999" customHeight="1">
      <c r="A95" s="13">
        <v>39</v>
      </c>
      <c r="B95" s="14" t="s">
        <v>1144</v>
      </c>
      <c r="C95" s="21">
        <f>'data 2021'!C336</f>
        <v>0</v>
      </c>
    </row>
    <row r="96" spans="1:3" ht="20.149999999999999" customHeight="1">
      <c r="A96" s="13">
        <v>40</v>
      </c>
      <c r="B96" s="38"/>
      <c r="C96" s="24"/>
    </row>
    <row r="97" spans="1:3" ht="20.149999999999999" customHeight="1">
      <c r="A97" s="13">
        <v>41</v>
      </c>
      <c r="B97" s="14" t="s">
        <v>1145</v>
      </c>
      <c r="C97" s="21">
        <f>'data 2021'!C337</f>
        <v>0</v>
      </c>
    </row>
    <row r="98" spans="1:3" ht="20.149999999999999" customHeight="1">
      <c r="A98" s="13">
        <v>42</v>
      </c>
      <c r="B98" s="14" t="s">
        <v>1146</v>
      </c>
      <c r="C98" s="24"/>
    </row>
    <row r="99" spans="1:3" ht="20.149999999999999" customHeight="1">
      <c r="A99" s="13">
        <v>43</v>
      </c>
      <c r="B99" s="38"/>
      <c r="C99" s="24"/>
    </row>
    <row r="100" spans="1:3" ht="20.149999999999999" customHeight="1">
      <c r="A100" s="13">
        <v>44</v>
      </c>
      <c r="B100" s="14" t="s">
        <v>1147</v>
      </c>
      <c r="C100" s="21">
        <f>'data 2021'!C338</f>
        <v>0</v>
      </c>
    </row>
    <row r="101" spans="1:3" ht="20.149999999999999" customHeight="1">
      <c r="A101" s="13">
        <v>45</v>
      </c>
      <c r="B101" s="14" t="s">
        <v>1148</v>
      </c>
      <c r="C101" s="21">
        <f>'data 2021'!C332+'data 2021'!C334+'data 2021'!C335+'data 2021'!C336+'data 2021'!C337-'data 2021'!C338</f>
        <v>-13802659.09</v>
      </c>
    </row>
    <row r="102" spans="1:3" ht="20.149999999999999" customHeight="1">
      <c r="A102" s="13">
        <v>46</v>
      </c>
      <c r="B102" s="14" t="s">
        <v>1149</v>
      </c>
      <c r="C102" s="21">
        <f>'data 2021'!D339</f>
        <v>208218075.74999997</v>
      </c>
    </row>
    <row r="103" spans="1:3" ht="20.149999999999999" customHeight="1"/>
    <row r="104" spans="1:3" ht="20.149999999999999" customHeight="1"/>
    <row r="105" spans="1:3" ht="20.149999999999999" customHeight="1">
      <c r="A105" s="4" t="s">
        <v>1150</v>
      </c>
      <c r="B105" s="5"/>
      <c r="C105" s="6"/>
    </row>
    <row r="106" spans="1:3" ht="20.149999999999999" customHeight="1">
      <c r="A106" s="45"/>
      <c r="B106" s="8"/>
      <c r="C106" s="167" t="s">
        <v>1151</v>
      </c>
    </row>
    <row r="107" spans="1:3" ht="20.149999999999999" customHeight="1">
      <c r="A107" s="29" t="str">
        <f>"HOSPITAL: "&amp;'data 2021'!C84</f>
        <v>HOSPITAL: Capital Medical Center</v>
      </c>
      <c r="B107" s="30"/>
      <c r="C107" s="31" t="str">
        <f>" FYE: "&amp;'data 2021'!C82</f>
        <v xml:space="preserve"> FYE: 12/31/2021</v>
      </c>
    </row>
    <row r="108" spans="1:3" ht="20.149999999999999" customHeight="1">
      <c r="A108" s="32"/>
      <c r="B108" s="46"/>
      <c r="C108" s="47"/>
    </row>
    <row r="109" spans="1:3" ht="20.149999999999999" customHeight="1">
      <c r="A109" s="13">
        <v>1</v>
      </c>
      <c r="B109" s="37" t="s">
        <v>1152</v>
      </c>
      <c r="C109" s="36"/>
    </row>
    <row r="110" spans="1:3" ht="20.149999999999999" customHeight="1">
      <c r="A110" s="13">
        <v>2</v>
      </c>
      <c r="B110" s="14" t="s">
        <v>428</v>
      </c>
      <c r="C110" s="21">
        <f>'data 2021'!C359</f>
        <v>243571795.97</v>
      </c>
    </row>
    <row r="111" spans="1:3" ht="20.149999999999999" customHeight="1">
      <c r="A111" s="13">
        <v>3</v>
      </c>
      <c r="B111" s="14" t="s">
        <v>429</v>
      </c>
      <c r="C111" s="21">
        <f>'data 2021'!C360</f>
        <v>355992845.82999998</v>
      </c>
    </row>
    <row r="112" spans="1:3" ht="20.149999999999999" customHeight="1">
      <c r="A112" s="13">
        <v>4</v>
      </c>
      <c r="B112" s="14" t="s">
        <v>1153</v>
      </c>
      <c r="C112" s="21">
        <f>'data 2021'!D361</f>
        <v>599564641.79999995</v>
      </c>
    </row>
    <row r="113" spans="1:3" ht="20.149999999999999" customHeight="1">
      <c r="A113" s="13">
        <v>5</v>
      </c>
      <c r="B113" s="38"/>
      <c r="C113" s="24"/>
    </row>
    <row r="114" spans="1:3" ht="20.149999999999999" customHeight="1">
      <c r="A114" s="13">
        <v>6</v>
      </c>
      <c r="B114" s="37" t="s">
        <v>1154</v>
      </c>
      <c r="C114" s="36"/>
    </row>
    <row r="115" spans="1:3" ht="20.149999999999999" customHeight="1">
      <c r="A115" s="13">
        <v>7</v>
      </c>
      <c r="B115" s="271" t="s">
        <v>450</v>
      </c>
      <c r="C115" s="48">
        <f>'data 2021'!C363</f>
        <v>4902043.6500000004</v>
      </c>
    </row>
    <row r="116" spans="1:3" ht="20.149999999999999" customHeight="1">
      <c r="A116" s="13">
        <v>8</v>
      </c>
      <c r="B116" s="14" t="s">
        <v>432</v>
      </c>
      <c r="C116" s="48">
        <f>'data 2021'!C364</f>
        <v>493095978.98999995</v>
      </c>
    </row>
    <row r="117" spans="1:3" ht="20.149999999999999" customHeight="1">
      <c r="A117" s="13">
        <v>9</v>
      </c>
      <c r="B117" s="14" t="s">
        <v>1155</v>
      </c>
      <c r="C117" s="48">
        <f>'data 2021'!C365</f>
        <v>2793040.54</v>
      </c>
    </row>
    <row r="118" spans="1:3" ht="20.149999999999999" customHeight="1">
      <c r="A118" s="13">
        <v>10</v>
      </c>
      <c r="B118" s="14" t="s">
        <v>1156</v>
      </c>
      <c r="C118" s="48">
        <f>'data 2021'!C366</f>
        <v>5356.33</v>
      </c>
    </row>
    <row r="119" spans="1:3" ht="20.149999999999999" customHeight="1">
      <c r="A119" s="13">
        <v>11</v>
      </c>
      <c r="B119" s="14" t="s">
        <v>1099</v>
      </c>
      <c r="C119" s="48">
        <f>'data 2021'!D367</f>
        <v>500796419.50999993</v>
      </c>
    </row>
    <row r="120" spans="1:3" ht="20.149999999999999" customHeight="1">
      <c r="A120" s="13">
        <v>12</v>
      </c>
      <c r="B120" s="14" t="s">
        <v>1157</v>
      </c>
      <c r="C120" s="48">
        <f>'data 2021'!D368</f>
        <v>98768222.290000021</v>
      </c>
    </row>
    <row r="121" spans="1:3" ht="20.149999999999999" customHeight="1">
      <c r="A121" s="13">
        <v>13</v>
      </c>
      <c r="B121" s="38"/>
      <c r="C121" s="24"/>
    </row>
    <row r="122" spans="1:3" ht="20.149999999999999" customHeight="1">
      <c r="A122" s="13">
        <v>14</v>
      </c>
      <c r="B122" s="37" t="s">
        <v>436</v>
      </c>
      <c r="C122" s="36"/>
    </row>
    <row r="123" spans="1:3" ht="20.149999999999999" customHeight="1">
      <c r="A123" s="13">
        <v>15</v>
      </c>
      <c r="B123" s="14" t="s">
        <v>437</v>
      </c>
      <c r="C123" s="48">
        <f>'data 2021'!C370</f>
        <v>10079234.42</v>
      </c>
    </row>
    <row r="124" spans="1:3" ht="20.149999999999999" customHeight="1">
      <c r="A124" s="13">
        <v>16</v>
      </c>
      <c r="B124" s="14" t="s">
        <v>438</v>
      </c>
      <c r="C124" s="48">
        <f>'data 2021'!C371</f>
        <v>0</v>
      </c>
    </row>
    <row r="125" spans="1:3" ht="20.149999999999999" customHeight="1">
      <c r="A125" s="13">
        <v>17</v>
      </c>
      <c r="B125" s="14" t="s">
        <v>1158</v>
      </c>
      <c r="C125" s="48">
        <f>'data 2021'!D372</f>
        <v>10079234.42</v>
      </c>
    </row>
    <row r="126" spans="1:3" ht="20.149999999999999" customHeight="1">
      <c r="A126" s="13">
        <v>18</v>
      </c>
      <c r="B126" s="14" t="s">
        <v>1159</v>
      </c>
      <c r="C126" s="48">
        <f>'data 2021'!D373</f>
        <v>108847456.71000002</v>
      </c>
    </row>
    <row r="127" spans="1:3" ht="20.149999999999999" customHeight="1">
      <c r="A127" s="13">
        <v>19</v>
      </c>
      <c r="B127" s="38"/>
      <c r="C127" s="24"/>
    </row>
    <row r="128" spans="1:3" ht="20.149999999999999" customHeight="1">
      <c r="A128" s="13">
        <v>20</v>
      </c>
      <c r="B128" s="37" t="s">
        <v>1160</v>
      </c>
      <c r="C128" s="36"/>
    </row>
    <row r="129" spans="1:3" ht="20.149999999999999" customHeight="1">
      <c r="A129" s="13">
        <v>21</v>
      </c>
      <c r="B129" s="14" t="s">
        <v>442</v>
      </c>
      <c r="C129" s="48">
        <f>'data 2021'!C378</f>
        <v>44946486.840000011</v>
      </c>
    </row>
    <row r="130" spans="1:3" ht="20.149999999999999" customHeight="1">
      <c r="A130" s="13">
        <v>22</v>
      </c>
      <c r="B130" s="14" t="s">
        <v>3</v>
      </c>
      <c r="C130" s="48">
        <f>'data 2021'!C379</f>
        <v>6704634.8699999992</v>
      </c>
    </row>
    <row r="131" spans="1:3" ht="20.149999999999999" customHeight="1">
      <c r="A131" s="13">
        <v>23</v>
      </c>
      <c r="B131" s="14" t="s">
        <v>236</v>
      </c>
      <c r="C131" s="48">
        <f>'data 2021'!C380</f>
        <v>5190751.76</v>
      </c>
    </row>
    <row r="132" spans="1:3" ht="20.149999999999999" customHeight="1">
      <c r="A132" s="13">
        <v>24</v>
      </c>
      <c r="B132" s="14" t="s">
        <v>237</v>
      </c>
      <c r="C132" s="48">
        <f>'data 2021'!C381</f>
        <v>21385901.969999999</v>
      </c>
    </row>
    <row r="133" spans="1:3" ht="20.149999999999999" customHeight="1">
      <c r="A133" s="13">
        <v>25</v>
      </c>
      <c r="B133" s="14" t="s">
        <v>1161</v>
      </c>
      <c r="C133" s="48">
        <f>'data 2021'!C382</f>
        <v>1043833.3</v>
      </c>
    </row>
    <row r="134" spans="1:3" ht="20.149999999999999" customHeight="1">
      <c r="A134" s="13">
        <v>26</v>
      </c>
      <c r="B134" s="14" t="s">
        <v>1162</v>
      </c>
      <c r="C134" s="48">
        <f>'data 2021'!C383</f>
        <v>18434720.609999999</v>
      </c>
    </row>
    <row r="135" spans="1:3" ht="20.149999999999999" customHeight="1">
      <c r="A135" s="13">
        <v>27</v>
      </c>
      <c r="B135" s="14" t="s">
        <v>6</v>
      </c>
      <c r="C135" s="48">
        <f>'data 2021'!C384</f>
        <v>4947738.2</v>
      </c>
    </row>
    <row r="136" spans="1:3" ht="20.149999999999999" customHeight="1">
      <c r="A136" s="13">
        <v>28</v>
      </c>
      <c r="B136" s="14" t="s">
        <v>1163</v>
      </c>
      <c r="C136" s="48">
        <f>'data 2021'!C385</f>
        <v>11308756.129999999</v>
      </c>
    </row>
    <row r="137" spans="1:3" ht="20.149999999999999" customHeight="1">
      <c r="A137" s="13">
        <v>29</v>
      </c>
      <c r="B137" s="14" t="s">
        <v>447</v>
      </c>
      <c r="C137" s="48">
        <f>'data 2021'!C386</f>
        <v>151294.33000000002</v>
      </c>
    </row>
    <row r="138" spans="1:3" ht="20.149999999999999" customHeight="1">
      <c r="A138" s="13">
        <v>30</v>
      </c>
      <c r="B138" s="14" t="s">
        <v>1164</v>
      </c>
      <c r="C138" s="48">
        <f>'data 2021'!C387</f>
        <v>3301928.65</v>
      </c>
    </row>
    <row r="139" spans="1:3" ht="20.149999999999999" customHeight="1">
      <c r="A139" s="13">
        <v>31</v>
      </c>
      <c r="B139" s="14" t="s">
        <v>449</v>
      </c>
      <c r="C139" s="48">
        <f>'data 2021'!C388</f>
        <v>2513722</v>
      </c>
    </row>
    <row r="140" spans="1:3" ht="20.149999999999999" customHeight="1">
      <c r="A140" s="13">
        <v>32</v>
      </c>
      <c r="B140" s="14" t="s">
        <v>241</v>
      </c>
      <c r="C140" s="48">
        <f>'data 2021'!C389</f>
        <v>4228162.38</v>
      </c>
    </row>
    <row r="141" spans="1:3" ht="20.149999999999999" customHeight="1">
      <c r="A141" s="13">
        <v>34</v>
      </c>
      <c r="B141" s="14" t="s">
        <v>1165</v>
      </c>
      <c r="C141" s="48">
        <f>'data 2021'!D390</f>
        <v>124157931.03999999</v>
      </c>
    </row>
    <row r="142" spans="1:3" ht="20.149999999999999" customHeight="1">
      <c r="A142" s="13">
        <v>35</v>
      </c>
      <c r="B142" s="14" t="s">
        <v>1166</v>
      </c>
      <c r="C142" s="48">
        <f>'data 2021'!D391</f>
        <v>-15310474.329999968</v>
      </c>
    </row>
    <row r="143" spans="1:3" ht="20.149999999999999" customHeight="1">
      <c r="A143" s="13">
        <v>36</v>
      </c>
      <c r="B143" s="38"/>
      <c r="C143" s="24"/>
    </row>
    <row r="144" spans="1:3" ht="20.149999999999999" customHeight="1">
      <c r="A144" s="13">
        <v>37</v>
      </c>
      <c r="B144" s="14" t="s">
        <v>1167</v>
      </c>
      <c r="C144" s="48">
        <f>'data 2021'!C392</f>
        <v>0</v>
      </c>
    </row>
    <row r="145" spans="1:3" ht="20.149999999999999" customHeight="1">
      <c r="A145" s="13">
        <v>38</v>
      </c>
      <c r="B145" s="38"/>
      <c r="C145" s="24"/>
    </row>
    <row r="146" spans="1:3" ht="20.149999999999999" customHeight="1">
      <c r="A146" s="13">
        <v>39</v>
      </c>
      <c r="B146" s="14" t="s">
        <v>1168</v>
      </c>
      <c r="C146" s="21">
        <f>'data 2021'!D393</f>
        <v>-15310474.329999968</v>
      </c>
    </row>
    <row r="147" spans="1:3" ht="20.149999999999999" customHeight="1">
      <c r="A147" s="13">
        <v>40</v>
      </c>
      <c r="B147" s="38"/>
      <c r="C147" s="24"/>
    </row>
    <row r="148" spans="1:3" ht="20.149999999999999" customHeight="1">
      <c r="A148" s="13">
        <v>41</v>
      </c>
      <c r="B148" s="14" t="s">
        <v>1169</v>
      </c>
      <c r="C148" s="48">
        <f>'data 2021'!C394</f>
        <v>0</v>
      </c>
    </row>
    <row r="149" spans="1:3" ht="20.149999999999999" customHeight="1">
      <c r="A149" s="13">
        <v>42</v>
      </c>
      <c r="B149" s="14" t="s">
        <v>1170</v>
      </c>
      <c r="C149" s="48">
        <f>'data 2021'!C395</f>
        <v>0</v>
      </c>
    </row>
    <row r="150" spans="1:3" ht="20.149999999999999" customHeight="1">
      <c r="A150" s="13">
        <v>43</v>
      </c>
      <c r="B150" s="38"/>
      <c r="C150" s="24"/>
    </row>
    <row r="151" spans="1:3" ht="20.149999999999999" customHeight="1">
      <c r="A151" s="13">
        <v>44</v>
      </c>
      <c r="B151" s="14" t="s">
        <v>1171</v>
      </c>
      <c r="C151" s="48">
        <f>'data 2021'!D396</f>
        <v>-15310474.329999968</v>
      </c>
    </row>
    <row r="152" spans="1:3" ht="20.149999999999999" customHeight="1">
      <c r="A152" s="40">
        <v>45</v>
      </c>
      <c r="B152" s="49" t="s">
        <v>1172</v>
      </c>
      <c r="C152" s="24"/>
    </row>
    <row r="153" spans="1:3" ht="20.149999999999999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C23" sqref="C23"/>
    </sheetView>
  </sheetViews>
  <sheetFormatPr defaultColWidth="8.9140625" defaultRowHeight="20.149999999999999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>
      <c r="A4" s="79" t="str">
        <f>"HOSPITAL NAME: "&amp;'data 2021'!C84</f>
        <v>HOSPITAL NAME: Capital Medical Center</v>
      </c>
      <c r="B4" s="77"/>
      <c r="C4" s="77"/>
      <c r="D4" s="77"/>
      <c r="E4" s="77"/>
      <c r="F4" s="77"/>
      <c r="G4" s="80"/>
      <c r="H4" s="79" t="str">
        <f>"FYE: "&amp;'data 2021'!C82</f>
        <v>FYE: 12/31/2021</v>
      </c>
    </row>
    <row r="5" spans="1:13" ht="20.149999999999999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>
      <c r="A9" s="23">
        <v>4</v>
      </c>
      <c r="B9" s="14" t="s">
        <v>233</v>
      </c>
      <c r="C9" s="14">
        <f>'data 2021'!C59</f>
        <v>6723</v>
      </c>
      <c r="D9" s="14">
        <f>'data 2021'!D59</f>
        <v>4939</v>
      </c>
      <c r="E9" s="14">
        <f>'data 2021'!E59</f>
        <v>2116</v>
      </c>
      <c r="F9" s="14">
        <f>'data 2021'!F59</f>
        <v>0</v>
      </c>
      <c r="G9" s="14">
        <f>'data 2021'!G59</f>
        <v>0</v>
      </c>
      <c r="H9" s="14">
        <f>'data 2021'!H59</f>
        <v>0</v>
      </c>
      <c r="I9" s="14">
        <f>'data 2021'!I59</f>
        <v>0</v>
      </c>
    </row>
    <row r="10" spans="1:13" ht="20.149999999999999" customHeight="1">
      <c r="A10" s="23">
        <v>5</v>
      </c>
      <c r="B10" s="14" t="s">
        <v>234</v>
      </c>
      <c r="C10" s="26">
        <f>'data 2021'!C60</f>
        <v>97.418928075980972</v>
      </c>
      <c r="D10" s="26">
        <f>'data 2021'!D60</f>
        <v>0</v>
      </c>
      <c r="E10" s="26">
        <f>'data 2021'!E60</f>
        <v>71.397639721359226</v>
      </c>
      <c r="F10" s="26">
        <f>'data 2021'!F60</f>
        <v>19.115245202860926</v>
      </c>
      <c r="G10" s="26">
        <f>'data 2021'!G60</f>
        <v>0</v>
      </c>
      <c r="H10" s="26">
        <f>'data 2021'!H60</f>
        <v>0</v>
      </c>
      <c r="I10" s="26">
        <f>'data 2021'!I60</f>
        <v>0</v>
      </c>
    </row>
    <row r="11" spans="1:13" ht="20.149999999999999" customHeight="1">
      <c r="A11" s="23">
        <v>6</v>
      </c>
      <c r="B11" s="14" t="s">
        <v>235</v>
      </c>
      <c r="C11" s="14">
        <f>'data 2021'!C61</f>
        <v>6548203.3300000001</v>
      </c>
      <c r="D11" s="14">
        <f>'data 2021'!D61</f>
        <v>0</v>
      </c>
      <c r="E11" s="14">
        <f>'data 2021'!E61</f>
        <v>4507997.07</v>
      </c>
      <c r="F11" s="14">
        <f>'data 2021'!F61</f>
        <v>2317226.1800000002</v>
      </c>
      <c r="G11" s="14">
        <f>'data 2021'!G61</f>
        <v>0</v>
      </c>
      <c r="H11" s="14">
        <f>'data 2021'!H61</f>
        <v>0</v>
      </c>
      <c r="I11" s="14">
        <f>'data 2021'!I61</f>
        <v>0</v>
      </c>
    </row>
    <row r="12" spans="1:13" ht="20.149999999999999" customHeight="1">
      <c r="A12" s="23">
        <v>7</v>
      </c>
      <c r="B12" s="14" t="s">
        <v>3</v>
      </c>
      <c r="C12" s="14">
        <f>'data 2021'!C62</f>
        <v>695713</v>
      </c>
      <c r="D12" s="14">
        <f>'data 2021'!D62</f>
        <v>0</v>
      </c>
      <c r="E12" s="14">
        <f>'data 2021'!E62</f>
        <v>498975</v>
      </c>
      <c r="F12" s="14">
        <f>'data 2021'!F62</f>
        <v>267192</v>
      </c>
      <c r="G12" s="14">
        <f>'data 2021'!G62</f>
        <v>0</v>
      </c>
      <c r="H12" s="14">
        <f>'data 2021'!H62</f>
        <v>0</v>
      </c>
      <c r="I12" s="14">
        <f>'data 2021'!I62</f>
        <v>0</v>
      </c>
    </row>
    <row r="13" spans="1:13" ht="20.149999999999999" customHeight="1">
      <c r="A13" s="23">
        <v>8</v>
      </c>
      <c r="B13" s="14" t="s">
        <v>236</v>
      </c>
      <c r="C13" s="14">
        <f>'data 2021'!C63</f>
        <v>617133.16999999993</v>
      </c>
      <c r="D13" s="14">
        <f>'data 2021'!D63</f>
        <v>0</v>
      </c>
      <c r="E13" s="14">
        <f>'data 2021'!E63</f>
        <v>0</v>
      </c>
      <c r="F13" s="14">
        <f>'data 2021'!F63</f>
        <v>71435.25</v>
      </c>
      <c r="G13" s="14">
        <f>'data 2021'!G63</f>
        <v>0</v>
      </c>
      <c r="H13" s="14">
        <f>'data 2021'!H63</f>
        <v>0</v>
      </c>
      <c r="I13" s="14">
        <f>'data 2021'!I63</f>
        <v>0</v>
      </c>
    </row>
    <row r="14" spans="1:13" ht="20.149999999999999" customHeight="1">
      <c r="A14" s="23">
        <v>9</v>
      </c>
      <c r="B14" s="14" t="s">
        <v>237</v>
      </c>
      <c r="C14" s="14">
        <f>'data 2021'!C64</f>
        <v>613387.12</v>
      </c>
      <c r="D14" s="14">
        <f>'data 2021'!D64</f>
        <v>0</v>
      </c>
      <c r="E14" s="14">
        <f>'data 2021'!E64</f>
        <v>4196105.9399999995</v>
      </c>
      <c r="F14" s="14">
        <f>'data 2021'!F64</f>
        <v>260112.49999999997</v>
      </c>
      <c r="G14" s="14">
        <f>'data 2021'!G64</f>
        <v>0</v>
      </c>
      <c r="H14" s="14">
        <f>'data 2021'!H64</f>
        <v>0</v>
      </c>
      <c r="I14" s="14">
        <f>'data 2021'!I64</f>
        <v>0</v>
      </c>
    </row>
    <row r="15" spans="1:13" ht="20.149999999999999" customHeight="1">
      <c r="A15" s="23">
        <v>10</v>
      </c>
      <c r="B15" s="14" t="s">
        <v>444</v>
      </c>
      <c r="C15" s="14">
        <f>'data 2021'!C65</f>
        <v>0</v>
      </c>
      <c r="D15" s="14">
        <f>'data 2021'!D65</f>
        <v>0</v>
      </c>
      <c r="E15" s="14">
        <f>'data 2021'!E65</f>
        <v>0</v>
      </c>
      <c r="F15" s="14">
        <f>'data 2021'!F65</f>
        <v>0</v>
      </c>
      <c r="G15" s="14">
        <f>'data 2021'!G65</f>
        <v>0</v>
      </c>
      <c r="H15" s="14">
        <f>'data 2021'!H65</f>
        <v>0</v>
      </c>
      <c r="I15" s="14">
        <f>'data 2021'!I65</f>
        <v>0</v>
      </c>
      <c r="M15" s="266"/>
    </row>
    <row r="16" spans="1:13" ht="20.149999999999999" customHeight="1">
      <c r="A16" s="23">
        <v>11</v>
      </c>
      <c r="B16" s="14" t="s">
        <v>445</v>
      </c>
      <c r="C16" s="14">
        <f>'data 2021'!C66</f>
        <v>131000.94</v>
      </c>
      <c r="D16" s="14">
        <f>'data 2021'!D66</f>
        <v>0</v>
      </c>
      <c r="E16" s="14">
        <f>'data 2021'!E66</f>
        <v>85218.77</v>
      </c>
      <c r="F16" s="14">
        <f>'data 2021'!F66</f>
        <v>111216.03</v>
      </c>
      <c r="G16" s="14">
        <f>'data 2021'!G66</f>
        <v>0</v>
      </c>
      <c r="H16" s="14">
        <f>'data 2021'!H66</f>
        <v>0</v>
      </c>
      <c r="I16" s="14">
        <f>'data 2021'!I66</f>
        <v>0</v>
      </c>
    </row>
    <row r="17" spans="1:9" ht="20.149999999999999" customHeight="1">
      <c r="A17" s="23">
        <v>12</v>
      </c>
      <c r="B17" s="14" t="s">
        <v>6</v>
      </c>
      <c r="C17" s="14">
        <f>'data 2021'!C67</f>
        <v>36512</v>
      </c>
      <c r="D17" s="14">
        <f>'data 2021'!D67</f>
        <v>36839</v>
      </c>
      <c r="E17" s="14">
        <f>'data 2021'!E67</f>
        <v>16179</v>
      </c>
      <c r="F17" s="14">
        <f>'data 2021'!F67</f>
        <v>4460</v>
      </c>
      <c r="G17" s="14">
        <f>'data 2021'!G67</f>
        <v>557650</v>
      </c>
      <c r="H17" s="14">
        <f>'data 2021'!H67</f>
        <v>7212</v>
      </c>
      <c r="I17" s="14">
        <f>'data 2021'!I67</f>
        <v>77251</v>
      </c>
    </row>
    <row r="18" spans="1:9" ht="20.149999999999999" customHeight="1">
      <c r="A18" s="23">
        <v>13</v>
      </c>
      <c r="B18" s="14" t="s">
        <v>474</v>
      </c>
      <c r="C18" s="14">
        <f>'data 2021'!C68</f>
        <v>30893.64</v>
      </c>
      <c r="D18" s="14">
        <f>'data 2021'!D68</f>
        <v>0</v>
      </c>
      <c r="E18" s="14">
        <f>'data 2021'!E68</f>
        <v>68509.63</v>
      </c>
      <c r="F18" s="14">
        <f>'data 2021'!F68</f>
        <v>0</v>
      </c>
      <c r="G18" s="14">
        <f>'data 2021'!G68</f>
        <v>0</v>
      </c>
      <c r="H18" s="14">
        <f>'data 2021'!H68</f>
        <v>0</v>
      </c>
      <c r="I18" s="14">
        <f>'data 2021'!I68</f>
        <v>0</v>
      </c>
    </row>
    <row r="19" spans="1:9" ht="20.149999999999999" customHeight="1">
      <c r="A19" s="23">
        <v>14</v>
      </c>
      <c r="B19" s="14" t="s">
        <v>241</v>
      </c>
      <c r="C19" s="14">
        <f>'data 2021'!C69</f>
        <v>248497.27000000002</v>
      </c>
      <c r="D19" s="14">
        <f>'data 2021'!D69</f>
        <v>0</v>
      </c>
      <c r="E19" s="14">
        <f>'data 2021'!E69</f>
        <v>120770.26</v>
      </c>
      <c r="F19" s="14">
        <f>'data 2021'!F69</f>
        <v>56560.98</v>
      </c>
      <c r="G19" s="14">
        <f>'data 2021'!G69</f>
        <v>0</v>
      </c>
      <c r="H19" s="14">
        <f>'data 2021'!H69</f>
        <v>0</v>
      </c>
      <c r="I19" s="14">
        <f>'data 2021'!I69</f>
        <v>0</v>
      </c>
    </row>
    <row r="20" spans="1:9" ht="20.149999999999999" customHeight="1">
      <c r="A20" s="23">
        <v>15</v>
      </c>
      <c r="B20" s="14" t="s">
        <v>242</v>
      </c>
      <c r="C20" s="14">
        <f>-'data 2021'!C70</f>
        <v>-30583.040000000005</v>
      </c>
      <c r="D20" s="14">
        <f>-'data 2021'!D70</f>
        <v>0</v>
      </c>
      <c r="E20" s="14">
        <f>-'data 2021'!E70</f>
        <v>0</v>
      </c>
      <c r="F20" s="14">
        <f>-'data 2021'!F70</f>
        <v>-8845.7699999999986</v>
      </c>
      <c r="G20" s="14">
        <f>-'data 2021'!G70</f>
        <v>0</v>
      </c>
      <c r="H20" s="14">
        <f>-'data 2021'!H70</f>
        <v>0</v>
      </c>
      <c r="I20" s="14">
        <f>-'data 2021'!I70</f>
        <v>0</v>
      </c>
    </row>
    <row r="21" spans="1:9" ht="20.149999999999999" customHeight="1">
      <c r="A21" s="23">
        <v>16</v>
      </c>
      <c r="B21" s="48" t="s">
        <v>1180</v>
      </c>
      <c r="C21" s="14">
        <f>'data 2021'!C71</f>
        <v>8890757.4299999997</v>
      </c>
      <c r="D21" s="14">
        <f>'data 2021'!D71</f>
        <v>36839</v>
      </c>
      <c r="E21" s="14">
        <f>'data 2021'!E71</f>
        <v>9493755.6699999999</v>
      </c>
      <c r="F21" s="14">
        <f>'data 2021'!F71</f>
        <v>3079357.17</v>
      </c>
      <c r="G21" s="14">
        <f>'data 2021'!G71</f>
        <v>557650</v>
      </c>
      <c r="H21" s="14">
        <f>'data 2021'!H71</f>
        <v>7212</v>
      </c>
      <c r="I21" s="14">
        <f>'data 2021'!I71</f>
        <v>77251</v>
      </c>
    </row>
    <row r="22" spans="1:9" ht="20.149999999999999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>
      <c r="A23" s="23">
        <v>18</v>
      </c>
      <c r="B23" s="14" t="s">
        <v>1181</v>
      </c>
      <c r="C23" s="372">
        <f>+'data 2021'!M668</f>
        <v>3617243</v>
      </c>
      <c r="D23" s="48">
        <f>+'data 2021'!M669</f>
        <v>564399</v>
      </c>
      <c r="E23" s="48">
        <f>+'data 2021'!M670</f>
        <v>5193792</v>
      </c>
      <c r="F23" s="48">
        <f>+'data 2021'!M671</f>
        <v>1700231</v>
      </c>
      <c r="G23" s="48">
        <f>+'data 2021'!M672</f>
        <v>732487</v>
      </c>
      <c r="H23" s="48">
        <f>+'data 2021'!M673</f>
        <v>288793</v>
      </c>
      <c r="I23" s="48">
        <f>+'data 2021'!M674</f>
        <v>15562</v>
      </c>
    </row>
    <row r="24" spans="1:9" ht="20.149999999999999" customHeight="1">
      <c r="A24" s="23">
        <v>19</v>
      </c>
      <c r="B24" s="48" t="s">
        <v>1182</v>
      </c>
      <c r="C24" s="14">
        <f>'data 2021'!C73</f>
        <v>38984567.939999998</v>
      </c>
      <c r="D24" s="14">
        <f>'data 2021'!D73</f>
        <v>32456352.789999995</v>
      </c>
      <c r="E24" s="14">
        <f>'data 2021'!E73</f>
        <v>17579720.129999999</v>
      </c>
      <c r="F24" s="14">
        <f>'data 2021'!F73</f>
        <v>2213339</v>
      </c>
      <c r="G24" s="14">
        <f>'data 2021'!G73</f>
        <v>23213770.040000003</v>
      </c>
      <c r="H24" s="14">
        <f>'data 2021'!H73</f>
        <v>9219773</v>
      </c>
      <c r="I24" s="14">
        <f>'data 2021'!I73</f>
        <v>0</v>
      </c>
    </row>
    <row r="25" spans="1:9" ht="20.149999999999999" customHeight="1">
      <c r="A25" s="23">
        <v>20</v>
      </c>
      <c r="B25" s="48" t="s">
        <v>1183</v>
      </c>
      <c r="C25" s="14">
        <f>'data 2021'!C74</f>
        <v>2406804.0300000003</v>
      </c>
      <c r="D25" s="14">
        <f>'data 2021'!D74</f>
        <v>19457760.800000001</v>
      </c>
      <c r="E25" s="14">
        <f>'data 2021'!E74</f>
        <v>2370726</v>
      </c>
      <c r="F25" s="14">
        <f>'data 2021'!F74</f>
        <v>250053</v>
      </c>
      <c r="G25" s="14">
        <f>'data 2021'!G74</f>
        <v>34588172.810000002</v>
      </c>
      <c r="H25" s="14">
        <f>'data 2021'!H74</f>
        <v>17562324</v>
      </c>
      <c r="I25" s="14">
        <f>'data 2021'!I74</f>
        <v>0</v>
      </c>
    </row>
    <row r="26" spans="1:9" ht="18" customHeight="1">
      <c r="A26" s="23">
        <v>21</v>
      </c>
      <c r="B26" s="48" t="s">
        <v>1184</v>
      </c>
      <c r="C26" s="14">
        <f>'data 2021'!C75</f>
        <v>41391371.969999999</v>
      </c>
      <c r="D26" s="14">
        <f>'data 2021'!D75</f>
        <v>51914113.589999996</v>
      </c>
      <c r="E26" s="14">
        <f>'data 2021'!E75</f>
        <v>19950446.129999999</v>
      </c>
      <c r="F26" s="14">
        <f>'data 2021'!F75</f>
        <v>2463392</v>
      </c>
      <c r="G26" s="14">
        <f>'data 2021'!G75</f>
        <v>57801942.850000009</v>
      </c>
      <c r="H26" s="14">
        <f>'data 2021'!H75</f>
        <v>26782097</v>
      </c>
      <c r="I26" s="14">
        <f>'data 2021'!I75</f>
        <v>0</v>
      </c>
    </row>
    <row r="27" spans="1:9" ht="20.149999999999999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>
      <c r="A28" s="23">
        <v>22</v>
      </c>
      <c r="B28" s="14" t="s">
        <v>1186</v>
      </c>
      <c r="C28" s="14">
        <f>'data 2021'!C76</f>
        <v>8412.0400000000009</v>
      </c>
      <c r="D28" s="14">
        <f>'data 2021'!D76</f>
        <v>0</v>
      </c>
      <c r="E28" s="14">
        <f>'data 2021'!E76</f>
        <v>0</v>
      </c>
      <c r="F28" s="14">
        <f>'data 2021'!F76</f>
        <v>23269.23</v>
      </c>
      <c r="G28" s="14">
        <f>'data 2021'!G76</f>
        <v>0</v>
      </c>
      <c r="H28" s="14">
        <f>'data 2021'!H76</f>
        <v>0</v>
      </c>
      <c r="I28" s="14">
        <f>'data 2021'!I76</f>
        <v>0</v>
      </c>
    </row>
    <row r="29" spans="1:9" ht="20.149999999999999" customHeight="1">
      <c r="A29" s="23">
        <v>23</v>
      </c>
      <c r="B29" s="14" t="s">
        <v>1187</v>
      </c>
      <c r="C29" s="14">
        <f>'data 2021'!C77</f>
        <v>4193.2556893203891</v>
      </c>
      <c r="D29" s="14">
        <f>'data 2021'!D77</f>
        <v>0</v>
      </c>
      <c r="E29" s="14">
        <f>'data 2021'!E77</f>
        <v>16151.192198489753</v>
      </c>
      <c r="F29" s="14">
        <f>'data 2021'!F77</f>
        <v>0</v>
      </c>
      <c r="G29" s="14">
        <f>'data 2021'!G77</f>
        <v>0</v>
      </c>
      <c r="H29" s="14">
        <f>'data 2021'!H77</f>
        <v>0</v>
      </c>
      <c r="I29" s="14">
        <f>'data 2021'!I77</f>
        <v>0</v>
      </c>
    </row>
    <row r="30" spans="1:9" ht="20.149999999999999" customHeight="1">
      <c r="A30" s="23">
        <v>24</v>
      </c>
      <c r="B30" s="14" t="s">
        <v>1188</v>
      </c>
      <c r="C30" s="14">
        <f>'data 2021'!C78</f>
        <v>2144</v>
      </c>
      <c r="D30" s="14">
        <f>'data 2021'!D78</f>
        <v>0</v>
      </c>
      <c r="E30" s="14">
        <f>'data 2021'!E78</f>
        <v>3046</v>
      </c>
      <c r="F30" s="14">
        <f>'data 2021'!F78</f>
        <v>0</v>
      </c>
      <c r="G30" s="14">
        <f>'data 2021'!G78</f>
        <v>0</v>
      </c>
      <c r="H30" s="14">
        <f>'data 2021'!H78</f>
        <v>0</v>
      </c>
      <c r="I30" s="14">
        <f>'data 2021'!I78</f>
        <v>0</v>
      </c>
    </row>
    <row r="31" spans="1:9" ht="20.149999999999999" customHeight="1">
      <c r="A31" s="23">
        <v>25</v>
      </c>
      <c r="B31" s="14" t="s">
        <v>1189</v>
      </c>
      <c r="C31" s="14">
        <f>'data 2021'!C79</f>
        <v>69876.105830478467</v>
      </c>
      <c r="D31" s="14">
        <f>'data 2021'!D79</f>
        <v>0</v>
      </c>
      <c r="E31" s="14">
        <f>'data 2021'!E79</f>
        <v>129025.31172354239</v>
      </c>
      <c r="F31" s="14">
        <f>'data 2021'!F79</f>
        <v>0</v>
      </c>
      <c r="G31" s="14">
        <f>'data 2021'!G79</f>
        <v>0</v>
      </c>
      <c r="H31" s="14">
        <f>'data 2021'!H79</f>
        <v>0</v>
      </c>
      <c r="I31" s="14">
        <f>'data 2021'!I79</f>
        <v>0</v>
      </c>
    </row>
    <row r="32" spans="1:9" ht="20.149999999999999" customHeight="1">
      <c r="A32" s="23">
        <v>26</v>
      </c>
      <c r="B32" s="14" t="s">
        <v>252</v>
      </c>
      <c r="C32" s="84">
        <f>'data 2021'!C80</f>
        <v>44.38</v>
      </c>
      <c r="D32" s="84">
        <f>'data 2021'!D80</f>
        <v>0</v>
      </c>
      <c r="E32" s="84">
        <f>'data 2021'!E80</f>
        <v>31.68</v>
      </c>
      <c r="F32" s="84">
        <f>'data 2021'!F80</f>
        <v>0</v>
      </c>
      <c r="G32" s="84">
        <f>'data 2021'!G80</f>
        <v>0</v>
      </c>
      <c r="H32" s="84">
        <f>'data 2021'!H80</f>
        <v>0</v>
      </c>
      <c r="I32" s="84">
        <f>'data 2021'!I80</f>
        <v>0</v>
      </c>
    </row>
    <row r="33" spans="1:9" ht="20.149999999999999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>
      <c r="A36" s="79" t="str">
        <f>"HOSPITAL NAME: "&amp;'data 2021'!C84</f>
        <v>HOSPITAL NAME: Capital Medical Center</v>
      </c>
      <c r="B36" s="77"/>
      <c r="C36" s="77"/>
      <c r="D36" s="77"/>
      <c r="E36" s="77"/>
      <c r="F36" s="77"/>
      <c r="G36" s="80"/>
      <c r="H36" s="79" t="str">
        <f>"FYE: "&amp;'data 2021'!C82</f>
        <v>FYE: 12/31/2021</v>
      </c>
    </row>
    <row r="37" spans="1:9" ht="20.149999999999999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>
      <c r="A41" s="23">
        <v>4</v>
      </c>
      <c r="B41" s="14" t="s">
        <v>233</v>
      </c>
      <c r="C41" s="14">
        <f>'data 2021'!J59</f>
        <v>233</v>
      </c>
      <c r="D41" s="14">
        <f>'data 2021'!K59</f>
        <v>0</v>
      </c>
      <c r="E41" s="14">
        <f>'data 2021'!L59</f>
        <v>0</v>
      </c>
      <c r="F41" s="14">
        <f>'data 2021'!M59</f>
        <v>0</v>
      </c>
      <c r="G41" s="14">
        <f>'data 2021'!N59</f>
        <v>0</v>
      </c>
      <c r="H41" s="14">
        <f>'data 2021'!O59</f>
        <v>7707</v>
      </c>
      <c r="I41" s="14">
        <f>'data 2021'!P59</f>
        <v>80002</v>
      </c>
    </row>
    <row r="42" spans="1:9" ht="20.149999999999999" customHeight="1">
      <c r="A42" s="23">
        <v>5</v>
      </c>
      <c r="B42" s="14" t="s">
        <v>234</v>
      </c>
      <c r="C42" s="26">
        <f>'data 2021'!J60</f>
        <v>0</v>
      </c>
      <c r="D42" s="26">
        <f>'data 2021'!K60</f>
        <v>0</v>
      </c>
      <c r="E42" s="26">
        <f>'data 2021'!L60</f>
        <v>0</v>
      </c>
      <c r="F42" s="26">
        <f>'data 2021'!M60</f>
        <v>0</v>
      </c>
      <c r="G42" s="26">
        <f>'data 2021'!N60</f>
        <v>0</v>
      </c>
      <c r="H42" s="26">
        <f>'data 2021'!O60</f>
        <v>27.660945890409462</v>
      </c>
      <c r="I42" s="26">
        <f>'data 2021'!P60</f>
        <v>33.905226710117091</v>
      </c>
    </row>
    <row r="43" spans="1:9" ht="20.149999999999999" customHeight="1">
      <c r="A43" s="23">
        <v>6</v>
      </c>
      <c r="B43" s="14" t="s">
        <v>235</v>
      </c>
      <c r="C43" s="14">
        <f>'data 2021'!J61</f>
        <v>0</v>
      </c>
      <c r="D43" s="14">
        <f>'data 2021'!K61</f>
        <v>0</v>
      </c>
      <c r="E43" s="14">
        <f>'data 2021'!L61</f>
        <v>0</v>
      </c>
      <c r="F43" s="14">
        <f>'data 2021'!M61</f>
        <v>0</v>
      </c>
      <c r="G43" s="14">
        <f>'data 2021'!N61</f>
        <v>0</v>
      </c>
      <c r="H43" s="14">
        <f>'data 2021'!O61</f>
        <v>733629.14</v>
      </c>
      <c r="I43" s="14">
        <f>'data 2021'!P61</f>
        <v>2342193.4500000002</v>
      </c>
    </row>
    <row r="44" spans="1:9" ht="20.149999999999999" customHeight="1">
      <c r="A44" s="23">
        <v>7</v>
      </c>
      <c r="B44" s="14" t="s">
        <v>3</v>
      </c>
      <c r="C44" s="14">
        <f>'data 2021'!J62</f>
        <v>0</v>
      </c>
      <c r="D44" s="14">
        <f>'data 2021'!K62</f>
        <v>0</v>
      </c>
      <c r="E44" s="14">
        <f>'data 2021'!L62</f>
        <v>0</v>
      </c>
      <c r="F44" s="14">
        <f>'data 2021'!M62</f>
        <v>0</v>
      </c>
      <c r="G44" s="14">
        <f>'data 2021'!N62</f>
        <v>0</v>
      </c>
      <c r="H44" s="14">
        <f>'data 2021'!O62</f>
        <v>54616</v>
      </c>
      <c r="I44" s="14">
        <f>'data 2021'!P62</f>
        <v>210934</v>
      </c>
    </row>
    <row r="45" spans="1:9" ht="20.149999999999999" customHeight="1">
      <c r="A45" s="23">
        <v>8</v>
      </c>
      <c r="B45" s="14" t="s">
        <v>236</v>
      </c>
      <c r="C45" s="14">
        <f>'data 2021'!J63</f>
        <v>165337</v>
      </c>
      <c r="D45" s="14">
        <f>'data 2021'!K63</f>
        <v>0</v>
      </c>
      <c r="E45" s="14">
        <f>'data 2021'!L63</f>
        <v>0</v>
      </c>
      <c r="F45" s="14">
        <f>'data 2021'!M63</f>
        <v>0</v>
      </c>
      <c r="G45" s="14">
        <f>'data 2021'!N63</f>
        <v>0</v>
      </c>
      <c r="H45" s="14">
        <f>'data 2021'!O63</f>
        <v>507402</v>
      </c>
      <c r="I45" s="14">
        <f>'data 2021'!P63</f>
        <v>425644.77999999997</v>
      </c>
    </row>
    <row r="46" spans="1:9" ht="20.149999999999999" customHeight="1">
      <c r="A46" s="23">
        <v>9</v>
      </c>
      <c r="B46" s="14" t="s">
        <v>237</v>
      </c>
      <c r="C46" s="14">
        <f>'data 2021'!J64</f>
        <v>4493</v>
      </c>
      <c r="D46" s="14">
        <f>'data 2021'!K64</f>
        <v>0</v>
      </c>
      <c r="E46" s="14">
        <f>'data 2021'!L64</f>
        <v>0</v>
      </c>
      <c r="F46" s="14">
        <f>'data 2021'!M64</f>
        <v>0</v>
      </c>
      <c r="G46" s="14">
        <f>'data 2021'!N64</f>
        <v>0</v>
      </c>
      <c r="H46" s="14">
        <f>'data 2021'!O64</f>
        <v>63605.770000000004</v>
      </c>
      <c r="I46" s="14">
        <f>'data 2021'!P64</f>
        <v>3054795.36</v>
      </c>
    </row>
    <row r="47" spans="1:9" ht="20.149999999999999" customHeight="1">
      <c r="A47" s="23">
        <v>10</v>
      </c>
      <c r="B47" s="14" t="s">
        <v>444</v>
      </c>
      <c r="C47" s="14">
        <f>'data 2021'!J65</f>
        <v>0</v>
      </c>
      <c r="D47" s="14">
        <f>'data 2021'!K65</f>
        <v>0</v>
      </c>
      <c r="E47" s="14">
        <f>'data 2021'!L65</f>
        <v>0</v>
      </c>
      <c r="F47" s="14">
        <f>'data 2021'!M65</f>
        <v>0</v>
      </c>
      <c r="G47" s="14">
        <f>'data 2021'!N65</f>
        <v>0</v>
      </c>
      <c r="H47" s="14">
        <f>'data 2021'!O65</f>
        <v>0</v>
      </c>
      <c r="I47" s="14">
        <f>'data 2021'!P65</f>
        <v>0</v>
      </c>
    </row>
    <row r="48" spans="1:9" ht="20.149999999999999" customHeight="1">
      <c r="A48" s="23">
        <v>11</v>
      </c>
      <c r="B48" s="14" t="s">
        <v>445</v>
      </c>
      <c r="C48" s="14">
        <f>'data 2021'!J66</f>
        <v>18372</v>
      </c>
      <c r="D48" s="14">
        <f>'data 2021'!K66</f>
        <v>0</v>
      </c>
      <c r="E48" s="14">
        <f>'data 2021'!L66</f>
        <v>0</v>
      </c>
      <c r="F48" s="14">
        <f>'data 2021'!M66</f>
        <v>0</v>
      </c>
      <c r="G48" s="14">
        <f>'data 2021'!N66</f>
        <v>0</v>
      </c>
      <c r="H48" s="14">
        <f>'data 2021'!O66</f>
        <v>38939.89</v>
      </c>
      <c r="I48" s="14">
        <f>'data 2021'!P66</f>
        <v>540157.9</v>
      </c>
    </row>
    <row r="49" spans="1:9" ht="20.149999999999999" customHeight="1">
      <c r="A49" s="23">
        <v>12</v>
      </c>
      <c r="B49" s="14" t="s">
        <v>6</v>
      </c>
      <c r="C49" s="14">
        <f>'data 2021'!J67</f>
        <v>5568</v>
      </c>
      <c r="D49" s="14">
        <f>'data 2021'!K67</f>
        <v>7040</v>
      </c>
      <c r="E49" s="14">
        <f>'data 2021'!L67</f>
        <v>0</v>
      </c>
      <c r="F49" s="14">
        <f>'data 2021'!M67</f>
        <v>85217</v>
      </c>
      <c r="G49" s="14">
        <f>'data 2021'!N67</f>
        <v>79866</v>
      </c>
      <c r="H49" s="14">
        <f>'data 2021'!O67</f>
        <v>1970</v>
      </c>
      <c r="I49" s="14">
        <f>'data 2021'!P67</f>
        <v>0</v>
      </c>
    </row>
    <row r="50" spans="1:9" ht="20.149999999999999" customHeight="1">
      <c r="A50" s="23">
        <v>13</v>
      </c>
      <c r="B50" s="14" t="s">
        <v>474</v>
      </c>
      <c r="C50" s="14">
        <f>'data 2021'!J68</f>
        <v>0</v>
      </c>
      <c r="D50" s="14">
        <f>'data 2021'!K68</f>
        <v>0</v>
      </c>
      <c r="E50" s="14">
        <f>'data 2021'!L68</f>
        <v>0</v>
      </c>
      <c r="F50" s="14">
        <f>'data 2021'!M68</f>
        <v>0</v>
      </c>
      <c r="G50" s="14">
        <f>'data 2021'!N68</f>
        <v>0</v>
      </c>
      <c r="H50" s="14">
        <f>'data 2021'!O68</f>
        <v>25</v>
      </c>
      <c r="I50" s="14">
        <f>'data 2021'!P68</f>
        <v>616663.88</v>
      </c>
    </row>
    <row r="51" spans="1:9" ht="20.149999999999999" customHeight="1">
      <c r="A51" s="23">
        <v>14</v>
      </c>
      <c r="B51" s="14" t="s">
        <v>241</v>
      </c>
      <c r="C51" s="14">
        <f>'data 2021'!J69</f>
        <v>357</v>
      </c>
      <c r="D51" s="14">
        <f>'data 2021'!K69</f>
        <v>0</v>
      </c>
      <c r="E51" s="14">
        <f>'data 2021'!L69</f>
        <v>0</v>
      </c>
      <c r="F51" s="14">
        <f>'data 2021'!M69</f>
        <v>0</v>
      </c>
      <c r="G51" s="14">
        <f>'data 2021'!N69</f>
        <v>0</v>
      </c>
      <c r="H51" s="14">
        <f>'data 2021'!O69</f>
        <v>60236</v>
      </c>
      <c r="I51" s="14">
        <f>'data 2021'!P69</f>
        <v>530718.11</v>
      </c>
    </row>
    <row r="52" spans="1:9" ht="20.149999999999999" customHeight="1">
      <c r="A52" s="23">
        <v>15</v>
      </c>
      <c r="B52" s="14" t="s">
        <v>242</v>
      </c>
      <c r="C52" s="14">
        <f>-'data 2021'!J70</f>
        <v>0</v>
      </c>
      <c r="D52" s="14">
        <f>-'data 2021'!K70</f>
        <v>0</v>
      </c>
      <c r="E52" s="14">
        <f>-'data 2021'!L70</f>
        <v>0</v>
      </c>
      <c r="F52" s="14">
        <f>-'data 2021'!M70</f>
        <v>0</v>
      </c>
      <c r="G52" s="14">
        <f>-'data 2021'!N70</f>
        <v>0</v>
      </c>
      <c r="H52" s="14">
        <f>-'data 2021'!O70</f>
        <v>0</v>
      </c>
      <c r="I52" s="14">
        <f>-'data 2021'!P70</f>
        <v>-23221.439999999999</v>
      </c>
    </row>
    <row r="53" spans="1:9" ht="20.149999999999999" customHeight="1">
      <c r="A53" s="23">
        <v>16</v>
      </c>
      <c r="B53" s="48" t="s">
        <v>1180</v>
      </c>
      <c r="C53" s="14">
        <f>'data 2021'!J71</f>
        <v>194127</v>
      </c>
      <c r="D53" s="14">
        <f>'data 2021'!K71</f>
        <v>7040</v>
      </c>
      <c r="E53" s="14">
        <f>'data 2021'!L71</f>
        <v>0</v>
      </c>
      <c r="F53" s="14">
        <f>'data 2021'!M71</f>
        <v>85217</v>
      </c>
      <c r="G53" s="14">
        <f>'data 2021'!N71</f>
        <v>79866</v>
      </c>
      <c r="H53" s="14">
        <f>'data 2021'!O71</f>
        <v>1460423.8</v>
      </c>
      <c r="I53" s="14">
        <f>'data 2021'!P71</f>
        <v>7697886.04</v>
      </c>
    </row>
    <row r="54" spans="1:9" ht="20.149999999999999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>
      <c r="A55" s="23">
        <v>18</v>
      </c>
      <c r="B55" s="14" t="s">
        <v>1181</v>
      </c>
      <c r="C55" s="48">
        <f>+'data 2021'!M675</f>
        <v>661334</v>
      </c>
      <c r="D55" s="48">
        <f>+'data 2021'!M676</f>
        <v>33910</v>
      </c>
      <c r="E55" s="48">
        <f>+'data 2021'!M677</f>
        <v>432330</v>
      </c>
      <c r="F55" s="48">
        <f>+'data 2021'!M678</f>
        <v>367379</v>
      </c>
      <c r="G55" s="48">
        <f>+'data 2021'!M679</f>
        <v>370024</v>
      </c>
      <c r="H55" s="48">
        <f>+'data 2021'!M680</f>
        <v>1996973</v>
      </c>
      <c r="I55" s="48" t="e">
        <f>+'data 2021'!M681</f>
        <v>#REF!</v>
      </c>
    </row>
    <row r="56" spans="1:9" ht="20.149999999999999" customHeight="1">
      <c r="A56" s="23">
        <v>19</v>
      </c>
      <c r="B56" s="48" t="s">
        <v>1182</v>
      </c>
      <c r="C56" s="14">
        <f>'data 2021'!J73</f>
        <v>21634639</v>
      </c>
      <c r="D56" s="14">
        <f>'data 2021'!K73</f>
        <v>1085184.1500000001</v>
      </c>
      <c r="E56" s="14">
        <f>'data 2021'!L73</f>
        <v>11012817.66</v>
      </c>
      <c r="F56" s="14">
        <f>'data 2021'!M73</f>
        <v>10736203.630000001</v>
      </c>
      <c r="G56" s="14">
        <f>'data 2021'!N73</f>
        <v>1602715.55</v>
      </c>
      <c r="H56" s="14">
        <f>'data 2021'!O73</f>
        <v>5617774</v>
      </c>
      <c r="I56" s="14">
        <f>'data 2021'!P73</f>
        <v>17424055.57</v>
      </c>
    </row>
    <row r="57" spans="1:9" ht="20.149999999999999" customHeight="1">
      <c r="A57" s="23">
        <v>20</v>
      </c>
      <c r="B57" s="48" t="s">
        <v>1183</v>
      </c>
      <c r="C57" s="14">
        <f>'data 2021'!J74</f>
        <v>18562264.809999999</v>
      </c>
      <c r="D57" s="14">
        <f>'data 2021'!K74</f>
        <v>1943239.24</v>
      </c>
      <c r="E57" s="14">
        <f>'data 2021'!L74</f>
        <v>29283283.07</v>
      </c>
      <c r="F57" s="14">
        <f>'data 2021'!M74</f>
        <v>21905985.879999999</v>
      </c>
      <c r="G57" s="14">
        <f>'data 2021'!N74</f>
        <v>31386407.43</v>
      </c>
      <c r="H57" s="14">
        <f>'data 2021'!O74</f>
        <v>7171121.0500000007</v>
      </c>
      <c r="I57" s="14">
        <f>'data 2021'!P74</f>
        <v>19091570.920000002</v>
      </c>
    </row>
    <row r="58" spans="1:9" ht="20.149999999999999" customHeight="1">
      <c r="A58" s="23">
        <v>21</v>
      </c>
      <c r="B58" s="48" t="s">
        <v>1184</v>
      </c>
      <c r="C58" s="14">
        <f>'data 2021'!J75</f>
        <v>40196903.810000002</v>
      </c>
      <c r="D58" s="14">
        <f>'data 2021'!K75</f>
        <v>3028423.39</v>
      </c>
      <c r="E58" s="14">
        <f>'data 2021'!L75</f>
        <v>40296100.730000004</v>
      </c>
      <c r="F58" s="14">
        <f>'data 2021'!M75</f>
        <v>32642189.509999998</v>
      </c>
      <c r="G58" s="14">
        <f>'data 2021'!N75</f>
        <v>32989122.98</v>
      </c>
      <c r="H58" s="14">
        <f>'data 2021'!O75</f>
        <v>12788895.050000001</v>
      </c>
      <c r="I58" s="14">
        <f>'data 2021'!P75</f>
        <v>36515626.490000002</v>
      </c>
    </row>
    <row r="59" spans="1:9" ht="20.149999999999999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>
      <c r="A60" s="23">
        <v>22</v>
      </c>
      <c r="B60" s="14" t="s">
        <v>1186</v>
      </c>
      <c r="C60" s="14">
        <f>'data 2021'!J76</f>
        <v>0</v>
      </c>
      <c r="D60" s="14">
        <f>'data 2021'!K76</f>
        <v>0</v>
      </c>
      <c r="E60" s="14">
        <f>'data 2021'!L76</f>
        <v>0</v>
      </c>
      <c r="F60" s="14">
        <f>'data 2021'!M76</f>
        <v>0</v>
      </c>
      <c r="G60" s="14">
        <f>'data 2021'!N76</f>
        <v>0</v>
      </c>
      <c r="H60" s="14">
        <f>'data 2021'!O76</f>
        <v>0</v>
      </c>
      <c r="I60" s="14">
        <f>'data 2021'!P76</f>
        <v>18197.259999999998</v>
      </c>
    </row>
    <row r="61" spans="1:9" ht="20.149999999999999" customHeight="1">
      <c r="A61" s="23">
        <v>23</v>
      </c>
      <c r="B61" s="14" t="s">
        <v>1187</v>
      </c>
      <c r="C61" s="14">
        <f>'data 2021'!J77</f>
        <v>3137.6746235167202</v>
      </c>
      <c r="D61" s="14">
        <f>'data 2021'!K77</f>
        <v>0</v>
      </c>
      <c r="E61" s="14">
        <f>'data 2021'!L77</f>
        <v>0</v>
      </c>
      <c r="F61" s="14">
        <f>'data 2021'!M77</f>
        <v>0</v>
      </c>
      <c r="G61" s="14">
        <f>'data 2021'!N77</f>
        <v>0</v>
      </c>
      <c r="H61" s="14">
        <f>'data 2021'!O77</f>
        <v>18753.877488673137</v>
      </c>
      <c r="I61" s="14">
        <f>'data 2021'!P77</f>
        <v>0</v>
      </c>
    </row>
    <row r="62" spans="1:9" ht="20.149999999999999" customHeight="1">
      <c r="A62" s="23">
        <v>24</v>
      </c>
      <c r="B62" s="14" t="s">
        <v>1188</v>
      </c>
      <c r="C62" s="14">
        <f>'data 2021'!J78</f>
        <v>182</v>
      </c>
      <c r="D62" s="14">
        <f>'data 2021'!K78</f>
        <v>0</v>
      </c>
      <c r="E62" s="14">
        <f>'data 2021'!L78</f>
        <v>0</v>
      </c>
      <c r="F62" s="14">
        <f>'data 2021'!M78</f>
        <v>0</v>
      </c>
      <c r="G62" s="14">
        <f>'data 2021'!N78</f>
        <v>0</v>
      </c>
      <c r="H62" s="14">
        <f>'data 2021'!O78</f>
        <v>5749</v>
      </c>
      <c r="I62" s="14">
        <f>'data 2021'!P78</f>
        <v>576</v>
      </c>
    </row>
    <row r="63" spans="1:9" ht="20.149999999999999" customHeight="1">
      <c r="A63" s="23">
        <v>25</v>
      </c>
      <c r="B63" s="14" t="s">
        <v>1189</v>
      </c>
      <c r="C63" s="14">
        <f>'data 2021'!J79</f>
        <v>460.71687822876618</v>
      </c>
      <c r="D63" s="14">
        <f>'data 2021'!K79</f>
        <v>0</v>
      </c>
      <c r="E63" s="14">
        <f>'data 2021'!L79</f>
        <v>0</v>
      </c>
      <c r="F63" s="14">
        <f>'data 2021'!M79</f>
        <v>0</v>
      </c>
      <c r="G63" s="14">
        <f>'data 2021'!N79</f>
        <v>0</v>
      </c>
      <c r="H63" s="14">
        <f>'data 2021'!O79</f>
        <v>57002.756956907622</v>
      </c>
      <c r="I63" s="14" t="e">
        <f>'data 2021'!#REF!</f>
        <v>#REF!</v>
      </c>
    </row>
    <row r="64" spans="1:9" ht="20.149999999999999" customHeight="1">
      <c r="A64" s="23">
        <v>26</v>
      </c>
      <c r="B64" s="14" t="s">
        <v>252</v>
      </c>
      <c r="C64" s="26">
        <f>'data 2021'!J80</f>
        <v>0</v>
      </c>
      <c r="D64" s="26">
        <f>'data 2021'!K80</f>
        <v>0</v>
      </c>
      <c r="E64" s="26">
        <f>'data 2021'!L80</f>
        <v>0</v>
      </c>
      <c r="F64" s="26">
        <f>'data 2021'!M80</f>
        <v>0</v>
      </c>
      <c r="G64" s="26">
        <f>'data 2021'!N80</f>
        <v>0</v>
      </c>
      <c r="H64" s="26">
        <f>'data 2021'!O80</f>
        <v>19.5</v>
      </c>
      <c r="I64" s="26">
        <f>'data 2021'!P80</f>
        <v>11.66</v>
      </c>
    </row>
    <row r="65" spans="1:9" ht="20.149999999999999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>
      <c r="A68" s="79" t="str">
        <f>"HOSPITAL NAME: "&amp;'data 2021'!C84</f>
        <v>HOSPITAL NAME: Capital Medical Center</v>
      </c>
      <c r="B68" s="77"/>
      <c r="C68" s="77"/>
      <c r="D68" s="77"/>
      <c r="E68" s="77"/>
      <c r="F68" s="77"/>
      <c r="G68" s="80"/>
      <c r="H68" s="79" t="str">
        <f>"FYE: "&amp;'data 2021'!C82</f>
        <v>FYE: 12/31/2021</v>
      </c>
    </row>
    <row r="69" spans="1:9" ht="20.149999999999999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>
      <c r="A73" s="23">
        <v>4</v>
      </c>
      <c r="B73" s="14" t="s">
        <v>233</v>
      </c>
      <c r="C73" s="14">
        <f>'data 2021'!Q59</f>
        <v>70645</v>
      </c>
      <c r="D73" s="48">
        <f>'data 2021'!R59</f>
        <v>94279</v>
      </c>
      <c r="E73" s="212"/>
      <c r="F73" s="212"/>
      <c r="G73" s="14">
        <f>'data 2021'!U59</f>
        <v>54906</v>
      </c>
      <c r="H73" s="14">
        <f>'data 2021'!V59</f>
        <v>0</v>
      </c>
      <c r="I73" s="14">
        <f>'data 2021'!W59</f>
        <v>133</v>
      </c>
    </row>
    <row r="74" spans="1:9" ht="20.149999999999999" customHeight="1">
      <c r="A74" s="23">
        <v>5</v>
      </c>
      <c r="B74" s="14" t="s">
        <v>234</v>
      </c>
      <c r="C74" s="26">
        <f>'data 2021'!Q60</f>
        <v>6.22</v>
      </c>
      <c r="D74" s="26">
        <f>'data 2021'!R60</f>
        <v>8.3859198621224778</v>
      </c>
      <c r="E74" s="26">
        <f>'data 2021'!S60</f>
        <v>20.372798628737975</v>
      </c>
      <c r="F74" s="26">
        <f>'data 2021'!T60</f>
        <v>0</v>
      </c>
      <c r="G74" s="26">
        <f>'data 2021'!U60</f>
        <v>34.546083559462183</v>
      </c>
      <c r="H74" s="26">
        <f>'data 2021'!V60</f>
        <v>0</v>
      </c>
      <c r="I74" s="26">
        <f>'data 2021'!W60</f>
        <v>2.5259541094306912</v>
      </c>
    </row>
    <row r="75" spans="1:9" ht="20.149999999999999" customHeight="1">
      <c r="A75" s="23">
        <v>6</v>
      </c>
      <c r="B75" s="14" t="s">
        <v>235</v>
      </c>
      <c r="C75" s="14">
        <f>'data 2021'!Q61</f>
        <v>232451</v>
      </c>
      <c r="D75" s="14">
        <f>'data 2021'!R61</f>
        <v>937833.73999999987</v>
      </c>
      <c r="E75" s="14">
        <f>'data 2021'!S61</f>
        <v>850640.74</v>
      </c>
      <c r="F75" s="14">
        <f>'data 2021'!T61</f>
        <v>0</v>
      </c>
      <c r="G75" s="14">
        <f>'data 2021'!U61</f>
        <v>1488360.32</v>
      </c>
      <c r="H75" s="14">
        <f>'data 2021'!V61</f>
        <v>0</v>
      </c>
      <c r="I75" s="14">
        <f>'data 2021'!W61</f>
        <v>181408.75</v>
      </c>
    </row>
    <row r="76" spans="1:9" ht="20.149999999999999" customHeight="1">
      <c r="A76" s="23">
        <v>7</v>
      </c>
      <c r="B76" s="14" t="s">
        <v>3</v>
      </c>
      <c r="C76" s="14">
        <f>'data 2021'!Q62</f>
        <v>17529</v>
      </c>
      <c r="D76" s="14">
        <f>'data 2021'!R62</f>
        <v>108899</v>
      </c>
      <c r="E76" s="14">
        <f>'data 2021'!S62</f>
        <v>110960</v>
      </c>
      <c r="F76" s="14">
        <f>'data 2021'!T62</f>
        <v>0</v>
      </c>
      <c r="G76" s="14">
        <f>'data 2021'!U62</f>
        <v>227765</v>
      </c>
      <c r="H76" s="14">
        <f>'data 2021'!V62</f>
        <v>0</v>
      </c>
      <c r="I76" s="14">
        <f>'data 2021'!W62</f>
        <v>20130</v>
      </c>
    </row>
    <row r="77" spans="1:9" ht="20.149999999999999" customHeight="1">
      <c r="A77" s="23">
        <v>8</v>
      </c>
      <c r="B77" s="14" t="s">
        <v>236</v>
      </c>
      <c r="C77" s="14">
        <f>'data 2021'!Q63</f>
        <v>0</v>
      </c>
      <c r="D77" s="14">
        <f>'data 2021'!R63</f>
        <v>955830</v>
      </c>
      <c r="E77" s="14">
        <f>'data 2021'!S63</f>
        <v>477028.85</v>
      </c>
      <c r="F77" s="14">
        <f>'data 2021'!T63</f>
        <v>0</v>
      </c>
      <c r="G77" s="14">
        <f>'data 2021'!U63</f>
        <v>14575.17</v>
      </c>
      <c r="H77" s="14">
        <f>'data 2021'!V63</f>
        <v>0</v>
      </c>
      <c r="I77" s="14">
        <f>'data 2021'!W63</f>
        <v>0</v>
      </c>
    </row>
    <row r="78" spans="1:9" ht="20.149999999999999" customHeight="1">
      <c r="A78" s="23">
        <v>9</v>
      </c>
      <c r="B78" s="14" t="s">
        <v>237</v>
      </c>
      <c r="C78" s="14">
        <f>'data 2021'!Q64</f>
        <v>14868</v>
      </c>
      <c r="D78" s="14">
        <f>'data 2021'!R64</f>
        <v>202945.09</v>
      </c>
      <c r="E78" s="14">
        <f>'data 2021'!S64</f>
        <v>1795697.0000000002</v>
      </c>
      <c r="F78" s="14">
        <f>'data 2021'!T64</f>
        <v>0</v>
      </c>
      <c r="G78" s="14">
        <f>'data 2021'!U64</f>
        <v>1338424.22</v>
      </c>
      <c r="H78" s="14">
        <f>'data 2021'!V64</f>
        <v>0</v>
      </c>
      <c r="I78" s="14">
        <f>'data 2021'!W64</f>
        <v>1569.0399999999995</v>
      </c>
    </row>
    <row r="79" spans="1:9" ht="20.149999999999999" customHeight="1">
      <c r="A79" s="23">
        <v>10</v>
      </c>
      <c r="B79" s="14" t="s">
        <v>444</v>
      </c>
      <c r="C79" s="14">
        <f>'data 2021'!Q65</f>
        <v>0</v>
      </c>
      <c r="D79" s="14">
        <f>'data 2021'!R65</f>
        <v>0</v>
      </c>
      <c r="E79" s="14">
        <f>'data 2021'!S65</f>
        <v>0</v>
      </c>
      <c r="F79" s="14">
        <f>'data 2021'!T65</f>
        <v>0</v>
      </c>
      <c r="G79" s="14">
        <f>'data 2021'!U65</f>
        <v>0</v>
      </c>
      <c r="H79" s="14">
        <f>'data 2021'!V65</f>
        <v>0</v>
      </c>
      <c r="I79" s="14">
        <f>'data 2021'!W65</f>
        <v>0</v>
      </c>
    </row>
    <row r="80" spans="1:9" ht="20.149999999999999" customHeight="1">
      <c r="A80" s="23">
        <v>11</v>
      </c>
      <c r="B80" s="14" t="s">
        <v>445</v>
      </c>
      <c r="C80" s="14">
        <f>'data 2021'!Q66</f>
        <v>80</v>
      </c>
      <c r="D80" s="14">
        <f>'data 2021'!R66</f>
        <v>6448.42</v>
      </c>
      <c r="E80" s="14">
        <f>'data 2021'!S66</f>
        <v>819660.56</v>
      </c>
      <c r="F80" s="14">
        <f>'data 2021'!T66</f>
        <v>0</v>
      </c>
      <c r="G80" s="14">
        <f>'data 2021'!U66</f>
        <v>559310.15</v>
      </c>
      <c r="H80" s="14">
        <f>'data 2021'!V66</f>
        <v>0</v>
      </c>
      <c r="I80" s="14">
        <f>'data 2021'!W66</f>
        <v>79152.149999999994</v>
      </c>
    </row>
    <row r="81" spans="1:9" ht="20.149999999999999" customHeight="1">
      <c r="A81" s="23">
        <v>12</v>
      </c>
      <c r="B81" s="14" t="s">
        <v>6</v>
      </c>
      <c r="C81" s="14">
        <f>'data 2021'!Q67</f>
        <v>1591</v>
      </c>
      <c r="D81" s="14">
        <f>'data 2021'!R67</f>
        <v>0</v>
      </c>
      <c r="E81" s="14">
        <f>'data 2021'!S67</f>
        <v>16384</v>
      </c>
      <c r="F81" s="14">
        <f>'data 2021'!T67</f>
        <v>0</v>
      </c>
      <c r="G81" s="14">
        <f>'data 2021'!U67</f>
        <v>87514</v>
      </c>
      <c r="H81" s="14">
        <f>'data 2021'!V67</f>
        <v>0</v>
      </c>
      <c r="I81" s="14">
        <f>'data 2021'!W67</f>
        <v>0</v>
      </c>
    </row>
    <row r="82" spans="1:9" ht="20.149999999999999" customHeight="1">
      <c r="A82" s="23">
        <v>13</v>
      </c>
      <c r="B82" s="14" t="s">
        <v>474</v>
      </c>
      <c r="C82" s="14">
        <f>'data 2021'!Q68</f>
        <v>0</v>
      </c>
      <c r="D82" s="14">
        <f>'data 2021'!R68</f>
        <v>108459</v>
      </c>
      <c r="E82" s="14">
        <f>'data 2021'!S68</f>
        <v>878623.53000000014</v>
      </c>
      <c r="F82" s="14">
        <f>'data 2021'!T68</f>
        <v>0</v>
      </c>
      <c r="G82" s="14">
        <f>'data 2021'!U68</f>
        <v>179775.87</v>
      </c>
      <c r="H82" s="14">
        <f>'data 2021'!V68</f>
        <v>0</v>
      </c>
      <c r="I82" s="14">
        <f>'data 2021'!W68</f>
        <v>0</v>
      </c>
    </row>
    <row r="83" spans="1:9" ht="20.149999999999999" customHeight="1">
      <c r="A83" s="23">
        <v>14</v>
      </c>
      <c r="B83" s="14" t="s">
        <v>241</v>
      </c>
      <c r="C83" s="14">
        <f>'data 2021'!Q69</f>
        <v>863</v>
      </c>
      <c r="D83" s="14">
        <f>'data 2021'!R69</f>
        <v>10411</v>
      </c>
      <c r="E83" s="14">
        <f>'data 2021'!S69</f>
        <v>320771.74</v>
      </c>
      <c r="F83" s="14">
        <f>'data 2021'!T69</f>
        <v>0</v>
      </c>
      <c r="G83" s="14">
        <f>'data 2021'!U69</f>
        <v>84006.420000000013</v>
      </c>
      <c r="H83" s="14">
        <f>'data 2021'!V69</f>
        <v>0</v>
      </c>
      <c r="I83" s="14">
        <f>'data 2021'!W69</f>
        <v>22652.799999999999</v>
      </c>
    </row>
    <row r="84" spans="1:9" ht="20.149999999999999" customHeight="1">
      <c r="A84" s="23">
        <v>15</v>
      </c>
      <c r="B84" s="14" t="s">
        <v>242</v>
      </c>
      <c r="C84" s="14">
        <f>-'data 2021'!Q70</f>
        <v>0</v>
      </c>
      <c r="D84" s="14">
        <f>-'data 2021'!R70</f>
        <v>0</v>
      </c>
      <c r="E84" s="14">
        <f>-'data 2021'!S70</f>
        <v>0</v>
      </c>
      <c r="F84" s="14">
        <f>-'data 2021'!T70</f>
        <v>0</v>
      </c>
      <c r="G84" s="14">
        <f>-'data 2021'!U70</f>
        <v>-19676.22</v>
      </c>
      <c r="H84" s="14">
        <f>-'data 2021'!V70</f>
        <v>0</v>
      </c>
      <c r="I84" s="14">
        <f>-'data 2021'!W70</f>
        <v>0</v>
      </c>
    </row>
    <row r="85" spans="1:9" ht="20.149999999999999" customHeight="1">
      <c r="A85" s="23">
        <v>16</v>
      </c>
      <c r="B85" s="48" t="s">
        <v>1180</v>
      </c>
      <c r="C85" s="14">
        <f>'data 2021'!Q71</f>
        <v>267382</v>
      </c>
      <c r="D85" s="14">
        <f>'data 2021'!R71</f>
        <v>2330826.2499999995</v>
      </c>
      <c r="E85" s="14">
        <f>'data 2021'!S71</f>
        <v>5269766.42</v>
      </c>
      <c r="F85" s="14">
        <f>'data 2021'!T71</f>
        <v>0</v>
      </c>
      <c r="G85" s="14">
        <f>'data 2021'!U71</f>
        <v>3960054.9299999997</v>
      </c>
      <c r="H85" s="14">
        <f>'data 2021'!V71</f>
        <v>0</v>
      </c>
      <c r="I85" s="14">
        <f>'data 2021'!W71</f>
        <v>304912.74</v>
      </c>
    </row>
    <row r="86" spans="1:9" ht="20.149999999999999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>
      <c r="A87" s="23">
        <v>18</v>
      </c>
      <c r="B87" s="14" t="s">
        <v>1181</v>
      </c>
      <c r="C87" s="48">
        <f>+'data 2021'!M682</f>
        <v>296330</v>
      </c>
      <c r="D87" s="48">
        <f>+'data 2021'!M683</f>
        <v>768358</v>
      </c>
      <c r="E87" s="48">
        <f>+'data 2021'!M684</f>
        <v>2373288</v>
      </c>
      <c r="F87" s="48">
        <f>+'data 2021'!M685</f>
        <v>38168</v>
      </c>
      <c r="G87" s="48">
        <f>+'data 2021'!M686</f>
        <v>1999580</v>
      </c>
      <c r="H87" s="48">
        <f>+'data 2021'!M687</f>
        <v>7178</v>
      </c>
      <c r="I87" s="48">
        <f>+'data 2021'!M688</f>
        <v>134753</v>
      </c>
    </row>
    <row r="88" spans="1:9" ht="20.149999999999999" customHeight="1">
      <c r="A88" s="23">
        <v>19</v>
      </c>
      <c r="B88" s="48" t="s">
        <v>1182</v>
      </c>
      <c r="C88" s="14">
        <f>'data 2021'!Q73</f>
        <v>8381385</v>
      </c>
      <c r="D88" s="14">
        <f>'data 2021'!R73</f>
        <v>2731852</v>
      </c>
      <c r="E88" s="14">
        <f>'data 2021'!S73</f>
        <v>9865455.4700000007</v>
      </c>
      <c r="F88" s="14">
        <f>'data 2021'!T73</f>
        <v>111101</v>
      </c>
      <c r="G88" s="14">
        <f>'data 2021'!U73</f>
        <v>5628077</v>
      </c>
      <c r="H88" s="14">
        <f>'data 2021'!V73</f>
        <v>401084</v>
      </c>
      <c r="I88" s="14">
        <f>'data 2021'!W73</f>
        <v>453094</v>
      </c>
    </row>
    <row r="89" spans="1:9" ht="20.149999999999999" customHeight="1">
      <c r="A89" s="23">
        <v>20</v>
      </c>
      <c r="B89" s="48" t="s">
        <v>1183</v>
      </c>
      <c r="C89" s="14">
        <f>'data 2021'!Q74</f>
        <v>6918690</v>
      </c>
      <c r="D89" s="14">
        <f>'data 2021'!R74</f>
        <v>4302740</v>
      </c>
      <c r="E89" s="14">
        <f>'data 2021'!S74</f>
        <v>38012001.399999999</v>
      </c>
      <c r="F89" s="14">
        <f>'data 2021'!T74</f>
        <v>3446450.2100000004</v>
      </c>
      <c r="G89" s="14">
        <f>'data 2021'!U74</f>
        <v>25751465.379999999</v>
      </c>
      <c r="H89" s="14">
        <f>'data 2021'!V74</f>
        <v>267941</v>
      </c>
      <c r="I89" s="14">
        <f>'data 2021'!W74</f>
        <v>797738</v>
      </c>
    </row>
    <row r="90" spans="1:9" ht="20.149999999999999" customHeight="1">
      <c r="A90" s="23">
        <v>21</v>
      </c>
      <c r="B90" s="48" t="s">
        <v>1184</v>
      </c>
      <c r="C90" s="14">
        <f>'data 2021'!Q75</f>
        <v>15300075</v>
      </c>
      <c r="D90" s="14">
        <f>'data 2021'!R75</f>
        <v>7034592</v>
      </c>
      <c r="E90" s="14">
        <f>'data 2021'!S75</f>
        <v>47877456.869999997</v>
      </c>
      <c r="F90" s="14">
        <f>'data 2021'!T75</f>
        <v>3557551.2100000004</v>
      </c>
      <c r="G90" s="14">
        <f>'data 2021'!U75</f>
        <v>31379542.379999999</v>
      </c>
      <c r="H90" s="14">
        <f>'data 2021'!V75</f>
        <v>669025</v>
      </c>
      <c r="I90" s="14">
        <f>'data 2021'!W75</f>
        <v>1250832</v>
      </c>
    </row>
    <row r="91" spans="1:9" ht="20.149999999999999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>
      <c r="A92" s="23">
        <v>22</v>
      </c>
      <c r="B92" s="14" t="s">
        <v>1186</v>
      </c>
      <c r="C92" s="14">
        <f>'data 2021'!Q76</f>
        <v>0</v>
      </c>
      <c r="D92" s="14">
        <f>'data 2021'!R76</f>
        <v>2950.5</v>
      </c>
      <c r="E92" s="14">
        <f>'data 2021'!S76</f>
        <v>0</v>
      </c>
      <c r="F92" s="14">
        <f>'data 2021'!T76</f>
        <v>0</v>
      </c>
      <c r="G92" s="14">
        <f>'data 2021'!U76</f>
        <v>2744</v>
      </c>
      <c r="H92" s="14">
        <f>'data 2021'!V76</f>
        <v>0</v>
      </c>
      <c r="I92" s="14">
        <f>'data 2021'!W76</f>
        <v>882.23</v>
      </c>
    </row>
    <row r="93" spans="1:9" ht="20.149999999999999" customHeight="1">
      <c r="A93" s="23">
        <v>23</v>
      </c>
      <c r="B93" s="14" t="s">
        <v>1187</v>
      </c>
      <c r="C93" s="14">
        <f>'data 2021'!Q77</f>
        <v>0</v>
      </c>
      <c r="D93" s="14">
        <f>'data 2021'!R77</f>
        <v>0</v>
      </c>
      <c r="E93" s="14">
        <f>'data 2021'!S77</f>
        <v>0</v>
      </c>
      <c r="F93" s="14">
        <f>'data 2021'!T77</f>
        <v>0</v>
      </c>
      <c r="G93" s="14">
        <f>'data 2021'!U77</f>
        <v>0</v>
      </c>
      <c r="H93" s="14">
        <f>'data 2021'!V77</f>
        <v>0</v>
      </c>
      <c r="I93" s="14">
        <f>'data 2021'!W77</f>
        <v>0</v>
      </c>
    </row>
    <row r="94" spans="1:9" ht="20.149999999999999" customHeight="1">
      <c r="A94" s="23">
        <v>24</v>
      </c>
      <c r="B94" s="14" t="s">
        <v>1188</v>
      </c>
      <c r="C94" s="14">
        <f>'data 2021'!Q78</f>
        <v>732</v>
      </c>
      <c r="D94" s="14">
        <f>'data 2021'!R78</f>
        <v>87</v>
      </c>
      <c r="E94" s="14">
        <f>'data 2021'!S78</f>
        <v>736</v>
      </c>
      <c r="F94" s="14">
        <f>'data 2021'!T78</f>
        <v>0</v>
      </c>
      <c r="G94" s="14">
        <f>'data 2021'!U78</f>
        <v>699</v>
      </c>
      <c r="H94" s="14">
        <f>'data 2021'!V78</f>
        <v>0</v>
      </c>
      <c r="I94" s="14">
        <f>'data 2021'!W78</f>
        <v>225</v>
      </c>
    </row>
    <row r="95" spans="1:9" ht="20.149999999999999" customHeight="1">
      <c r="A95" s="23">
        <v>25</v>
      </c>
      <c r="B95" s="14" t="s">
        <v>1189</v>
      </c>
      <c r="C95" s="14">
        <f>'data 2021'!Q79</f>
        <v>0</v>
      </c>
      <c r="D95" s="14">
        <f>'data 2021'!R79</f>
        <v>0</v>
      </c>
      <c r="E95" s="14">
        <f>'data 2021'!S79</f>
        <v>0</v>
      </c>
      <c r="F95" s="14">
        <f>'data 2021'!T79</f>
        <v>0</v>
      </c>
      <c r="G95" s="14">
        <f>'data 2021'!P79</f>
        <v>81551.163241185161</v>
      </c>
      <c r="H95" s="14">
        <f>'data 2021'!V79</f>
        <v>0</v>
      </c>
      <c r="I95" s="14">
        <f>'data 2021'!W79</f>
        <v>4205.2440810950493</v>
      </c>
    </row>
    <row r="96" spans="1:9" ht="20.149999999999999" customHeight="1">
      <c r="A96" s="23">
        <v>26</v>
      </c>
      <c r="B96" s="14" t="s">
        <v>252</v>
      </c>
      <c r="C96" s="84">
        <f>'data 2021'!Q80</f>
        <v>5.38</v>
      </c>
      <c r="D96" s="84">
        <f>'data 2021'!R80</f>
        <v>1.61</v>
      </c>
      <c r="E96" s="84">
        <f>'data 2021'!S80</f>
        <v>7.88</v>
      </c>
      <c r="F96" s="84">
        <f>'data 2021'!T80</f>
        <v>0</v>
      </c>
      <c r="G96" s="84">
        <f>'data 2021'!U80</f>
        <v>16.97</v>
      </c>
      <c r="H96" s="84">
        <f>'data 2021'!V80</f>
        <v>0</v>
      </c>
      <c r="I96" s="84">
        <f>'data 2021'!W80</f>
        <v>1.17</v>
      </c>
    </row>
    <row r="97" spans="1:9" ht="20.149999999999999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>
      <c r="A100" s="79" t="str">
        <f>"HOSPITAL NAME: "&amp;'data 2021'!C84</f>
        <v>HOSPITAL NAME: Capital Medical Center</v>
      </c>
      <c r="B100" s="77"/>
      <c r="C100" s="77"/>
      <c r="D100" s="77"/>
      <c r="E100" s="77"/>
      <c r="F100" s="77"/>
      <c r="G100" s="80"/>
      <c r="H100" s="79" t="str">
        <f>"FYE: "&amp;'data 2021'!C82</f>
        <v>FYE: 12/31/2021</v>
      </c>
    </row>
    <row r="101" spans="1:9" ht="20.149999999999999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>
      <c r="A105" s="23">
        <v>4</v>
      </c>
      <c r="B105" s="14" t="s">
        <v>233</v>
      </c>
      <c r="C105" s="14">
        <f>'data 2021'!X59</f>
        <v>4138</v>
      </c>
      <c r="D105" s="14">
        <f>'data 2021'!Y59</f>
        <v>6391</v>
      </c>
      <c r="E105" s="14">
        <f>'data 2021'!Z59</f>
        <v>3703</v>
      </c>
      <c r="F105" s="14">
        <f>'data 2021'!AA59</f>
        <v>312</v>
      </c>
      <c r="G105" s="212"/>
      <c r="H105" s="14">
        <f>'data 2021'!AC59</f>
        <v>345</v>
      </c>
      <c r="I105" s="14">
        <f>'data 2021'!AD59</f>
        <v>0</v>
      </c>
    </row>
    <row r="106" spans="1:9" ht="20.149999999999999" customHeight="1">
      <c r="A106" s="23">
        <v>5</v>
      </c>
      <c r="B106" s="14" t="s">
        <v>234</v>
      </c>
      <c r="C106" s="26">
        <f>'data 2021'!X60</f>
        <v>7.7456212325430664</v>
      </c>
      <c r="D106" s="26">
        <f>'data 2021'!Y60</f>
        <v>54.408334928315298</v>
      </c>
      <c r="E106" s="26">
        <f>'data 2021'!Z60</f>
        <v>11.571042465008077</v>
      </c>
      <c r="F106" s="26">
        <f>'data 2021'!AA60</f>
        <v>3.0766643833401828</v>
      </c>
      <c r="G106" s="26">
        <f>'data 2021'!AB60</f>
        <v>10.358971916520687</v>
      </c>
      <c r="H106" s="26">
        <f>'data 2021'!AC60</f>
        <v>19.964032875593968</v>
      </c>
      <c r="I106" s="26">
        <f>'data 2021'!AD60</f>
        <v>0</v>
      </c>
    </row>
    <row r="107" spans="1:9" ht="20.149999999999999" customHeight="1">
      <c r="A107" s="23">
        <v>6</v>
      </c>
      <c r="B107" s="14" t="s">
        <v>235</v>
      </c>
      <c r="C107" s="14">
        <f>'data 2021'!X61</f>
        <v>360117.17</v>
      </c>
      <c r="D107" s="14">
        <f>'data 2021'!Y61</f>
        <v>3618673.6100000003</v>
      </c>
      <c r="E107" s="14">
        <f>'data 2021'!Z61</f>
        <v>612258.16999999993</v>
      </c>
      <c r="F107" s="14">
        <f>'data 2021'!AA61</f>
        <v>211584.71000000002</v>
      </c>
      <c r="G107" s="14">
        <f>'data 2021'!AB61</f>
        <v>1390643.09</v>
      </c>
      <c r="H107" s="14">
        <f>'data 2021'!AC61</f>
        <v>1141914.73</v>
      </c>
      <c r="I107" s="14">
        <f>'data 2021'!AD61</f>
        <v>0</v>
      </c>
    </row>
    <row r="108" spans="1:9" ht="20.149999999999999" customHeight="1">
      <c r="A108" s="23">
        <v>7</v>
      </c>
      <c r="B108" s="14" t="s">
        <v>3</v>
      </c>
      <c r="C108" s="14">
        <f>'data 2021'!X62</f>
        <v>43159</v>
      </c>
      <c r="D108" s="14">
        <f>'data 2021'!Y62</f>
        <v>334881</v>
      </c>
      <c r="E108" s="14">
        <f>'data 2021'!Z62</f>
        <v>84950</v>
      </c>
      <c r="F108" s="14">
        <f>'data 2021'!AA62</f>
        <v>22926</v>
      </c>
      <c r="G108" s="14">
        <f>'data 2021'!AB62</f>
        <v>158987</v>
      </c>
      <c r="H108" s="14">
        <f>'data 2021'!AC62</f>
        <v>128307</v>
      </c>
      <c r="I108" s="14">
        <f>'data 2021'!AD62</f>
        <v>0</v>
      </c>
    </row>
    <row r="109" spans="1:9" ht="20.149999999999999" customHeight="1">
      <c r="A109" s="23">
        <v>8</v>
      </c>
      <c r="B109" s="14" t="s">
        <v>236</v>
      </c>
      <c r="C109" s="14">
        <f>'data 2021'!X63</f>
        <v>0</v>
      </c>
      <c r="D109" s="14">
        <f>'data 2021'!Y63</f>
        <v>495808.32000000007</v>
      </c>
      <c r="E109" s="14">
        <f>'data 2021'!Z63</f>
        <v>53101</v>
      </c>
      <c r="F109" s="14">
        <f>'data 2021'!AA63</f>
        <v>8972</v>
      </c>
      <c r="G109" s="14">
        <f>'data 2021'!AB63</f>
        <v>0</v>
      </c>
      <c r="H109" s="14">
        <f>'data 2021'!AC63</f>
        <v>30036</v>
      </c>
      <c r="I109" s="14">
        <f>'data 2021'!AD63</f>
        <v>0</v>
      </c>
    </row>
    <row r="110" spans="1:9" ht="20.149999999999999" customHeight="1">
      <c r="A110" s="23">
        <v>9</v>
      </c>
      <c r="B110" s="14" t="s">
        <v>237</v>
      </c>
      <c r="C110" s="14">
        <f>'data 2021'!X64</f>
        <v>61781.63</v>
      </c>
      <c r="D110" s="14">
        <f>'data 2021'!Y64</f>
        <v>278910.7</v>
      </c>
      <c r="E110" s="14">
        <f>'data 2021'!Z64</f>
        <v>223700.44999999998</v>
      </c>
      <c r="F110" s="14">
        <f>'data 2021'!AA64</f>
        <v>78039.760000000009</v>
      </c>
      <c r="G110" s="14">
        <f>'data 2021'!AB64</f>
        <v>2478324.1799999997</v>
      </c>
      <c r="H110" s="14">
        <f>'data 2021'!AC64</f>
        <v>235941.59</v>
      </c>
      <c r="I110" s="14">
        <f>'data 2021'!AD64</f>
        <v>0</v>
      </c>
    </row>
    <row r="111" spans="1:9" ht="20.149999999999999" customHeight="1">
      <c r="A111" s="23">
        <v>10</v>
      </c>
      <c r="B111" s="14" t="s">
        <v>444</v>
      </c>
      <c r="C111" s="14">
        <f>'data 2021'!X65</f>
        <v>1087</v>
      </c>
      <c r="D111" s="14">
        <f>'data 2021'!Y65</f>
        <v>0</v>
      </c>
      <c r="E111" s="14">
        <f>'data 2021'!Z65</f>
        <v>0</v>
      </c>
      <c r="F111" s="14">
        <f>'data 2021'!AA65</f>
        <v>0</v>
      </c>
      <c r="G111" s="14">
        <f>'data 2021'!AB65</f>
        <v>0</v>
      </c>
      <c r="H111" s="14">
        <f>'data 2021'!AC65</f>
        <v>0</v>
      </c>
      <c r="I111" s="14">
        <f>'data 2021'!AD65</f>
        <v>0</v>
      </c>
    </row>
    <row r="112" spans="1:9" ht="20.149999999999999" customHeight="1">
      <c r="A112" s="23">
        <v>11</v>
      </c>
      <c r="B112" s="14" t="s">
        <v>445</v>
      </c>
      <c r="C112" s="14">
        <f>'data 2021'!X66</f>
        <v>172841.12</v>
      </c>
      <c r="D112" s="14">
        <f>'data 2021'!Y66</f>
        <v>457391.57</v>
      </c>
      <c r="E112" s="14">
        <f>'data 2021'!Z66</f>
        <v>657516.98</v>
      </c>
      <c r="F112" s="14">
        <f>'data 2021'!AA66</f>
        <v>336083.81</v>
      </c>
      <c r="G112" s="14">
        <f>'data 2021'!AB66</f>
        <v>59538.74</v>
      </c>
      <c r="H112" s="14">
        <f>'data 2021'!AC66</f>
        <v>44032.12</v>
      </c>
      <c r="I112" s="14">
        <f>'data 2021'!AD66</f>
        <v>0</v>
      </c>
    </row>
    <row r="113" spans="1:9" ht="20.149999999999999" customHeight="1">
      <c r="A113" s="23">
        <v>12</v>
      </c>
      <c r="B113" s="14" t="s">
        <v>6</v>
      </c>
      <c r="C113" s="14">
        <f>'data 2021'!X67</f>
        <v>110327</v>
      </c>
      <c r="D113" s="14">
        <f>'data 2021'!Y67</f>
        <v>0</v>
      </c>
      <c r="E113" s="14">
        <f>'data 2021'!Z67</f>
        <v>0</v>
      </c>
      <c r="F113" s="14">
        <f>'data 2021'!AA67</f>
        <v>5538</v>
      </c>
      <c r="G113" s="14">
        <f>'data 2021'!AB67</f>
        <v>0</v>
      </c>
      <c r="H113" s="14">
        <f>'data 2021'!AC67</f>
        <v>0</v>
      </c>
      <c r="I113" s="14">
        <f>'data 2021'!AD67</f>
        <v>8330</v>
      </c>
    </row>
    <row r="114" spans="1:9" ht="20.149999999999999" customHeight="1">
      <c r="A114" s="23">
        <v>13</v>
      </c>
      <c r="B114" s="14" t="s">
        <v>474</v>
      </c>
      <c r="C114" s="14">
        <f>'data 2021'!X68</f>
        <v>153842</v>
      </c>
      <c r="D114" s="14">
        <f>'data 2021'!Y68</f>
        <v>79229.960000000021</v>
      </c>
      <c r="E114" s="14">
        <f>'data 2021'!Z68</f>
        <v>232</v>
      </c>
      <c r="F114" s="14">
        <f>'data 2021'!AA68</f>
        <v>0</v>
      </c>
      <c r="G114" s="14">
        <f>'data 2021'!AB68</f>
        <v>170676.1</v>
      </c>
      <c r="H114" s="14">
        <f>'data 2021'!AC68</f>
        <v>128215</v>
      </c>
      <c r="I114" s="14">
        <f>'data 2021'!AD68</f>
        <v>0</v>
      </c>
    </row>
    <row r="115" spans="1:9" ht="20.149999999999999" customHeight="1">
      <c r="A115" s="23">
        <v>14</v>
      </c>
      <c r="B115" s="14" t="s">
        <v>241</v>
      </c>
      <c r="C115" s="14">
        <f>'data 2021'!X69</f>
        <v>69170</v>
      </c>
      <c r="D115" s="14">
        <f>'data 2021'!Y69</f>
        <v>619627.18999999994</v>
      </c>
      <c r="E115" s="14">
        <f>'data 2021'!Z69</f>
        <v>88561.4</v>
      </c>
      <c r="F115" s="14">
        <f>'data 2021'!AA69</f>
        <v>15185.42</v>
      </c>
      <c r="G115" s="14">
        <f>'data 2021'!AB69</f>
        <v>40725.56</v>
      </c>
      <c r="H115" s="14">
        <f>'data 2021'!AC69</f>
        <v>10931.99</v>
      </c>
      <c r="I115" s="14">
        <f>'data 2021'!AD69</f>
        <v>0</v>
      </c>
    </row>
    <row r="116" spans="1:9" ht="20.149999999999999" customHeight="1">
      <c r="A116" s="23">
        <v>15</v>
      </c>
      <c r="B116" s="14" t="s">
        <v>242</v>
      </c>
      <c r="C116" s="14">
        <f>-'data 2021'!X70</f>
        <v>0</v>
      </c>
      <c r="D116" s="14">
        <f>-'data 2021'!Y70</f>
        <v>-12367.32</v>
      </c>
      <c r="E116" s="14">
        <f>-'data 2021'!Z70</f>
        <v>0</v>
      </c>
      <c r="F116" s="14">
        <f>-'data 2021'!AA70</f>
        <v>0</v>
      </c>
      <c r="G116" s="14">
        <f>-'data 2021'!AB70</f>
        <v>-43959.71</v>
      </c>
      <c r="H116" s="14">
        <f>-'data 2021'!AC70</f>
        <v>-9788.64</v>
      </c>
      <c r="I116" s="14">
        <f>-'data 2021'!AD70</f>
        <v>0</v>
      </c>
    </row>
    <row r="117" spans="1:9" ht="20.149999999999999" customHeight="1">
      <c r="A117" s="23">
        <v>16</v>
      </c>
      <c r="B117" s="48" t="s">
        <v>1180</v>
      </c>
      <c r="C117" s="14">
        <f>'data 2021'!X71</f>
        <v>972324.91999999993</v>
      </c>
      <c r="D117" s="14">
        <f>'data 2021'!Y71</f>
        <v>5872155.0300000012</v>
      </c>
      <c r="E117" s="14">
        <f>'data 2021'!Z71</f>
        <v>1720319.9999999998</v>
      </c>
      <c r="F117" s="14">
        <f>'data 2021'!AA71</f>
        <v>678329.70000000007</v>
      </c>
      <c r="G117" s="14">
        <f>'data 2021'!AB71</f>
        <v>4254934.959999999</v>
      </c>
      <c r="H117" s="14">
        <f>'data 2021'!AC71</f>
        <v>1709589.7900000003</v>
      </c>
      <c r="I117" s="14">
        <f>'data 2021'!AD71</f>
        <v>8330</v>
      </c>
    </row>
    <row r="118" spans="1:9" ht="20.149999999999999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>
      <c r="A119" s="23">
        <v>18</v>
      </c>
      <c r="B119" s="14" t="s">
        <v>1181</v>
      </c>
      <c r="C119" s="48">
        <f>+'data 2021'!M689</f>
        <v>699919</v>
      </c>
      <c r="D119" s="48">
        <f>+'data 2021'!M690</f>
        <v>2604949</v>
      </c>
      <c r="E119" s="48">
        <f>+'data 2021'!M691</f>
        <v>663982</v>
      </c>
      <c r="F119" s="48">
        <f>+'data 2021'!M692</f>
        <v>390533</v>
      </c>
      <c r="G119" s="48">
        <f>+'data 2021'!M693</f>
        <v>1993798</v>
      </c>
      <c r="H119" s="48">
        <f>+'data 2021'!M694</f>
        <v>672449</v>
      </c>
      <c r="I119" s="48">
        <f>+'data 2021'!M695</f>
        <v>1678</v>
      </c>
    </row>
    <row r="120" spans="1:9" ht="20.149999999999999" customHeight="1">
      <c r="A120" s="23">
        <v>19</v>
      </c>
      <c r="B120" s="48" t="s">
        <v>1182</v>
      </c>
      <c r="C120" s="14">
        <f>'data 2021'!X73</f>
        <v>4245533</v>
      </c>
      <c r="D120" s="14">
        <f>'data 2021'!Y73</f>
        <v>4076745</v>
      </c>
      <c r="E120" s="14">
        <f>'data 2021'!Z73</f>
        <v>29791</v>
      </c>
      <c r="F120" s="14">
        <f>'data 2021'!AA73</f>
        <v>214324</v>
      </c>
      <c r="G120" s="14">
        <f>'data 2021'!AB73</f>
        <v>2822175</v>
      </c>
      <c r="H120" s="14">
        <f>'data 2021'!AC73</f>
        <v>1490751</v>
      </c>
      <c r="I120" s="14">
        <f>'data 2021'!AD73</f>
        <v>0</v>
      </c>
    </row>
    <row r="121" spans="1:9" ht="20.149999999999999" customHeight="1">
      <c r="A121" s="23">
        <v>20</v>
      </c>
      <c r="B121" s="48" t="s">
        <v>1183</v>
      </c>
      <c r="C121" s="14">
        <f>'data 2021'!X74</f>
        <v>26131419.800000001</v>
      </c>
      <c r="D121" s="14">
        <f>'data 2021'!Y74</f>
        <v>8666802</v>
      </c>
      <c r="E121" s="14">
        <f>'data 2021'!Z74</f>
        <v>9898409</v>
      </c>
      <c r="F121" s="14">
        <f>'data 2021'!AA74</f>
        <v>719151</v>
      </c>
      <c r="G121" s="14">
        <f>'data 2021'!AB74</f>
        <v>2065009</v>
      </c>
      <c r="H121" s="14">
        <f>'data 2021'!AC74</f>
        <v>1117497</v>
      </c>
      <c r="I121" s="14">
        <f>'data 2021'!AD74</f>
        <v>0</v>
      </c>
    </row>
    <row r="122" spans="1:9" ht="20.149999999999999" customHeight="1">
      <c r="A122" s="23">
        <v>21</v>
      </c>
      <c r="B122" s="48" t="s">
        <v>1184</v>
      </c>
      <c r="C122" s="14">
        <f>'data 2021'!X75</f>
        <v>30376952.800000001</v>
      </c>
      <c r="D122" s="14">
        <f>'data 2021'!Y75</f>
        <v>12743547</v>
      </c>
      <c r="E122" s="14">
        <f>'data 2021'!Z75</f>
        <v>9928200</v>
      </c>
      <c r="F122" s="14">
        <f>'data 2021'!AA75</f>
        <v>933475</v>
      </c>
      <c r="G122" s="14">
        <f>'data 2021'!AB75</f>
        <v>4887184</v>
      </c>
      <c r="H122" s="14">
        <f>'data 2021'!AC75</f>
        <v>2608248</v>
      </c>
      <c r="I122" s="14">
        <f>'data 2021'!AD75</f>
        <v>0</v>
      </c>
    </row>
    <row r="123" spans="1:9" ht="20.149999999999999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>
      <c r="A124" s="23">
        <v>22</v>
      </c>
      <c r="B124" s="14" t="s">
        <v>1186</v>
      </c>
      <c r="C124" s="14">
        <f>'data 2021'!X76</f>
        <v>949.5</v>
      </c>
      <c r="D124" s="14">
        <f>'data 2021'!Y76</f>
        <v>19407</v>
      </c>
      <c r="E124" s="14">
        <f>'data 2021'!Z76</f>
        <v>364</v>
      </c>
      <c r="F124" s="14">
        <f>'data 2021'!AA76</f>
        <v>5034</v>
      </c>
      <c r="G124" s="14">
        <f>'data 2021'!AB76</f>
        <v>1257.58</v>
      </c>
      <c r="H124" s="14">
        <f>'data 2021'!AC76</f>
        <v>1701</v>
      </c>
      <c r="I124" s="14">
        <f>'data 2021'!AD76</f>
        <v>0</v>
      </c>
    </row>
    <row r="125" spans="1:9" ht="20.149999999999999" customHeight="1">
      <c r="A125" s="23">
        <v>23</v>
      </c>
      <c r="B125" s="14" t="s">
        <v>1187</v>
      </c>
      <c r="C125" s="14">
        <f>'data 2021'!X77</f>
        <v>0</v>
      </c>
      <c r="D125" s="14">
        <f>'data 2021'!Y77</f>
        <v>0</v>
      </c>
      <c r="E125" s="14">
        <f>'data 2021'!Z77</f>
        <v>0</v>
      </c>
      <c r="F125" s="14">
        <f>'data 2021'!AA77</f>
        <v>0</v>
      </c>
      <c r="G125" s="14">
        <f>'data 2021'!AB77</f>
        <v>0</v>
      </c>
      <c r="H125" s="14">
        <f>'data 2021'!AC77</f>
        <v>0</v>
      </c>
      <c r="I125" s="14">
        <f>'data 2021'!AD77</f>
        <v>0</v>
      </c>
    </row>
    <row r="126" spans="1:9" ht="20.149999999999999" customHeight="1">
      <c r="A126" s="23">
        <v>24</v>
      </c>
      <c r="B126" s="14" t="s">
        <v>1188</v>
      </c>
      <c r="C126" s="14">
        <f>'data 2021'!X78</f>
        <v>1525</v>
      </c>
      <c r="D126" s="14">
        <f>'data 2021'!Y78</f>
        <v>3584</v>
      </c>
      <c r="E126" s="14">
        <f>'data 2021'!Z78</f>
        <v>1283</v>
      </c>
      <c r="F126" s="14">
        <f>'data 2021'!AA78</f>
        <v>93</v>
      </c>
      <c r="G126" s="14">
        <f>'data 2021'!AB78</f>
        <v>321</v>
      </c>
      <c r="H126" s="14">
        <f>'data 2021'!AC78</f>
        <v>1079</v>
      </c>
      <c r="I126" s="14">
        <f>'data 2021'!AD78</f>
        <v>0</v>
      </c>
    </row>
    <row r="127" spans="1:9" ht="20.149999999999999" customHeight="1">
      <c r="A127" s="23">
        <v>25</v>
      </c>
      <c r="B127" s="14" t="s">
        <v>1189</v>
      </c>
      <c r="C127" s="14">
        <f>'data 2021'!X79</f>
        <v>6317.486659703035</v>
      </c>
      <c r="D127" s="14">
        <f>'data 2021'!Y79</f>
        <v>37030.519943389598</v>
      </c>
      <c r="E127" s="14">
        <f>'data 2021'!Z79</f>
        <v>0</v>
      </c>
      <c r="F127" s="14">
        <f>'data 2021'!AA79</f>
        <v>1244.2562558196842</v>
      </c>
      <c r="G127" s="14">
        <f>'data 2021'!AB79</f>
        <v>11405.682345013771</v>
      </c>
      <c r="H127" s="14">
        <f>'data 2021'!AC79</f>
        <v>2553.7183807158294</v>
      </c>
      <c r="I127" s="14">
        <f>'data 2021'!AD79</f>
        <v>0</v>
      </c>
    </row>
    <row r="128" spans="1:9" ht="20.149999999999999" customHeight="1">
      <c r="A128" s="23">
        <v>26</v>
      </c>
      <c r="B128" s="14" t="s">
        <v>252</v>
      </c>
      <c r="C128" s="26">
        <f>'data 2021'!X80</f>
        <v>5.26</v>
      </c>
      <c r="D128" s="26">
        <f>'data 2021'!Y80</f>
        <v>21.88</v>
      </c>
      <c r="E128" s="26">
        <f>'data 2021'!Z80</f>
        <v>5.54</v>
      </c>
      <c r="F128" s="26">
        <f>'data 2021'!AA80</f>
        <v>1.1299999999999999</v>
      </c>
      <c r="G128" s="26">
        <f>'data 2021'!AB80</f>
        <v>10.87</v>
      </c>
      <c r="H128" s="26">
        <f>'data 2021'!AC80</f>
        <v>10.07</v>
      </c>
      <c r="I128" s="26">
        <f>'data 2021'!AD80</f>
        <v>0</v>
      </c>
    </row>
    <row r="129" spans="1:9" ht="20.149999999999999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>
      <c r="A132" s="79" t="str">
        <f>"HOSPITAL NAME: "&amp;'data 2021'!C84</f>
        <v>HOSPITAL NAME: Capital Medical Center</v>
      </c>
      <c r="B132" s="77"/>
      <c r="C132" s="77"/>
      <c r="D132" s="77"/>
      <c r="E132" s="77"/>
      <c r="F132" s="77"/>
      <c r="G132" s="80"/>
      <c r="H132" s="79" t="str">
        <f>"FYE: "&amp;'data 2021'!C82</f>
        <v>FYE: 12/31/2021</v>
      </c>
    </row>
    <row r="133" spans="1:9" ht="20.149999999999999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>
      <c r="A137" s="23">
        <v>4</v>
      </c>
      <c r="B137" s="14" t="s">
        <v>233</v>
      </c>
      <c r="C137" s="14">
        <f>'data 2021'!AE59</f>
        <v>4743</v>
      </c>
      <c r="D137" s="14">
        <f>'data 2021'!AF59</f>
        <v>0</v>
      </c>
      <c r="E137" s="14">
        <f>'data 2021'!AG59</f>
        <v>3556</v>
      </c>
      <c r="F137" s="14">
        <f>'data 2021'!AH59</f>
        <v>0</v>
      </c>
      <c r="G137" s="14">
        <f>'data 2021'!AI59</f>
        <v>1967</v>
      </c>
      <c r="H137" s="14">
        <f>'data 2021'!AJ59</f>
        <v>0</v>
      </c>
      <c r="I137" s="14">
        <f>'data 2021'!AK59</f>
        <v>957</v>
      </c>
    </row>
    <row r="138" spans="1:9" ht="20.149999999999999" customHeight="1">
      <c r="A138" s="23">
        <v>5</v>
      </c>
      <c r="B138" s="14" t="s">
        <v>234</v>
      </c>
      <c r="C138" s="26">
        <f>'data 2021'!AE60</f>
        <v>15.020234930557503</v>
      </c>
      <c r="D138" s="26">
        <f>'data 2021'!AF60</f>
        <v>0</v>
      </c>
      <c r="E138" s="26">
        <f>'data 2021'!AG60</f>
        <v>41.871262326013522</v>
      </c>
      <c r="F138" s="26">
        <f>'data 2021'!AH60</f>
        <v>0</v>
      </c>
      <c r="G138" s="26">
        <f>'data 2021'!AI60</f>
        <v>31.639090409212454</v>
      </c>
      <c r="H138" s="26">
        <f>'data 2021'!AJ60</f>
        <v>2.3019356161230222</v>
      </c>
      <c r="I138" s="26">
        <f>'data 2021'!AK60</f>
        <v>1.5679527396400066</v>
      </c>
    </row>
    <row r="139" spans="1:9" ht="20.149999999999999" customHeight="1">
      <c r="A139" s="23">
        <v>6</v>
      </c>
      <c r="B139" s="14" t="s">
        <v>235</v>
      </c>
      <c r="C139" s="14">
        <f>'data 2021'!AE61</f>
        <v>703926.62</v>
      </c>
      <c r="D139" s="14">
        <f>'data 2021'!AF61</f>
        <v>0</v>
      </c>
      <c r="E139" s="14">
        <f>'data 2021'!AG61</f>
        <v>3579672.76</v>
      </c>
      <c r="F139" s="14">
        <f>'data 2021'!AH61</f>
        <v>0</v>
      </c>
      <c r="G139" s="14">
        <f>'data 2021'!AI61</f>
        <v>1952100.0299999998</v>
      </c>
      <c r="H139" s="14">
        <f>'data 2021'!AJ61</f>
        <v>208731.87</v>
      </c>
      <c r="I139" s="14">
        <f>'data 2021'!AK61</f>
        <v>99681.72</v>
      </c>
    </row>
    <row r="140" spans="1:9" ht="20.149999999999999" customHeight="1">
      <c r="A140" s="23">
        <v>7</v>
      </c>
      <c r="B140" s="14" t="s">
        <v>3</v>
      </c>
      <c r="C140" s="14">
        <f>'data 2021'!AE62</f>
        <v>101892</v>
      </c>
      <c r="D140" s="14">
        <f>'data 2021'!AF62</f>
        <v>0</v>
      </c>
      <c r="E140" s="14">
        <f>'data 2021'!AG62</f>
        <v>354941</v>
      </c>
      <c r="F140" s="14">
        <f>'data 2021'!AH62</f>
        <v>0</v>
      </c>
      <c r="G140" s="14">
        <f>'data 2021'!AI62</f>
        <v>215882</v>
      </c>
      <c r="H140" s="14">
        <f>'data 2021'!AJ62</f>
        <v>32345</v>
      </c>
      <c r="I140" s="14">
        <f>'data 2021'!AK62</f>
        <v>12386</v>
      </c>
    </row>
    <row r="141" spans="1:9" ht="20.149999999999999" customHeight="1">
      <c r="A141" s="23">
        <v>8</v>
      </c>
      <c r="B141" s="14" t="s">
        <v>236</v>
      </c>
      <c r="C141" s="14">
        <f>'data 2021'!AE63</f>
        <v>0</v>
      </c>
      <c r="D141" s="14">
        <f>'data 2021'!AF63</f>
        <v>0</v>
      </c>
      <c r="E141" s="14">
        <f>'data 2021'!AG63</f>
        <v>217274.30000000002</v>
      </c>
      <c r="F141" s="14">
        <f>'data 2021'!AH63</f>
        <v>0</v>
      </c>
      <c r="G141" s="14">
        <f>'data 2021'!AI63</f>
        <v>0</v>
      </c>
      <c r="H141" s="14">
        <f>'data 2021'!AJ63</f>
        <v>0</v>
      </c>
      <c r="I141" s="14">
        <f>'data 2021'!AK63</f>
        <v>0</v>
      </c>
    </row>
    <row r="142" spans="1:9" ht="20.149999999999999" customHeight="1">
      <c r="A142" s="23">
        <v>9</v>
      </c>
      <c r="B142" s="14" t="s">
        <v>237</v>
      </c>
      <c r="C142" s="14">
        <f>'data 2021'!AE64</f>
        <v>21000.36</v>
      </c>
      <c r="D142" s="14">
        <f>'data 2021'!AF64</f>
        <v>0</v>
      </c>
      <c r="E142" s="14">
        <f>'data 2021'!AG64</f>
        <v>371528.7</v>
      </c>
      <c r="F142" s="14">
        <f>'data 2021'!AH64</f>
        <v>0</v>
      </c>
      <c r="G142" s="14">
        <f>'data 2021'!AI64</f>
        <v>332035.65999999997</v>
      </c>
      <c r="H142" s="14">
        <f>'data 2021'!AJ64</f>
        <v>20922.8</v>
      </c>
      <c r="I142" s="14">
        <f>'data 2021'!AK64</f>
        <v>1414.66</v>
      </c>
    </row>
    <row r="143" spans="1:9" ht="20.149999999999999" customHeight="1">
      <c r="A143" s="23">
        <v>10</v>
      </c>
      <c r="B143" s="14" t="s">
        <v>444</v>
      </c>
      <c r="C143" s="14">
        <f>'data 2021'!AE65</f>
        <v>2455.0100000000002</v>
      </c>
      <c r="D143" s="14">
        <f>'data 2021'!AF65</f>
        <v>0</v>
      </c>
      <c r="E143" s="14">
        <f>'data 2021'!AG65</f>
        <v>0</v>
      </c>
      <c r="F143" s="14">
        <f>'data 2021'!AH65</f>
        <v>0</v>
      </c>
      <c r="G143" s="14">
        <f>'data 2021'!AI65</f>
        <v>0</v>
      </c>
      <c r="H143" s="14">
        <f>'data 2021'!AJ65</f>
        <v>3217.07</v>
      </c>
      <c r="I143" s="14">
        <f>'data 2021'!AK65</f>
        <v>124.52</v>
      </c>
    </row>
    <row r="144" spans="1:9" ht="20.149999999999999" customHeight="1">
      <c r="A144" s="23">
        <v>11</v>
      </c>
      <c r="B144" s="14" t="s">
        <v>445</v>
      </c>
      <c r="C144" s="14">
        <f>'data 2021'!AE66</f>
        <v>10863.029999999999</v>
      </c>
      <c r="D144" s="14">
        <f>'data 2021'!AF66</f>
        <v>0</v>
      </c>
      <c r="E144" s="14">
        <f>'data 2021'!AG66</f>
        <v>270678.79000000004</v>
      </c>
      <c r="F144" s="14">
        <f>'data 2021'!AH66</f>
        <v>0</v>
      </c>
      <c r="G144" s="14">
        <f>'data 2021'!AI66</f>
        <v>9176.41</v>
      </c>
      <c r="H144" s="14">
        <f>'data 2021'!AJ66</f>
        <v>164815.19</v>
      </c>
      <c r="I144" s="14">
        <f>'data 2021'!AK66</f>
        <v>3.04</v>
      </c>
    </row>
    <row r="145" spans="1:9" ht="20.149999999999999" customHeight="1">
      <c r="A145" s="23">
        <v>12</v>
      </c>
      <c r="B145" s="14" t="s">
        <v>6</v>
      </c>
      <c r="C145" s="14">
        <f>'data 2021'!AE67</f>
        <v>0</v>
      </c>
      <c r="D145" s="14">
        <f>'data 2021'!AF67</f>
        <v>0</v>
      </c>
      <c r="E145" s="14">
        <f>'data 2021'!AG67</f>
        <v>10710</v>
      </c>
      <c r="F145" s="14">
        <f>'data 2021'!AH67</f>
        <v>0</v>
      </c>
      <c r="G145" s="14">
        <f>'data 2021'!AI67</f>
        <v>0</v>
      </c>
      <c r="H145" s="14">
        <f>'data 2021'!AJ67</f>
        <v>2553468</v>
      </c>
      <c r="I145" s="14">
        <f>'data 2021'!AK67</f>
        <v>0</v>
      </c>
    </row>
    <row r="146" spans="1:9" ht="20.149999999999999" customHeight="1">
      <c r="A146" s="23">
        <v>13</v>
      </c>
      <c r="B146" s="14" t="s">
        <v>474</v>
      </c>
      <c r="C146" s="14">
        <f>'data 2021'!AE68</f>
        <v>23095.01</v>
      </c>
      <c r="D146" s="14">
        <f>'data 2021'!AF68</f>
        <v>0</v>
      </c>
      <c r="E146" s="14">
        <f>'data 2021'!AG68</f>
        <v>1089</v>
      </c>
      <c r="F146" s="14">
        <f>'data 2021'!AH68</f>
        <v>0</v>
      </c>
      <c r="G146" s="14">
        <f>'data 2021'!AI68</f>
        <v>1</v>
      </c>
      <c r="H146" s="14">
        <f>'data 2021'!AJ68</f>
        <v>1485.41</v>
      </c>
      <c r="I146" s="14">
        <f>'data 2021'!AK68</f>
        <v>1</v>
      </c>
    </row>
    <row r="147" spans="1:9" ht="20.149999999999999" customHeight="1">
      <c r="A147" s="23">
        <v>14</v>
      </c>
      <c r="B147" s="14" t="s">
        <v>241</v>
      </c>
      <c r="C147" s="14">
        <f>'data 2021'!AE69</f>
        <v>32741.48</v>
      </c>
      <c r="D147" s="14">
        <f>'data 2021'!AF69</f>
        <v>0</v>
      </c>
      <c r="E147" s="14">
        <f>'data 2021'!AG69</f>
        <v>472346.12</v>
      </c>
      <c r="F147" s="14">
        <f>'data 2021'!AH69</f>
        <v>0</v>
      </c>
      <c r="G147" s="14">
        <f>'data 2021'!AI69</f>
        <v>54874.670000000006</v>
      </c>
      <c r="H147" s="14">
        <f>'data 2021'!AJ69</f>
        <v>0</v>
      </c>
      <c r="I147" s="14">
        <f>'data 2021'!AK69</f>
        <v>11471.51</v>
      </c>
    </row>
    <row r="148" spans="1:9" ht="20.149999999999999" customHeight="1">
      <c r="A148" s="23">
        <v>15</v>
      </c>
      <c r="B148" s="14" t="s">
        <v>242</v>
      </c>
      <c r="C148" s="14">
        <f>-'data 2021'!AE70</f>
        <v>-10269.219999999999</v>
      </c>
      <c r="D148" s="14">
        <f>-'data 2021'!AF70</f>
        <v>0</v>
      </c>
      <c r="E148" s="14">
        <f>-'data 2021'!AG70</f>
        <v>13220</v>
      </c>
      <c r="F148" s="14">
        <f>-'data 2021'!AH70</f>
        <v>0</v>
      </c>
      <c r="G148" s="14">
        <f>-'data 2021'!AI70</f>
        <v>0</v>
      </c>
      <c r="H148" s="14">
        <f>-'data 2021'!AJ70</f>
        <v>0</v>
      </c>
      <c r="I148" s="14">
        <f>-'data 2021'!AK70</f>
        <v>0</v>
      </c>
    </row>
    <row r="149" spans="1:9" ht="20.149999999999999" customHeight="1">
      <c r="A149" s="23">
        <v>16</v>
      </c>
      <c r="B149" s="48" t="s">
        <v>1180</v>
      </c>
      <c r="C149" s="14">
        <f>'data 2021'!AE71</f>
        <v>885704.29</v>
      </c>
      <c r="D149" s="14">
        <f>'data 2021'!AF71</f>
        <v>0</v>
      </c>
      <c r="E149" s="14">
        <f>'data 2021'!AG71</f>
        <v>5291460.67</v>
      </c>
      <c r="F149" s="14">
        <f>'data 2021'!AH71</f>
        <v>0</v>
      </c>
      <c r="G149" s="14">
        <f>'data 2021'!AI71</f>
        <v>2564069.77</v>
      </c>
      <c r="H149" s="14">
        <f>'data 2021'!AJ71</f>
        <v>2984985.3400000003</v>
      </c>
      <c r="I149" s="14">
        <f>'data 2021'!AK71</f>
        <v>125082.45</v>
      </c>
    </row>
    <row r="150" spans="1:9" ht="20.149999999999999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>
      <c r="A151" s="23">
        <v>18</v>
      </c>
      <c r="B151" s="14" t="s">
        <v>1181</v>
      </c>
      <c r="C151" s="48">
        <f>+'data 2021'!M696</f>
        <v>481480</v>
      </c>
      <c r="D151" s="48">
        <f>+'data 2021'!M697</f>
        <v>0</v>
      </c>
      <c r="E151" s="48">
        <f>+'data 2021'!M698</f>
        <v>1841854</v>
      </c>
      <c r="F151" s="48">
        <f>+'data 2021'!M699</f>
        <v>0</v>
      </c>
      <c r="G151" s="48">
        <f>+'data 2021'!M700</f>
        <v>899042</v>
      </c>
      <c r="H151" s="48">
        <f>+'data 2021'!M701</f>
        <v>614750</v>
      </c>
      <c r="I151" s="48">
        <f>+'data 2021'!M702</f>
        <v>35253</v>
      </c>
    </row>
    <row r="152" spans="1:9" ht="20.149999999999999" customHeight="1">
      <c r="A152" s="23">
        <v>19</v>
      </c>
      <c r="B152" s="48" t="s">
        <v>1182</v>
      </c>
      <c r="C152" s="14">
        <f>'data 2021'!AE73</f>
        <v>365644</v>
      </c>
      <c r="D152" s="14">
        <f>'data 2021'!AF73</f>
        <v>0</v>
      </c>
      <c r="E152" s="14">
        <f>'data 2021'!AG73</f>
        <v>2335409</v>
      </c>
      <c r="F152" s="14">
        <f>'data 2021'!AH73</f>
        <v>0</v>
      </c>
      <c r="G152" s="14">
        <f>'data 2021'!AI73</f>
        <v>353987</v>
      </c>
      <c r="H152" s="14">
        <f>'data 2021'!AJ73</f>
        <v>0</v>
      </c>
      <c r="I152" s="14">
        <f>'data 2021'!AK73</f>
        <v>97840</v>
      </c>
    </row>
    <row r="153" spans="1:9" ht="20.149999999999999" customHeight="1">
      <c r="A153" s="23">
        <v>20</v>
      </c>
      <c r="B153" s="48" t="s">
        <v>1183</v>
      </c>
      <c r="C153" s="14">
        <f>'data 2021'!AE74</f>
        <v>573771</v>
      </c>
      <c r="D153" s="14">
        <f>'data 2021'!AF74</f>
        <v>0</v>
      </c>
      <c r="E153" s="14">
        <f>'data 2021'!AG74</f>
        <v>9352011</v>
      </c>
      <c r="F153" s="14">
        <f>'data 2021'!AH74</f>
        <v>0</v>
      </c>
      <c r="G153" s="14">
        <f>'data 2021'!AI74</f>
        <v>1899216</v>
      </c>
      <c r="H153" s="14">
        <f>'data 2021'!AJ74</f>
        <v>0</v>
      </c>
      <c r="I153" s="14">
        <f>'data 2021'!AK74</f>
        <v>166673</v>
      </c>
    </row>
    <row r="154" spans="1:9" ht="20.149999999999999" customHeight="1">
      <c r="A154" s="23">
        <v>21</v>
      </c>
      <c r="B154" s="48" t="s">
        <v>1184</v>
      </c>
      <c r="C154" s="14">
        <f>'data 2021'!AE75</f>
        <v>939415</v>
      </c>
      <c r="D154" s="14">
        <f>'data 2021'!AF75</f>
        <v>0</v>
      </c>
      <c r="E154" s="14">
        <f>'data 2021'!AG75</f>
        <v>11687420</v>
      </c>
      <c r="F154" s="14">
        <f>'data 2021'!AH75</f>
        <v>0</v>
      </c>
      <c r="G154" s="14">
        <f>'data 2021'!AI75</f>
        <v>2253203</v>
      </c>
      <c r="H154" s="14">
        <f>'data 2021'!AJ75</f>
        <v>0</v>
      </c>
      <c r="I154" s="14">
        <f>'data 2021'!AK75</f>
        <v>264513</v>
      </c>
    </row>
    <row r="155" spans="1:9" ht="20.149999999999999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>
      <c r="A156" s="23">
        <v>22</v>
      </c>
      <c r="B156" s="14" t="s">
        <v>1186</v>
      </c>
      <c r="C156" s="14">
        <f>'data 2021'!AE76</f>
        <v>4212.51</v>
      </c>
      <c r="D156" s="14">
        <f>'data 2021'!AF76</f>
        <v>0</v>
      </c>
      <c r="E156" s="14">
        <f>'data 2021'!AG76</f>
        <v>6486.31</v>
      </c>
      <c r="F156" s="14">
        <f>'data 2021'!AH76</f>
        <v>0</v>
      </c>
      <c r="G156" s="14">
        <f>'data 2021'!AI76</f>
        <v>0</v>
      </c>
      <c r="H156" s="14">
        <f>'data 2021'!AJ76</f>
        <v>0</v>
      </c>
      <c r="I156" s="14">
        <f>'data 2021'!AK76</f>
        <v>0</v>
      </c>
    </row>
    <row r="157" spans="1:9" ht="20.149999999999999" customHeight="1">
      <c r="A157" s="23">
        <v>23</v>
      </c>
      <c r="B157" s="14" t="s">
        <v>1187</v>
      </c>
      <c r="C157" s="14">
        <f>'data 2021'!AE77</f>
        <v>0</v>
      </c>
      <c r="D157" s="14">
        <f>'data 2021'!AF77</f>
        <v>0</v>
      </c>
      <c r="E157" s="14">
        <f>'data 2021'!AG77</f>
        <v>0</v>
      </c>
      <c r="F157" s="14">
        <f>'data 2021'!AH77</f>
        <v>0</v>
      </c>
      <c r="G157" s="14">
        <f>'data 2021'!AI77</f>
        <v>0</v>
      </c>
      <c r="H157" s="14">
        <f>'data 2021'!AJ77</f>
        <v>0</v>
      </c>
      <c r="I157" s="14">
        <f>'data 2021'!AK77</f>
        <v>0</v>
      </c>
    </row>
    <row r="158" spans="1:9" ht="20.149999999999999" customHeight="1">
      <c r="A158" s="23">
        <v>24</v>
      </c>
      <c r="B158" s="14" t="s">
        <v>1188</v>
      </c>
      <c r="C158" s="14">
        <f>'data 2021'!AE78</f>
        <v>1074</v>
      </c>
      <c r="D158" s="14">
        <f>'data 2021'!AF78</f>
        <v>0</v>
      </c>
      <c r="E158" s="14">
        <f>'data 2021'!AG78</f>
        <v>1083</v>
      </c>
      <c r="F158" s="14">
        <f>'data 2021'!AH78</f>
        <v>0</v>
      </c>
      <c r="G158" s="14">
        <f>'data 2021'!AI78</f>
        <v>1269</v>
      </c>
      <c r="H158" s="14">
        <f>'data 2021'!AJ78</f>
        <v>0</v>
      </c>
      <c r="I158" s="14">
        <f>'data 2021'!AK78</f>
        <v>0</v>
      </c>
    </row>
    <row r="159" spans="1:9" ht="20.149999999999999" customHeight="1">
      <c r="A159" s="23">
        <v>25</v>
      </c>
      <c r="B159" s="14" t="s">
        <v>1189</v>
      </c>
      <c r="C159" s="14">
        <f>'data 2021'!AE79</f>
        <v>5533.947282112118</v>
      </c>
      <c r="D159" s="14">
        <f>'data 2021'!AF79</f>
        <v>0</v>
      </c>
      <c r="E159" s="14">
        <f>'data 2021'!AG79</f>
        <v>46823.158740265993</v>
      </c>
      <c r="F159" s="14">
        <f>'data 2021'!AH79</f>
        <v>0</v>
      </c>
      <c r="G159" s="14">
        <f>'data 2021'!AI79</f>
        <v>33223.993717467012</v>
      </c>
      <c r="H159" s="14">
        <f>'data 2021'!AJ79</f>
        <v>0</v>
      </c>
      <c r="I159" s="14">
        <f>'data 2021'!AK79</f>
        <v>0</v>
      </c>
    </row>
    <row r="160" spans="1:9" ht="20.149999999999999" customHeight="1">
      <c r="A160" s="23">
        <v>26</v>
      </c>
      <c r="B160" s="14" t="s">
        <v>252</v>
      </c>
      <c r="C160" s="26">
        <f>'data 2021'!AE80</f>
        <v>6.88</v>
      </c>
      <c r="D160" s="26">
        <f>'data 2021'!AF80</f>
        <v>0</v>
      </c>
      <c r="E160" s="26">
        <f>'data 2021'!AG80</f>
        <v>16.079999999999998</v>
      </c>
      <c r="F160" s="26">
        <f>'data 2021'!AH80</f>
        <v>0</v>
      </c>
      <c r="G160" s="26">
        <f>'data 2021'!AI80</f>
        <v>16.579999999999998</v>
      </c>
      <c r="H160" s="26">
        <f>'data 2021'!AJ80</f>
        <v>0</v>
      </c>
      <c r="I160" s="26">
        <f>'data 2021'!AK80</f>
        <v>0.67</v>
      </c>
    </row>
    <row r="161" spans="1:9" ht="20.149999999999999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>
      <c r="A164" s="79" t="str">
        <f>"HOSPITAL NAME: "&amp;'data 2021'!C84</f>
        <v>HOSPITAL NAME: Capital Medical Center</v>
      </c>
      <c r="B164" s="77"/>
      <c r="C164" s="77"/>
      <c r="D164" s="77"/>
      <c r="E164" s="77"/>
      <c r="F164" s="77"/>
      <c r="G164" s="80"/>
      <c r="H164" s="79" t="str">
        <f>"FYE: "&amp;'data 2021'!C82</f>
        <v>FYE: 12/31/2021</v>
      </c>
    </row>
    <row r="165" spans="1:9" ht="20.149999999999999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>
      <c r="A169" s="23">
        <v>4</v>
      </c>
      <c r="B169" s="14" t="s">
        <v>233</v>
      </c>
      <c r="C169" s="14">
        <f>'data 2021'!AL59</f>
        <v>0</v>
      </c>
      <c r="D169" s="14">
        <f>'data 2021'!AM59</f>
        <v>0</v>
      </c>
      <c r="E169" s="14">
        <f>'data 2021'!AN59</f>
        <v>0</v>
      </c>
      <c r="F169" s="14">
        <f>'data 2021'!AO59</f>
        <v>0</v>
      </c>
      <c r="G169" s="14">
        <f>'data 2021'!AP59</f>
        <v>0</v>
      </c>
      <c r="H169" s="14">
        <f>'data 2021'!AQ59</f>
        <v>0</v>
      </c>
      <c r="I169" s="14">
        <f>'data 2021'!AR59</f>
        <v>0</v>
      </c>
    </row>
    <row r="170" spans="1:9" ht="20.149999999999999" customHeight="1">
      <c r="A170" s="23">
        <v>5</v>
      </c>
      <c r="B170" s="14" t="s">
        <v>234</v>
      </c>
      <c r="C170" s="26">
        <f>'data 2021'!AL60</f>
        <v>0</v>
      </c>
      <c r="D170" s="26">
        <f>'data 2021'!AM60</f>
        <v>0</v>
      </c>
      <c r="E170" s="26">
        <f>'data 2021'!AN60</f>
        <v>0</v>
      </c>
      <c r="F170" s="26">
        <f>'data 2021'!AO60</f>
        <v>0</v>
      </c>
      <c r="G170" s="26">
        <f>'data 2021'!AP60</f>
        <v>0</v>
      </c>
      <c r="H170" s="26">
        <f>'data 2021'!AQ60</f>
        <v>0</v>
      </c>
      <c r="I170" s="26">
        <f>'data 2021'!AR60</f>
        <v>0</v>
      </c>
    </row>
    <row r="171" spans="1:9" ht="20.149999999999999" customHeight="1">
      <c r="A171" s="23">
        <v>6</v>
      </c>
      <c r="B171" s="14" t="s">
        <v>235</v>
      </c>
      <c r="C171" s="14">
        <f>'data 2021'!AL61</f>
        <v>50145</v>
      </c>
      <c r="D171" s="14">
        <f>'data 2021'!AM61</f>
        <v>0</v>
      </c>
      <c r="E171" s="14">
        <f>'data 2021'!AN61</f>
        <v>0</v>
      </c>
      <c r="F171" s="14">
        <f>'data 2021'!AO61</f>
        <v>0</v>
      </c>
      <c r="G171" s="14">
        <f>'data 2021'!AP61</f>
        <v>0</v>
      </c>
      <c r="H171" s="14">
        <f>'data 2021'!AQ61</f>
        <v>0</v>
      </c>
      <c r="I171" s="14">
        <f>'data 2021'!AR61</f>
        <v>0</v>
      </c>
    </row>
    <row r="172" spans="1:9" ht="20.149999999999999" customHeight="1">
      <c r="A172" s="23">
        <v>7</v>
      </c>
      <c r="B172" s="14" t="s">
        <v>3</v>
      </c>
      <c r="C172" s="14">
        <f>'data 2021'!AL62</f>
        <v>0</v>
      </c>
      <c r="D172" s="14">
        <f>'data 2021'!AM62</f>
        <v>0</v>
      </c>
      <c r="E172" s="14">
        <f>'data 2021'!AN62</f>
        <v>0</v>
      </c>
      <c r="F172" s="14">
        <f>'data 2021'!AO62</f>
        <v>0</v>
      </c>
      <c r="G172" s="14">
        <f>'data 2021'!AP62</f>
        <v>0</v>
      </c>
      <c r="H172" s="14">
        <f>'data 2021'!AQ62</f>
        <v>0</v>
      </c>
      <c r="I172" s="14">
        <f>'data 2021'!AR62</f>
        <v>0</v>
      </c>
    </row>
    <row r="173" spans="1:9" ht="20.149999999999999" customHeight="1">
      <c r="A173" s="23">
        <v>8</v>
      </c>
      <c r="B173" s="14" t="s">
        <v>236</v>
      </c>
      <c r="C173" s="14">
        <f>'data 2021'!AL63</f>
        <v>0</v>
      </c>
      <c r="D173" s="14">
        <f>'data 2021'!AM63</f>
        <v>0</v>
      </c>
      <c r="E173" s="14">
        <f>'data 2021'!AN63</f>
        <v>0</v>
      </c>
      <c r="F173" s="14">
        <f>'data 2021'!AO63</f>
        <v>0</v>
      </c>
      <c r="G173" s="14">
        <f>'data 2021'!AP63</f>
        <v>0</v>
      </c>
      <c r="H173" s="14">
        <f>'data 2021'!AQ63</f>
        <v>0</v>
      </c>
      <c r="I173" s="14">
        <f>'data 2021'!AR63</f>
        <v>0</v>
      </c>
    </row>
    <row r="174" spans="1:9" ht="20.149999999999999" customHeight="1">
      <c r="A174" s="23">
        <v>9</v>
      </c>
      <c r="B174" s="14" t="s">
        <v>237</v>
      </c>
      <c r="C174" s="14">
        <f>'data 2021'!AL64</f>
        <v>0</v>
      </c>
      <c r="D174" s="14">
        <f>'data 2021'!AM64</f>
        <v>0</v>
      </c>
      <c r="E174" s="14">
        <f>'data 2021'!AN64</f>
        <v>0</v>
      </c>
      <c r="F174" s="14">
        <f>'data 2021'!AO64</f>
        <v>0</v>
      </c>
      <c r="G174" s="14">
        <f>'data 2021'!AP64</f>
        <v>0</v>
      </c>
      <c r="H174" s="14">
        <f>'data 2021'!AQ64</f>
        <v>0</v>
      </c>
      <c r="I174" s="14">
        <f>'data 2021'!AR64</f>
        <v>0</v>
      </c>
    </row>
    <row r="175" spans="1:9" ht="20.149999999999999" customHeight="1">
      <c r="A175" s="23">
        <v>10</v>
      </c>
      <c r="B175" s="14" t="s">
        <v>444</v>
      </c>
      <c r="C175" s="14">
        <f>'data 2021'!AL65</f>
        <v>0</v>
      </c>
      <c r="D175" s="14">
        <f>'data 2021'!AM65</f>
        <v>0</v>
      </c>
      <c r="E175" s="14">
        <f>'data 2021'!AN65</f>
        <v>0</v>
      </c>
      <c r="F175" s="14">
        <f>'data 2021'!AO65</f>
        <v>0</v>
      </c>
      <c r="G175" s="14">
        <f>'data 2021'!AP65</f>
        <v>0</v>
      </c>
      <c r="H175" s="14">
        <f>'data 2021'!AQ65</f>
        <v>0</v>
      </c>
      <c r="I175" s="14">
        <f>'data 2021'!AR65</f>
        <v>0</v>
      </c>
    </row>
    <row r="176" spans="1:9" ht="20.149999999999999" customHeight="1">
      <c r="A176" s="23">
        <v>11</v>
      </c>
      <c r="B176" s="14" t="s">
        <v>445</v>
      </c>
      <c r="C176" s="14">
        <f>'data 2021'!AL66</f>
        <v>0</v>
      </c>
      <c r="D176" s="14">
        <f>'data 2021'!AM66</f>
        <v>0</v>
      </c>
      <c r="E176" s="14">
        <f>'data 2021'!AN66</f>
        <v>0</v>
      </c>
      <c r="F176" s="14">
        <f>'data 2021'!AO66</f>
        <v>0</v>
      </c>
      <c r="G176" s="14">
        <f>'data 2021'!AP66</f>
        <v>0</v>
      </c>
      <c r="H176" s="14">
        <f>'data 2021'!AQ66</f>
        <v>0</v>
      </c>
      <c r="I176" s="14">
        <f>'data 2021'!AR66</f>
        <v>0</v>
      </c>
    </row>
    <row r="177" spans="1:9" ht="20.149999999999999" customHeight="1">
      <c r="A177" s="23">
        <v>12</v>
      </c>
      <c r="B177" s="14" t="s">
        <v>6</v>
      </c>
      <c r="C177" s="14">
        <f>'data 2021'!AL67</f>
        <v>0</v>
      </c>
      <c r="D177" s="14">
        <f>'data 2021'!AM67</f>
        <v>20669</v>
      </c>
      <c r="E177" s="14">
        <f>'data 2021'!AN67</f>
        <v>1217444</v>
      </c>
      <c r="F177" s="14">
        <f>'data 2021'!AO67</f>
        <v>0</v>
      </c>
      <c r="G177" s="14">
        <f>'data 2021'!AP67</f>
        <v>0</v>
      </c>
      <c r="H177" s="14">
        <f>'data 2021'!AQ67</f>
        <v>0</v>
      </c>
      <c r="I177" s="14">
        <f>'data 2021'!AR67</f>
        <v>0</v>
      </c>
    </row>
    <row r="178" spans="1:9" ht="20.149999999999999" customHeight="1">
      <c r="A178" s="23">
        <v>13</v>
      </c>
      <c r="B178" s="14" t="s">
        <v>474</v>
      </c>
      <c r="C178" s="14">
        <f>'data 2021'!AL68</f>
        <v>0</v>
      </c>
      <c r="D178" s="14">
        <f>'data 2021'!AM68</f>
        <v>0</v>
      </c>
      <c r="E178" s="14">
        <f>'data 2021'!AN68</f>
        <v>0</v>
      </c>
      <c r="F178" s="14">
        <f>'data 2021'!AO68</f>
        <v>0</v>
      </c>
      <c r="G178" s="14">
        <f>'data 2021'!AP68</f>
        <v>0</v>
      </c>
      <c r="H178" s="14">
        <f>'data 2021'!AQ68</f>
        <v>0</v>
      </c>
      <c r="I178" s="14">
        <f>'data 2021'!AR68</f>
        <v>0</v>
      </c>
    </row>
    <row r="179" spans="1:9" ht="20.149999999999999" customHeight="1">
      <c r="A179" s="23">
        <v>14</v>
      </c>
      <c r="B179" s="14" t="s">
        <v>241</v>
      </c>
      <c r="C179" s="14">
        <f>'data 2021'!AL69</f>
        <v>0</v>
      </c>
      <c r="D179" s="14">
        <f>'data 2021'!AM69</f>
        <v>0</v>
      </c>
      <c r="E179" s="14">
        <f>'data 2021'!AN69</f>
        <v>0</v>
      </c>
      <c r="F179" s="14">
        <f>'data 2021'!AO69</f>
        <v>0</v>
      </c>
      <c r="G179" s="14">
        <f>'data 2021'!AP69</f>
        <v>0</v>
      </c>
      <c r="H179" s="14">
        <f>'data 2021'!AQ69</f>
        <v>0</v>
      </c>
      <c r="I179" s="14">
        <f>'data 2021'!AR69</f>
        <v>0</v>
      </c>
    </row>
    <row r="180" spans="1:9" ht="20.149999999999999" customHeight="1">
      <c r="A180" s="23">
        <v>15</v>
      </c>
      <c r="B180" s="14" t="s">
        <v>242</v>
      </c>
      <c r="C180" s="14">
        <f>-'data 2021'!AL70</f>
        <v>0</v>
      </c>
      <c r="D180" s="14">
        <f>-'data 2021'!AM70</f>
        <v>0</v>
      </c>
      <c r="E180" s="14">
        <f>-'data 2021'!AN70</f>
        <v>0</v>
      </c>
      <c r="F180" s="14">
        <f>-'data 2021'!AO70</f>
        <v>0</v>
      </c>
      <c r="G180" s="14">
        <f>-'data 2021'!AP70</f>
        <v>0</v>
      </c>
      <c r="H180" s="14">
        <f>-'data 2021'!AQ70</f>
        <v>0</v>
      </c>
      <c r="I180" s="14">
        <f>-'data 2021'!AR70</f>
        <v>0</v>
      </c>
    </row>
    <row r="181" spans="1:9" ht="20.149999999999999" customHeight="1">
      <c r="A181" s="23">
        <v>16</v>
      </c>
      <c r="B181" s="48" t="s">
        <v>1180</v>
      </c>
      <c r="C181" s="14">
        <f>'data 2021'!AL71</f>
        <v>50145</v>
      </c>
      <c r="D181" s="14">
        <f>'data 2021'!AM71</f>
        <v>20669</v>
      </c>
      <c r="E181" s="14">
        <f>'data 2021'!AN71</f>
        <v>1217444</v>
      </c>
      <c r="F181" s="14">
        <f>'data 2021'!AO71</f>
        <v>0</v>
      </c>
      <c r="G181" s="14">
        <f>'data 2021'!AP71</f>
        <v>0</v>
      </c>
      <c r="H181" s="14">
        <f>'data 2021'!AQ71</f>
        <v>0</v>
      </c>
      <c r="I181" s="14">
        <f>'data 2021'!AR71</f>
        <v>0</v>
      </c>
    </row>
    <row r="182" spans="1:9" ht="20.149999999999999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>
      <c r="A183" s="23">
        <v>18</v>
      </c>
      <c r="B183" s="14" t="s">
        <v>1181</v>
      </c>
      <c r="C183" s="48">
        <f>+'data 2021'!M703</f>
        <v>10102</v>
      </c>
      <c r="D183" s="48">
        <f>+'data 2021'!M704</f>
        <v>4164</v>
      </c>
      <c r="E183" s="48">
        <f>+'data 2021'!M705</f>
        <v>245256</v>
      </c>
      <c r="F183" s="48">
        <f>+'data 2021'!M706</f>
        <v>0</v>
      </c>
      <c r="G183" s="48">
        <f>+'data 2021'!M707</f>
        <v>0</v>
      </c>
      <c r="H183" s="48">
        <f>+'data 2021'!M708</f>
        <v>0</v>
      </c>
      <c r="I183" s="48">
        <f>+'data 2021'!M709</f>
        <v>0</v>
      </c>
    </row>
    <row r="184" spans="1:9" ht="20.149999999999999" customHeight="1">
      <c r="A184" s="23">
        <v>19</v>
      </c>
      <c r="B184" s="48" t="s">
        <v>1182</v>
      </c>
      <c r="C184" s="14">
        <f>'data 2021'!AL73</f>
        <v>0</v>
      </c>
      <c r="D184" s="14">
        <f>'data 2021'!AM73</f>
        <v>0</v>
      </c>
      <c r="E184" s="14">
        <f>'data 2021'!AN73</f>
        <v>0.04</v>
      </c>
      <c r="F184" s="14">
        <f>'data 2021'!AO73</f>
        <v>0</v>
      </c>
      <c r="G184" s="14">
        <f>'data 2021'!AP73</f>
        <v>0</v>
      </c>
      <c r="H184" s="14">
        <f>'data 2021'!AQ73</f>
        <v>0</v>
      </c>
      <c r="I184" s="14">
        <f>'data 2021'!AR73</f>
        <v>0</v>
      </c>
    </row>
    <row r="185" spans="1:9" ht="20.149999999999999" customHeight="1">
      <c r="A185" s="23">
        <v>20</v>
      </c>
      <c r="B185" s="48" t="s">
        <v>1183</v>
      </c>
      <c r="C185" s="14">
        <f>'data 2021'!AL74</f>
        <v>0</v>
      </c>
      <c r="D185" s="14">
        <f>'data 2021'!AM74</f>
        <v>0</v>
      </c>
      <c r="E185" s="14">
        <f>'data 2021'!AN74</f>
        <v>0</v>
      </c>
      <c r="F185" s="14">
        <f>'data 2021'!AO74</f>
        <v>0</v>
      </c>
      <c r="G185" s="14">
        <f>'data 2021'!AP74</f>
        <v>0</v>
      </c>
      <c r="H185" s="14">
        <f>'data 2021'!AQ74</f>
        <v>0</v>
      </c>
      <c r="I185" s="14">
        <f>'data 2021'!AR74</f>
        <v>0</v>
      </c>
    </row>
    <row r="186" spans="1:9" ht="20.149999999999999" customHeight="1">
      <c r="A186" s="23">
        <v>21</v>
      </c>
      <c r="B186" s="48" t="s">
        <v>1184</v>
      </c>
      <c r="C186" s="14">
        <f>'data 2021'!AL75</f>
        <v>0</v>
      </c>
      <c r="D186" s="14">
        <f>'data 2021'!AM75</f>
        <v>0</v>
      </c>
      <c r="E186" s="14">
        <f>'data 2021'!AN75</f>
        <v>0.04</v>
      </c>
      <c r="F186" s="14">
        <f>'data 2021'!AO75</f>
        <v>0</v>
      </c>
      <c r="G186" s="14">
        <f>'data 2021'!AP75</f>
        <v>0</v>
      </c>
      <c r="H186" s="14">
        <f>'data 2021'!AQ75</f>
        <v>0</v>
      </c>
      <c r="I186" s="14">
        <f>'data 2021'!AR75</f>
        <v>0</v>
      </c>
    </row>
    <row r="187" spans="1:9" ht="20.149999999999999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>
      <c r="A188" s="23">
        <v>22</v>
      </c>
      <c r="B188" s="14" t="s">
        <v>1186</v>
      </c>
      <c r="C188" s="14">
        <f>'data 2021'!AL76</f>
        <v>0</v>
      </c>
      <c r="D188" s="14">
        <f>'data 2021'!AM76</f>
        <v>0</v>
      </c>
      <c r="E188" s="14">
        <f>'data 2021'!AN76</f>
        <v>0</v>
      </c>
      <c r="F188" s="14">
        <f>'data 2021'!AO76</f>
        <v>0</v>
      </c>
      <c r="G188" s="14">
        <f>'data 2021'!AP76</f>
        <v>0</v>
      </c>
      <c r="H188" s="14">
        <f>'data 2021'!AQ76</f>
        <v>0</v>
      </c>
      <c r="I188" s="14">
        <f>'data 2021'!AR76</f>
        <v>0</v>
      </c>
    </row>
    <row r="189" spans="1:9" ht="20.149999999999999" customHeight="1">
      <c r="A189" s="23">
        <v>23</v>
      </c>
      <c r="B189" s="14" t="s">
        <v>1187</v>
      </c>
      <c r="C189" s="14">
        <f>'data 2021'!AL77</f>
        <v>0</v>
      </c>
      <c r="D189" s="14">
        <f>'data 2021'!AM77</f>
        <v>0</v>
      </c>
      <c r="E189" s="14">
        <f>'data 2021'!AN77</f>
        <v>0</v>
      </c>
      <c r="F189" s="14">
        <f>'data 2021'!AO77</f>
        <v>0</v>
      </c>
      <c r="G189" s="14">
        <f>'data 2021'!AP77</f>
        <v>0</v>
      </c>
      <c r="H189" s="14">
        <f>'data 2021'!AQ77</f>
        <v>0</v>
      </c>
      <c r="I189" s="14">
        <f>'data 2021'!AR77</f>
        <v>0</v>
      </c>
    </row>
    <row r="190" spans="1:9" ht="20.149999999999999" customHeight="1">
      <c r="A190" s="23">
        <v>24</v>
      </c>
      <c r="B190" s="14" t="s">
        <v>1188</v>
      </c>
      <c r="C190" s="14">
        <f>'data 2021'!AL78</f>
        <v>0</v>
      </c>
      <c r="D190" s="14">
        <f>'data 2021'!AM78</f>
        <v>0</v>
      </c>
      <c r="E190" s="14">
        <f>'data 2021'!AN78</f>
        <v>0</v>
      </c>
      <c r="F190" s="14">
        <f>'data 2021'!AO78</f>
        <v>0</v>
      </c>
      <c r="G190" s="14">
        <f>'data 2021'!AP78</f>
        <v>0</v>
      </c>
      <c r="H190" s="14">
        <f>'data 2021'!AQ78</f>
        <v>0</v>
      </c>
      <c r="I190" s="14">
        <f>'data 2021'!AR78</f>
        <v>0</v>
      </c>
    </row>
    <row r="191" spans="1:9" ht="20.149999999999999" customHeight="1">
      <c r="A191" s="23">
        <v>25</v>
      </c>
      <c r="B191" s="14" t="s">
        <v>1189</v>
      </c>
      <c r="C191" s="14">
        <f>'data 2021'!AL79</f>
        <v>0</v>
      </c>
      <c r="D191" s="14">
        <f>'data 2021'!AM79</f>
        <v>0</v>
      </c>
      <c r="E191" s="14">
        <f>'data 2021'!AN79</f>
        <v>0</v>
      </c>
      <c r="F191" s="14">
        <f>'data 2021'!AO79</f>
        <v>0</v>
      </c>
      <c r="G191" s="14">
        <f>'data 2021'!AP79</f>
        <v>0</v>
      </c>
      <c r="H191" s="14">
        <f>'data 2021'!AQ79</f>
        <v>0</v>
      </c>
      <c r="I191" s="14">
        <f>'data 2021'!AR79</f>
        <v>0</v>
      </c>
    </row>
    <row r="192" spans="1:9" ht="20.149999999999999" customHeight="1">
      <c r="A192" s="23">
        <v>26</v>
      </c>
      <c r="B192" s="14" t="s">
        <v>252</v>
      </c>
      <c r="C192" s="26">
        <f>'data 2021'!AL80</f>
        <v>0</v>
      </c>
      <c r="D192" s="26">
        <f>'data 2021'!AM80</f>
        <v>0</v>
      </c>
      <c r="E192" s="26">
        <f>'data 2021'!AN80</f>
        <v>0</v>
      </c>
      <c r="F192" s="26">
        <f>'data 2021'!AO80</f>
        <v>0</v>
      </c>
      <c r="G192" s="26">
        <f>'data 2021'!AP80</f>
        <v>0</v>
      </c>
      <c r="H192" s="26">
        <f>'data 2021'!AQ80</f>
        <v>0</v>
      </c>
      <c r="I192" s="26">
        <f>'data 2021'!AR80</f>
        <v>0</v>
      </c>
    </row>
    <row r="193" spans="1:9" ht="20.149999999999999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>
      <c r="A196" s="79" t="str">
        <f>"HOSPITAL NAME: "&amp;'data 2021'!C84</f>
        <v>HOSPITAL NAME: Capital Medical Center</v>
      </c>
      <c r="B196" s="77"/>
      <c r="C196" s="77"/>
      <c r="D196" s="77"/>
      <c r="E196" s="77"/>
      <c r="F196" s="77"/>
      <c r="G196" s="80"/>
      <c r="H196" s="79" t="str">
        <f>"FYE: "&amp;'data 2021'!C82</f>
        <v>FYE: 12/31/2021</v>
      </c>
    </row>
    <row r="197" spans="1:9" ht="20.149999999999999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>
      <c r="A201" s="23">
        <v>4</v>
      </c>
      <c r="B201" s="14" t="s">
        <v>233</v>
      </c>
      <c r="C201" s="14">
        <f>'data 2021'!AS59</f>
        <v>0</v>
      </c>
      <c r="D201" s="14">
        <f>'data 2021'!AT59</f>
        <v>0</v>
      </c>
      <c r="E201" s="14">
        <f>'data 2021'!AU59</f>
        <v>0</v>
      </c>
      <c r="F201" s="212"/>
      <c r="G201" s="212"/>
      <c r="H201" s="212"/>
      <c r="I201" s="14">
        <f>'data 2021'!AY59</f>
        <v>42236</v>
      </c>
    </row>
    <row r="202" spans="1:9" ht="20.149999999999999" customHeight="1">
      <c r="A202" s="23">
        <v>5</v>
      </c>
      <c r="B202" s="14" t="s">
        <v>234</v>
      </c>
      <c r="C202" s="26">
        <f>'data 2021'!AS60</f>
        <v>0</v>
      </c>
      <c r="D202" s="26">
        <f>'data 2021'!AT60</f>
        <v>0</v>
      </c>
      <c r="E202" s="26">
        <f>'data 2021'!AU60</f>
        <v>0</v>
      </c>
      <c r="F202" s="26">
        <f>'data 2021'!AV60</f>
        <v>43.958232874835858</v>
      </c>
      <c r="G202" s="26">
        <f>'data 2021'!AW60</f>
        <v>0</v>
      </c>
      <c r="H202" s="26">
        <f>'data 2021'!AX60</f>
        <v>0</v>
      </c>
      <c r="I202" s="26">
        <f>'data 2021'!AY60</f>
        <v>34.595834244326596</v>
      </c>
    </row>
    <row r="203" spans="1:9" ht="20.149999999999999" customHeight="1">
      <c r="A203" s="23">
        <v>6</v>
      </c>
      <c r="B203" s="14" t="s">
        <v>235</v>
      </c>
      <c r="C203" s="14">
        <f>'data 2021'!AS61</f>
        <v>0</v>
      </c>
      <c r="D203" s="14">
        <f>'data 2021'!AT61</f>
        <v>0</v>
      </c>
      <c r="E203" s="14">
        <f>'data 2021'!AU61</f>
        <v>0</v>
      </c>
      <c r="F203" s="14">
        <f>'data 2021'!AV61</f>
        <v>1250418.69</v>
      </c>
      <c r="G203" s="14">
        <f>'data 2021'!AW61</f>
        <v>0</v>
      </c>
      <c r="H203" s="14">
        <f>'data 2021'!AX61</f>
        <v>0</v>
      </c>
      <c r="I203" s="14">
        <f>'data 2021'!AY61</f>
        <v>963010.2699999999</v>
      </c>
    </row>
    <row r="204" spans="1:9" ht="20.149999999999999" customHeight="1">
      <c r="A204" s="23">
        <v>7</v>
      </c>
      <c r="B204" s="14" t="s">
        <v>3</v>
      </c>
      <c r="C204" s="14">
        <f>'data 2021'!AS62</f>
        <v>0</v>
      </c>
      <c r="D204" s="14">
        <f>'data 2021'!AT62</f>
        <v>0</v>
      </c>
      <c r="E204" s="14">
        <f>'data 2021'!AU62</f>
        <v>0</v>
      </c>
      <c r="F204" s="14">
        <f>'data 2021'!AV62</f>
        <v>185332</v>
      </c>
      <c r="G204" s="14">
        <f>'data 2021'!AW62</f>
        <v>0</v>
      </c>
      <c r="H204" s="14">
        <f>'data 2021'!AX62</f>
        <v>0</v>
      </c>
      <c r="I204" s="14">
        <f>'data 2021'!AY62</f>
        <v>194187</v>
      </c>
    </row>
    <row r="205" spans="1:9" ht="20.149999999999999" customHeight="1">
      <c r="A205" s="23">
        <v>8</v>
      </c>
      <c r="B205" s="14" t="s">
        <v>236</v>
      </c>
      <c r="C205" s="14">
        <f>'data 2021'!AS63</f>
        <v>0</v>
      </c>
      <c r="D205" s="14">
        <f>'data 2021'!AT63</f>
        <v>0</v>
      </c>
      <c r="E205" s="14">
        <f>'data 2021'!AU63</f>
        <v>0</v>
      </c>
      <c r="F205" s="14">
        <f>'data 2021'!AV63</f>
        <v>543210</v>
      </c>
      <c r="G205" s="14">
        <f>'data 2021'!AW63</f>
        <v>0</v>
      </c>
      <c r="H205" s="14">
        <f>'data 2021'!AX63</f>
        <v>0</v>
      </c>
      <c r="I205" s="14">
        <f>'data 2021'!AY63</f>
        <v>0</v>
      </c>
    </row>
    <row r="206" spans="1:9" ht="20.149999999999999" customHeight="1">
      <c r="A206" s="23">
        <v>9</v>
      </c>
      <c r="B206" s="14" t="s">
        <v>237</v>
      </c>
      <c r="C206" s="14">
        <f>'data 2021'!AS64</f>
        <v>0</v>
      </c>
      <c r="D206" s="14">
        <f>'data 2021'!AT64</f>
        <v>0</v>
      </c>
      <c r="E206" s="14">
        <f>'data 2021'!AU64</f>
        <v>0</v>
      </c>
      <c r="F206" s="14">
        <f>'data 2021'!AV64</f>
        <v>242512.44</v>
      </c>
      <c r="G206" s="14">
        <f>'data 2021'!AW64</f>
        <v>0</v>
      </c>
      <c r="H206" s="14">
        <f>'data 2021'!AX64</f>
        <v>0</v>
      </c>
      <c r="I206" s="14">
        <f>'data 2021'!AY64</f>
        <v>571581.2300000001</v>
      </c>
    </row>
    <row r="207" spans="1:9" ht="20.149999999999999" customHeight="1">
      <c r="A207" s="23">
        <v>10</v>
      </c>
      <c r="B207" s="14" t="s">
        <v>444</v>
      </c>
      <c r="C207" s="14">
        <f>'data 2021'!AS65</f>
        <v>0</v>
      </c>
      <c r="D207" s="14">
        <f>'data 2021'!AT65</f>
        <v>0</v>
      </c>
      <c r="E207" s="14">
        <f>'data 2021'!AU65</f>
        <v>0</v>
      </c>
      <c r="F207" s="14">
        <f>'data 2021'!AV65</f>
        <v>165</v>
      </c>
      <c r="G207" s="14">
        <f>'data 2021'!AW65</f>
        <v>0</v>
      </c>
      <c r="H207" s="14">
        <f>'data 2021'!AX65</f>
        <v>0</v>
      </c>
      <c r="I207" s="14">
        <f>'data 2021'!AY65</f>
        <v>0</v>
      </c>
    </row>
    <row r="208" spans="1:9" ht="20.149999999999999" customHeight="1">
      <c r="A208" s="23">
        <v>11</v>
      </c>
      <c r="B208" s="14" t="s">
        <v>445</v>
      </c>
      <c r="C208" s="14">
        <f>'data 2021'!AS66</f>
        <v>0</v>
      </c>
      <c r="D208" s="14">
        <f>'data 2021'!AT66</f>
        <v>0</v>
      </c>
      <c r="E208" s="14">
        <f>'data 2021'!AU66</f>
        <v>0</v>
      </c>
      <c r="F208" s="14">
        <f>'data 2021'!AV66</f>
        <v>804334.15</v>
      </c>
      <c r="G208" s="14">
        <f>'data 2021'!AW66</f>
        <v>0</v>
      </c>
      <c r="H208" s="14">
        <f>'data 2021'!AX66</f>
        <v>0</v>
      </c>
      <c r="I208" s="14">
        <f>'data 2021'!AY66</f>
        <v>44428.61</v>
      </c>
    </row>
    <row r="209" spans="1:9" ht="20.149999999999999" customHeight="1">
      <c r="A209" s="23">
        <v>12</v>
      </c>
      <c r="B209" s="14" t="s">
        <v>6</v>
      </c>
      <c r="C209" s="14">
        <f>'data 2021'!AS67</f>
        <v>0</v>
      </c>
      <c r="D209" s="14">
        <f>'data 2021'!AT67</f>
        <v>0</v>
      </c>
      <c r="E209" s="14">
        <f>'data 2021'!AU67</f>
        <v>0</v>
      </c>
      <c r="F209" s="14">
        <f>'data 2021'!AV67</f>
        <v>0</v>
      </c>
      <c r="G209" s="14">
        <f>'data 2021'!AW67</f>
        <v>0</v>
      </c>
      <c r="H209" s="14">
        <f>'data 2021'!AX67</f>
        <v>0</v>
      </c>
      <c r="I209" s="14">
        <f>'data 2021'!AY67</f>
        <v>0</v>
      </c>
    </row>
    <row r="210" spans="1:9" ht="20.149999999999999" customHeight="1">
      <c r="A210" s="23">
        <v>13</v>
      </c>
      <c r="B210" s="14" t="s">
        <v>474</v>
      </c>
      <c r="C210" s="14">
        <f>'data 2021'!AS68</f>
        <v>0</v>
      </c>
      <c r="D210" s="14">
        <f>'data 2021'!AT68</f>
        <v>0</v>
      </c>
      <c r="E210" s="14">
        <f>'data 2021'!AU68</f>
        <v>0</v>
      </c>
      <c r="F210" s="14">
        <f>'data 2021'!AV68</f>
        <v>12125.39</v>
      </c>
      <c r="G210" s="14">
        <f>'data 2021'!AW68</f>
        <v>0</v>
      </c>
      <c r="H210" s="14">
        <f>'data 2021'!AX68</f>
        <v>62356.78</v>
      </c>
      <c r="I210" s="14">
        <f>'data 2021'!AY68</f>
        <v>0</v>
      </c>
    </row>
    <row r="211" spans="1:9" ht="20.149999999999999" customHeight="1">
      <c r="A211" s="23">
        <v>14</v>
      </c>
      <c r="B211" s="14" t="s">
        <v>241</v>
      </c>
      <c r="C211" s="14">
        <f>'data 2021'!AS69</f>
        <v>0</v>
      </c>
      <c r="D211" s="14">
        <f>'data 2021'!AT69</f>
        <v>0</v>
      </c>
      <c r="E211" s="14">
        <f>'data 2021'!AU69</f>
        <v>0</v>
      </c>
      <c r="F211" s="14">
        <f>'data 2021'!AV69</f>
        <v>14702.77</v>
      </c>
      <c r="G211" s="14">
        <f>'data 2021'!AW69</f>
        <v>0</v>
      </c>
      <c r="H211" s="14">
        <f>'data 2021'!AX69</f>
        <v>13452.29</v>
      </c>
      <c r="I211" s="14">
        <f>'data 2021'!AY69</f>
        <v>13968.46</v>
      </c>
    </row>
    <row r="212" spans="1:9" ht="20.149999999999999" customHeight="1">
      <c r="A212" s="23">
        <v>15</v>
      </c>
      <c r="B212" s="14" t="s">
        <v>242</v>
      </c>
      <c r="C212" s="14">
        <f>-'data 2021'!AS70</f>
        <v>0</v>
      </c>
      <c r="D212" s="14">
        <f>-'data 2021'!AT70</f>
        <v>0</v>
      </c>
      <c r="E212" s="14">
        <f>-'data 2021'!AU70</f>
        <v>0</v>
      </c>
      <c r="F212" s="14">
        <f>-'data 2021'!AV70</f>
        <v>0</v>
      </c>
      <c r="G212" s="14">
        <f>-'data 2021'!AW70</f>
        <v>0</v>
      </c>
      <c r="H212" s="14">
        <f>-'data 2021'!AX70</f>
        <v>0</v>
      </c>
      <c r="I212" s="14">
        <f>-'data 2021'!AY70</f>
        <v>-124439.33</v>
      </c>
    </row>
    <row r="213" spans="1:9" ht="20.149999999999999" customHeight="1">
      <c r="A213" s="23">
        <v>16</v>
      </c>
      <c r="B213" s="48" t="s">
        <v>1180</v>
      </c>
      <c r="C213" s="14">
        <f>'data 2021'!AS71</f>
        <v>0</v>
      </c>
      <c r="D213" s="14">
        <f>'data 2021'!AT71</f>
        <v>0</v>
      </c>
      <c r="E213" s="14">
        <f>'data 2021'!AU71</f>
        <v>0</v>
      </c>
      <c r="F213" s="14">
        <f>'data 2021'!AV71</f>
        <v>3052800.44</v>
      </c>
      <c r="G213" s="14">
        <f>'data 2021'!AW71</f>
        <v>0</v>
      </c>
      <c r="H213" s="14">
        <f>'data 2021'!AX71</f>
        <v>75809.070000000007</v>
      </c>
      <c r="I213" s="14">
        <f>'data 2021'!AY71</f>
        <v>1662736.24</v>
      </c>
    </row>
    <row r="214" spans="1:9" ht="20.149999999999999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>
      <c r="A215" s="23">
        <v>18</v>
      </c>
      <c r="B215" s="14" t="s">
        <v>1181</v>
      </c>
      <c r="C215" s="48">
        <f>+'data 2021'!M710</f>
        <v>0</v>
      </c>
      <c r="D215" s="48">
        <f>+'data 2021'!M711</f>
        <v>0</v>
      </c>
      <c r="E215" s="48">
        <f>+'data 2021'!M712</f>
        <v>0</v>
      </c>
      <c r="F215" s="48">
        <f>+'data 2021'!M713</f>
        <v>2195048</v>
      </c>
      <c r="G215" s="22"/>
      <c r="H215" s="14"/>
      <c r="I215" s="14"/>
    </row>
    <row r="216" spans="1:9" ht="20.149999999999999" customHeight="1">
      <c r="A216" s="23">
        <v>19</v>
      </c>
      <c r="B216" s="48" t="s">
        <v>1182</v>
      </c>
      <c r="C216" s="14">
        <f>'data 2021'!AS73</f>
        <v>0</v>
      </c>
      <c r="D216" s="14">
        <f>'data 2021'!AT73</f>
        <v>0</v>
      </c>
      <c r="E216" s="14">
        <f>'data 2021'!AU73</f>
        <v>0</v>
      </c>
      <c r="F216" s="14">
        <f>'data 2021'!AV73</f>
        <v>7186636</v>
      </c>
      <c r="G216" s="213" t="str">
        <f>IF('data 2021'!AW73&gt;0,'data 2021'!AW73,"")</f>
        <v/>
      </c>
      <c r="H216" s="213" t="str">
        <f>IF('data 2021'!AX73&gt;0,'data 2021'!AX73,"")</f>
        <v/>
      </c>
      <c r="I216" s="213" t="str">
        <f>IF('data 2021'!AY73&gt;0,'data 2021'!AY73,"")</f>
        <v/>
      </c>
    </row>
    <row r="217" spans="1:9" ht="20.149999999999999" customHeight="1">
      <c r="A217" s="23">
        <v>20</v>
      </c>
      <c r="B217" s="48" t="s">
        <v>1183</v>
      </c>
      <c r="C217" s="14">
        <f>'data 2021'!AS74</f>
        <v>0</v>
      </c>
      <c r="D217" s="14">
        <f>'data 2021'!AT74</f>
        <v>0</v>
      </c>
      <c r="E217" s="14">
        <f>'data 2021'!AU74</f>
        <v>0</v>
      </c>
      <c r="F217" s="14">
        <f>'data 2021'!AV74</f>
        <v>9926148</v>
      </c>
      <c r="G217" s="213" t="str">
        <f>IF('data 2021'!AW74&gt;0,'data 2021'!AW74,"")</f>
        <v/>
      </c>
      <c r="H217" s="213" t="str">
        <f>IF('data 2021'!AX74&gt;0,'data 2021'!AX74,"")</f>
        <v/>
      </c>
      <c r="I217" s="213" t="str">
        <f>IF('data 2021'!AY74&gt;0,'data 2021'!AY74,"")</f>
        <v/>
      </c>
    </row>
    <row r="218" spans="1:9" ht="20.149999999999999" customHeight="1">
      <c r="A218" s="23">
        <v>21</v>
      </c>
      <c r="B218" s="48" t="s">
        <v>1184</v>
      </c>
      <c r="C218" s="14">
        <f>'data 2021'!AS75</f>
        <v>0</v>
      </c>
      <c r="D218" s="14">
        <f>'data 2021'!AT75</f>
        <v>0</v>
      </c>
      <c r="E218" s="14">
        <f>'data 2021'!AU75</f>
        <v>0</v>
      </c>
      <c r="F218" s="14">
        <f>'data 2021'!AV75</f>
        <v>17112784</v>
      </c>
      <c r="G218" s="213" t="str">
        <f>IF('data 2021'!AW75&gt;0,'data 2021'!AW75,"")</f>
        <v/>
      </c>
      <c r="H218" s="213" t="str">
        <f>IF('data 2021'!AX75&gt;0,'data 2021'!AX75,"")</f>
        <v/>
      </c>
      <c r="I218" s="213" t="str">
        <f>IF('data 2021'!AY75&gt;0,'data 2021'!AY75,"")</f>
        <v/>
      </c>
    </row>
    <row r="219" spans="1:9" ht="20.149999999999999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>
      <c r="A220" s="23">
        <v>22</v>
      </c>
      <c r="B220" s="14" t="s">
        <v>1186</v>
      </c>
      <c r="C220" s="14">
        <f>'data 2021'!AS76</f>
        <v>0</v>
      </c>
      <c r="D220" s="14">
        <f>'data 2021'!AT76</f>
        <v>0</v>
      </c>
      <c r="E220" s="14">
        <f>'data 2021'!AU76</f>
        <v>0</v>
      </c>
      <c r="F220" s="14">
        <f>'data 2021'!AV76</f>
        <v>2190.9700000000003</v>
      </c>
      <c r="G220" s="14">
        <f>'data 2021'!AW76</f>
        <v>0</v>
      </c>
      <c r="H220" s="14">
        <f>'data 2021'!AX76</f>
        <v>0</v>
      </c>
      <c r="I220" s="85">
        <f>'data 2021'!AY76</f>
        <v>5478.8099999999995</v>
      </c>
    </row>
    <row r="221" spans="1:9" ht="20.149999999999999" customHeight="1">
      <c r="A221" s="23">
        <v>23</v>
      </c>
      <c r="B221" s="14" t="s">
        <v>1187</v>
      </c>
      <c r="C221" s="14">
        <f>'data 2021'!AS77</f>
        <v>0</v>
      </c>
      <c r="D221" s="14">
        <f>'data 2021'!AT77</f>
        <v>0</v>
      </c>
      <c r="E221" s="14">
        <f>'data 2021'!AU77</f>
        <v>0</v>
      </c>
      <c r="F221" s="14">
        <f>'data 2021'!AV77</f>
        <v>0</v>
      </c>
      <c r="G221" s="14">
        <f>'data 2021'!AW77</f>
        <v>0</v>
      </c>
      <c r="H221" s="213" t="str">
        <f>IF('data 2021'!AX77&gt;0,'data 2021'!AX77,"")</f>
        <v>x</v>
      </c>
      <c r="I221" s="213" t="str">
        <f>IF('data 2021'!AY77&gt;0,'data 2021'!AY77,"")</f>
        <v>x</v>
      </c>
    </row>
    <row r="222" spans="1:9" ht="20.149999999999999" customHeight="1">
      <c r="A222" s="23">
        <v>24</v>
      </c>
      <c r="B222" s="14" t="s">
        <v>1188</v>
      </c>
      <c r="C222" s="14">
        <f>'data 2021'!AS78</f>
        <v>0</v>
      </c>
      <c r="D222" s="14">
        <f>'data 2021'!AT78</f>
        <v>0</v>
      </c>
      <c r="E222" s="14">
        <f>'data 2021'!AU78</f>
        <v>0</v>
      </c>
      <c r="F222" s="14">
        <f>'data 2021'!AV78</f>
        <v>11460</v>
      </c>
      <c r="G222" s="14">
        <f>'data 2021'!AW78</f>
        <v>0</v>
      </c>
      <c r="H222" s="213" t="str">
        <f>IF('data 2021'!AX78&gt;0,'data 2021'!AX78,"")</f>
        <v>x</v>
      </c>
      <c r="I222" s="213" t="str">
        <f>IF('data 2021'!AY78&gt;0,'data 2021'!AY78,"")</f>
        <v>x</v>
      </c>
    </row>
    <row r="223" spans="1:9" ht="20.149999999999999" customHeight="1">
      <c r="A223" s="23">
        <v>25</v>
      </c>
      <c r="B223" s="14" t="s">
        <v>1189</v>
      </c>
      <c r="C223" s="14">
        <f>'data 2021'!AS79</f>
        <v>0</v>
      </c>
      <c r="D223" s="14">
        <f>'data 2021'!AT79</f>
        <v>0</v>
      </c>
      <c r="E223" s="14">
        <f>'data 2021'!AU79</f>
        <v>0</v>
      </c>
      <c r="F223" s="14">
        <f>'data 2021'!AV79</f>
        <v>1367.1853532589141</v>
      </c>
      <c r="G223" s="14">
        <f>'data 2021'!AW79</f>
        <v>0</v>
      </c>
      <c r="H223" s="213" t="str">
        <f>IF('data 2021'!AX79&gt;0,'data 2021'!AX79,"")</f>
        <v>x</v>
      </c>
      <c r="I223" s="213" t="str">
        <f>IF('data 2021'!AY79&gt;0,'data 2021'!AY79,"")</f>
        <v>x</v>
      </c>
    </row>
    <row r="224" spans="1:9" ht="20.149999999999999" customHeight="1">
      <c r="A224" s="23">
        <v>26</v>
      </c>
      <c r="B224" s="14" t="s">
        <v>252</v>
      </c>
      <c r="C224" s="26">
        <f>'data 2021'!AS80</f>
        <v>0</v>
      </c>
      <c r="D224" s="26">
        <f>'data 2021'!AT80</f>
        <v>0</v>
      </c>
      <c r="E224" s="26">
        <f>'data 2021'!AU80</f>
        <v>0</v>
      </c>
      <c r="F224" s="26">
        <f>'data 2021'!AV80</f>
        <v>131.51</v>
      </c>
      <c r="G224" s="213" t="str">
        <f>IF('data 2021'!AW80&gt;0,'data 2021'!AW80,"")</f>
        <v>x</v>
      </c>
      <c r="H224" s="213" t="str">
        <f>IF('data 2021'!AX80&gt;0,'data 2021'!AX80,"")</f>
        <v>x</v>
      </c>
      <c r="I224" s="213" t="str">
        <f>IF('data 2021'!AY80&gt;0,'data 2021'!AY80,"")</f>
        <v>x</v>
      </c>
    </row>
    <row r="225" spans="1:9" ht="20.149999999999999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>
      <c r="A228" s="79" t="str">
        <f>"HOSPITAL NAME: "&amp;'data 2021'!C84</f>
        <v>HOSPITAL NAME: Capital Medical Center</v>
      </c>
      <c r="B228" s="77"/>
      <c r="C228" s="77"/>
      <c r="D228" s="77"/>
      <c r="E228" s="77"/>
      <c r="F228" s="77"/>
      <c r="G228" s="80"/>
      <c r="H228" s="79" t="str">
        <f>"FYE: "&amp;'data 2021'!C82</f>
        <v>FYE: 12/31/2021</v>
      </c>
    </row>
    <row r="229" spans="1:9" ht="20.149999999999999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>
      <c r="A233" s="23">
        <v>4</v>
      </c>
      <c r="B233" s="14" t="s">
        <v>233</v>
      </c>
      <c r="C233" s="14">
        <f>'data 2021'!AZ59</f>
        <v>0</v>
      </c>
      <c r="D233" s="14">
        <f>'data 2021'!BA59</f>
        <v>0</v>
      </c>
      <c r="E233" s="212"/>
      <c r="F233" s="212"/>
      <c r="G233" s="212"/>
      <c r="H233" s="14">
        <f>'data 2021'!BE59</f>
        <v>209704.37</v>
      </c>
      <c r="I233" s="212"/>
    </row>
    <row r="234" spans="1:9" ht="20.149999999999999" customHeight="1">
      <c r="A234" s="23">
        <v>5</v>
      </c>
      <c r="B234" s="14" t="s">
        <v>234</v>
      </c>
      <c r="C234" s="26">
        <f>'data 2021'!AZ60</f>
        <v>0</v>
      </c>
      <c r="D234" s="26">
        <f>'data 2021'!BA60</f>
        <v>0</v>
      </c>
      <c r="E234" s="26">
        <f>'data 2021'!BB60</f>
        <v>7.19</v>
      </c>
      <c r="F234" s="26">
        <f>'data 2021'!BC60</f>
        <v>0</v>
      </c>
      <c r="G234" s="26">
        <f>'data 2021'!BD60</f>
        <v>5.5593664375946075</v>
      </c>
      <c r="H234" s="26">
        <f>'data 2021'!BE60</f>
        <v>19.196061643162185</v>
      </c>
      <c r="I234" s="26">
        <f>'data 2021'!BF60</f>
        <v>35.826861641633307</v>
      </c>
    </row>
    <row r="235" spans="1:9" ht="20.149999999999999" customHeight="1">
      <c r="A235" s="23">
        <v>6</v>
      </c>
      <c r="B235" s="14" t="s">
        <v>235</v>
      </c>
      <c r="C235" s="14">
        <f>'data 2021'!AZ61</f>
        <v>0</v>
      </c>
      <c r="D235" s="14">
        <f>'data 2021'!BA61</f>
        <v>0</v>
      </c>
      <c r="E235" s="14">
        <f>'data 2021'!BB61</f>
        <v>174039</v>
      </c>
      <c r="F235" s="14">
        <f>'data 2021'!BC61</f>
        <v>0</v>
      </c>
      <c r="G235" s="14">
        <f>'data 2021'!BD61</f>
        <v>464084.66000000003</v>
      </c>
      <c r="H235" s="14">
        <f>'data 2021'!BE61</f>
        <v>655375.59000000008</v>
      </c>
      <c r="I235" s="14">
        <f>'data 2021'!BF61</f>
        <v>725006.85000000009</v>
      </c>
    </row>
    <row r="236" spans="1:9" ht="20.149999999999999" customHeight="1">
      <c r="A236" s="23">
        <v>7</v>
      </c>
      <c r="B236" s="14" t="s">
        <v>3</v>
      </c>
      <c r="C236" s="14">
        <f>'data 2021'!AZ62</f>
        <v>0</v>
      </c>
      <c r="D236" s="14">
        <f>'data 2021'!BA62</f>
        <v>0</v>
      </c>
      <c r="E236" s="14">
        <f>'data 2021'!BB62</f>
        <v>15784</v>
      </c>
      <c r="F236" s="14">
        <f>'data 2021'!BC62</f>
        <v>0</v>
      </c>
      <c r="G236" s="14">
        <f>'data 2021'!BD62</f>
        <v>74303</v>
      </c>
      <c r="H236" s="14">
        <f>'data 2021'!BE62</f>
        <v>83049</v>
      </c>
      <c r="I236" s="14">
        <f>'data 2021'!BF62</f>
        <v>171377</v>
      </c>
    </row>
    <row r="237" spans="1:9" ht="20.149999999999999" customHeight="1">
      <c r="A237" s="23">
        <v>8</v>
      </c>
      <c r="B237" s="14" t="s">
        <v>236</v>
      </c>
      <c r="C237" s="14">
        <f>'data 2021'!AZ63</f>
        <v>0</v>
      </c>
      <c r="D237" s="14">
        <f>'data 2021'!BA63</f>
        <v>0</v>
      </c>
      <c r="E237" s="14">
        <f>'data 2021'!BB63</f>
        <v>13749</v>
      </c>
      <c r="F237" s="14">
        <f>'data 2021'!BC63</f>
        <v>0</v>
      </c>
      <c r="G237" s="14">
        <f>'data 2021'!BD63</f>
        <v>5280</v>
      </c>
      <c r="H237" s="14">
        <f>'data 2021'!BE63</f>
        <v>6543.83</v>
      </c>
      <c r="I237" s="14">
        <f>'data 2021'!BF63</f>
        <v>0</v>
      </c>
    </row>
    <row r="238" spans="1:9" ht="20.149999999999999" customHeight="1">
      <c r="A238" s="23">
        <v>9</v>
      </c>
      <c r="B238" s="14" t="s">
        <v>237</v>
      </c>
      <c r="C238" s="14">
        <f>'data 2021'!AZ64</f>
        <v>0</v>
      </c>
      <c r="D238" s="14">
        <f>'data 2021'!BA64</f>
        <v>0</v>
      </c>
      <c r="E238" s="14">
        <f>'data 2021'!BB64</f>
        <v>2621</v>
      </c>
      <c r="F238" s="14">
        <f>'data 2021'!BC64</f>
        <v>0</v>
      </c>
      <c r="G238" s="14">
        <f>'data 2021'!BD64</f>
        <v>4385885.83</v>
      </c>
      <c r="H238" s="14">
        <f>'data 2021'!BE64</f>
        <v>47667.66</v>
      </c>
      <c r="I238" s="14">
        <f>'data 2021'!BF64</f>
        <v>134279.57</v>
      </c>
    </row>
    <row r="239" spans="1:9" ht="20.149999999999999" customHeight="1">
      <c r="A239" s="23">
        <v>10</v>
      </c>
      <c r="B239" s="14" t="s">
        <v>444</v>
      </c>
      <c r="C239" s="14">
        <f>'data 2021'!AZ65</f>
        <v>0</v>
      </c>
      <c r="D239" s="14">
        <f>'data 2021'!BA65</f>
        <v>0</v>
      </c>
      <c r="E239" s="14">
        <f>'data 2021'!BB65</f>
        <v>0</v>
      </c>
      <c r="F239" s="14">
        <f>'data 2021'!BC65</f>
        <v>0</v>
      </c>
      <c r="G239" s="14">
        <f>'data 2021'!BD65</f>
        <v>0</v>
      </c>
      <c r="H239" s="14">
        <f>'data 2021'!BE65</f>
        <v>782370.63</v>
      </c>
      <c r="I239" s="14">
        <f>'data 2021'!BF65</f>
        <v>0</v>
      </c>
    </row>
    <row r="240" spans="1:9" ht="20.149999999999999" customHeight="1">
      <c r="A240" s="23">
        <v>11</v>
      </c>
      <c r="B240" s="14" t="s">
        <v>445</v>
      </c>
      <c r="C240" s="14">
        <f>'data 2021'!AZ66</f>
        <v>0</v>
      </c>
      <c r="D240" s="14">
        <f>'data 2021'!BA66</f>
        <v>306209.12</v>
      </c>
      <c r="E240" s="14">
        <f>'data 2021'!BB66</f>
        <v>1181</v>
      </c>
      <c r="F240" s="14">
        <f>'data 2021'!BC66</f>
        <v>0</v>
      </c>
      <c r="G240" s="14">
        <f>'data 2021'!BD66</f>
        <v>155584.13</v>
      </c>
      <c r="H240" s="14">
        <f>'data 2021'!BE66</f>
        <v>1323997.04</v>
      </c>
      <c r="I240" s="14">
        <f>'data 2021'!BF66</f>
        <v>316330.13</v>
      </c>
    </row>
    <row r="241" spans="1:9" ht="20.149999999999999" customHeight="1">
      <c r="A241" s="23">
        <v>12</v>
      </c>
      <c r="B241" s="14" t="s">
        <v>6</v>
      </c>
      <c r="C241" s="14">
        <f>'data 2021'!AZ67</f>
        <v>0</v>
      </c>
      <c r="D241" s="14">
        <f>'data 2021'!BA67</f>
        <v>0</v>
      </c>
      <c r="E241" s="14">
        <f>'data 2021'!BB67</f>
        <v>0</v>
      </c>
      <c r="F241" s="14">
        <f>'data 2021'!BC67</f>
        <v>0</v>
      </c>
      <c r="G241" s="14">
        <f>'data 2021'!BD67</f>
        <v>0</v>
      </c>
      <c r="H241" s="14">
        <f>'data 2021'!BE67</f>
        <v>0</v>
      </c>
      <c r="I241" s="14">
        <f>'data 2021'!BF67</f>
        <v>0</v>
      </c>
    </row>
    <row r="242" spans="1:9" ht="20.149999999999999" customHeight="1">
      <c r="A242" s="23">
        <v>13</v>
      </c>
      <c r="B242" s="14" t="s">
        <v>474</v>
      </c>
      <c r="C242" s="14">
        <f>'data 2021'!AZ68</f>
        <v>0</v>
      </c>
      <c r="D242" s="14">
        <f>'data 2021'!BA68</f>
        <v>0</v>
      </c>
      <c r="E242" s="14">
        <f>'data 2021'!BB68</f>
        <v>12</v>
      </c>
      <c r="F242" s="14">
        <f>'data 2021'!BC68</f>
        <v>0</v>
      </c>
      <c r="G242" s="14">
        <f>'data 2021'!BD68</f>
        <v>445.96</v>
      </c>
      <c r="H242" s="14">
        <f>'data 2021'!BE68</f>
        <v>2804.2299999999996</v>
      </c>
      <c r="I242" s="14">
        <f>'data 2021'!BF68</f>
        <v>0</v>
      </c>
    </row>
    <row r="243" spans="1:9" ht="20.149999999999999" customHeight="1">
      <c r="A243" s="23">
        <v>14</v>
      </c>
      <c r="B243" s="14" t="s">
        <v>241</v>
      </c>
      <c r="C243" s="14">
        <f>'data 2021'!AZ69</f>
        <v>0</v>
      </c>
      <c r="D243" s="14">
        <f>'data 2021'!BA69</f>
        <v>0</v>
      </c>
      <c r="E243" s="14">
        <f>'data 2021'!BB69</f>
        <v>68726</v>
      </c>
      <c r="F243" s="14">
        <f>'data 2021'!BC69</f>
        <v>0</v>
      </c>
      <c r="G243" s="14">
        <f>'data 2021'!BD69</f>
        <v>79576.600000000006</v>
      </c>
      <c r="H243" s="14">
        <f>'data 2021'!BE69</f>
        <v>323167.78000000003</v>
      </c>
      <c r="I243" s="14">
        <f>'data 2021'!BF69</f>
        <v>6751.24</v>
      </c>
    </row>
    <row r="244" spans="1:9" ht="20.149999999999999" customHeight="1">
      <c r="A244" s="23">
        <v>15</v>
      </c>
      <c r="B244" s="14" t="s">
        <v>242</v>
      </c>
      <c r="C244" s="14">
        <f>-'data 2021'!AZ70</f>
        <v>0</v>
      </c>
      <c r="D244" s="14">
        <f>-'data 2021'!BA70</f>
        <v>0</v>
      </c>
      <c r="E244" s="14">
        <f>-'data 2021'!BB70</f>
        <v>0</v>
      </c>
      <c r="F244" s="14">
        <f>-'data 2021'!BC70</f>
        <v>0</v>
      </c>
      <c r="G244" s="14">
        <f>-'data 2021'!BD70</f>
        <v>0</v>
      </c>
      <c r="H244" s="14">
        <f>-'data 2021'!BE70</f>
        <v>0</v>
      </c>
      <c r="I244" s="14">
        <f>-'data 2021'!BF70</f>
        <v>-160</v>
      </c>
    </row>
    <row r="245" spans="1:9" ht="20.149999999999999" customHeight="1">
      <c r="A245" s="23">
        <v>16</v>
      </c>
      <c r="B245" s="48" t="s">
        <v>1180</v>
      </c>
      <c r="C245" s="14">
        <f>'data 2021'!AZ71</f>
        <v>0</v>
      </c>
      <c r="D245" s="14">
        <f>'data 2021'!BA71</f>
        <v>306209.12</v>
      </c>
      <c r="E245" s="14">
        <f>'data 2021'!BB71</f>
        <v>276112</v>
      </c>
      <c r="F245" s="14">
        <f>'data 2021'!BC71</f>
        <v>0</v>
      </c>
      <c r="G245" s="14">
        <f>'data 2021'!BD71</f>
        <v>5165160.18</v>
      </c>
      <c r="H245" s="14">
        <f>'data 2021'!BE71</f>
        <v>3224975.76</v>
      </c>
      <c r="I245" s="14">
        <f>'data 2021'!BF71</f>
        <v>1353584.7900000003</v>
      </c>
    </row>
    <row r="246" spans="1:9" ht="20.149999999999999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>
      <c r="A248" s="23">
        <v>19</v>
      </c>
      <c r="B248" s="48" t="s">
        <v>1182</v>
      </c>
      <c r="C248" s="213" t="str">
        <f>IF('data 2021'!AZ73&gt;0,'data 2021'!AZ73,"")</f>
        <v/>
      </c>
      <c r="D248" s="213" t="str">
        <f>IF('data 2021'!BA73&gt;0,'data 2021'!BA73,"")</f>
        <v/>
      </c>
      <c r="E248" s="213" t="str">
        <f>IF('data 2021'!BB73&gt;0,'data 2021'!BB73,"")</f>
        <v/>
      </c>
      <c r="F248" s="213" t="str">
        <f>IF('data 2021'!BC73&gt;0,'data 2021'!BC73,"")</f>
        <v/>
      </c>
      <c r="G248" s="213" t="str">
        <f>IF('data 2021'!BD73&gt;0,'data 2021'!BD73,"")</f>
        <v/>
      </c>
      <c r="H248" s="213" t="str">
        <f>IF('data 2021'!BE73&gt;0,'data 2021'!BE73,"")</f>
        <v/>
      </c>
      <c r="I248" s="213" t="str">
        <f>IF('data 2021'!BF73&gt;0,'data 2021'!BF73,"")</f>
        <v/>
      </c>
    </row>
    <row r="249" spans="1:9" ht="20.149999999999999" customHeight="1">
      <c r="A249" s="23">
        <v>20</v>
      </c>
      <c r="B249" s="48" t="s">
        <v>1183</v>
      </c>
      <c r="C249" s="213" t="str">
        <f>IF('data 2021'!AZ74&gt;0,'data 2021'!AZ74,"")</f>
        <v/>
      </c>
      <c r="D249" s="213" t="str">
        <f>IF('data 2021'!BA74&gt;0,'data 2021'!BA74,"")</f>
        <v/>
      </c>
      <c r="E249" s="213" t="str">
        <f>IF('data 2021'!BB74&gt;0,'data 2021'!BB74,"")</f>
        <v/>
      </c>
      <c r="F249" s="213" t="str">
        <f>IF('data 2021'!BC74&gt;0,'data 2021'!BC74,"")</f>
        <v/>
      </c>
      <c r="G249" s="213" t="str">
        <f>IF('data 2021'!BD74&gt;0,'data 2021'!BD74,"")</f>
        <v/>
      </c>
      <c r="H249" s="213" t="str">
        <f>IF('data 2021'!BE74&gt;0,'data 2021'!BE74,"")</f>
        <v/>
      </c>
      <c r="I249" s="213" t="str">
        <f>IF('data 2021'!BF74&gt;0,'data 2021'!BF74,"")</f>
        <v/>
      </c>
    </row>
    <row r="250" spans="1:9" ht="20.149999999999999" customHeight="1">
      <c r="A250" s="23">
        <v>21</v>
      </c>
      <c r="B250" s="48" t="s">
        <v>1184</v>
      </c>
      <c r="C250" s="213" t="str">
        <f>IF('data 2021'!AZ75&gt;0,'data 2021'!AZ75,"")</f>
        <v/>
      </c>
      <c r="D250" s="213" t="str">
        <f>IF('data 2021'!BA75&gt;0,'data 2021'!BA75,"")</f>
        <v/>
      </c>
      <c r="E250" s="213" t="str">
        <f>IF('data 2021'!BB75&gt;0,'data 2021'!BB75,"")</f>
        <v/>
      </c>
      <c r="F250" s="213" t="str">
        <f>IF('data 2021'!BC75&gt;0,'data 2021'!BC75,"")</f>
        <v/>
      </c>
      <c r="G250" s="213" t="str">
        <f>IF('data 2021'!BD75&gt;0,'data 2021'!BD75,"")</f>
        <v/>
      </c>
      <c r="H250" s="213" t="str">
        <f>IF('data 2021'!BE75&gt;0,'data 2021'!BE75,"")</f>
        <v/>
      </c>
      <c r="I250" s="213" t="str">
        <f>IF('data 2021'!BF75&gt;0,'data 2021'!BF75,"")</f>
        <v/>
      </c>
    </row>
    <row r="251" spans="1:9" ht="20.149999999999999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>
      <c r="A252" s="23">
        <v>22</v>
      </c>
      <c r="B252" s="14" t="s">
        <v>1186</v>
      </c>
      <c r="C252" s="85">
        <f>'data 2021'!AZ76</f>
        <v>0</v>
      </c>
      <c r="D252" s="85">
        <f>'data 2021'!BA76</f>
        <v>0</v>
      </c>
      <c r="E252" s="85">
        <f>'data 2021'!BB76</f>
        <v>0</v>
      </c>
      <c r="F252" s="85">
        <f>'data 2021'!BC76</f>
        <v>0</v>
      </c>
      <c r="G252" s="85">
        <f>'data 2021'!BD76</f>
        <v>2564.81</v>
      </c>
      <c r="H252" s="85">
        <f>'data 2021'!BE76</f>
        <v>45772.18</v>
      </c>
      <c r="I252" s="85">
        <f>'data 2021'!BF76</f>
        <v>2289.46</v>
      </c>
    </row>
    <row r="253" spans="1:9" ht="20.149999999999999" customHeight="1">
      <c r="A253" s="23">
        <v>23</v>
      </c>
      <c r="B253" s="14" t="s">
        <v>1187</v>
      </c>
      <c r="C253" s="85">
        <f>'data 2021'!AZ77</f>
        <v>0</v>
      </c>
      <c r="D253" s="85">
        <f>'data 2021'!BA77</f>
        <v>0</v>
      </c>
      <c r="E253" s="85">
        <f>'data 2021'!BB77</f>
        <v>0</v>
      </c>
      <c r="F253" s="85">
        <f>'data 2021'!BC77</f>
        <v>0</v>
      </c>
      <c r="G253" s="213" t="str">
        <f>IF('data 2021'!BD77&gt;0,'data 2021'!BD77,"")</f>
        <v>x</v>
      </c>
      <c r="H253" s="213" t="str">
        <f>IF('data 2021'!BE77&gt;0,'data 2021'!BE77,"")</f>
        <v>x</v>
      </c>
      <c r="I253" s="85">
        <f>'data 2021'!BF77</f>
        <v>0</v>
      </c>
    </row>
    <row r="254" spans="1:9" ht="20.149999999999999" customHeight="1">
      <c r="A254" s="23">
        <v>24</v>
      </c>
      <c r="B254" s="14" t="s">
        <v>1188</v>
      </c>
      <c r="C254" s="213" t="str">
        <f>IF('data 2021'!AZ78&gt;0,'data 2021'!AZ78,"")</f>
        <v>x</v>
      </c>
      <c r="D254" s="85">
        <f>'data 2021'!BA78</f>
        <v>0</v>
      </c>
      <c r="E254" s="85">
        <f>'data 2021'!BB78</f>
        <v>189</v>
      </c>
      <c r="F254" s="85">
        <f>'data 2021'!BC78</f>
        <v>0</v>
      </c>
      <c r="G254" s="213" t="str">
        <f>IF('data 2021'!BD78&gt;0,'data 2021'!BD78,"")</f>
        <v>x</v>
      </c>
      <c r="H254" s="213" t="str">
        <f>IF('data 2021'!BE78&gt;0,'data 2021'!BE78,"")</f>
        <v>x</v>
      </c>
      <c r="I254" s="213" t="str">
        <f>IF('data 2021'!BF78&gt;0,'data 2021'!BF78,"")</f>
        <v>x</v>
      </c>
    </row>
    <row r="255" spans="1:9" ht="20.149999999999999" customHeight="1">
      <c r="A255" s="23">
        <v>25</v>
      </c>
      <c r="B255" s="14" t="s">
        <v>1189</v>
      </c>
      <c r="C255" s="213" t="str">
        <f>IF('data 2021'!AZ79&gt;0,'data 2021'!AZ79,"")</f>
        <v>x</v>
      </c>
      <c r="D255" s="213" t="str">
        <f>IF('data 2021'!BA79&gt;0,'data 2021'!BA79,"")</f>
        <v>x</v>
      </c>
      <c r="E255" s="85">
        <f>'data 2021'!BB79</f>
        <v>0</v>
      </c>
      <c r="F255" s="85">
        <f>'data 2021'!BC79</f>
        <v>0</v>
      </c>
      <c r="G255" s="213" t="str">
        <f>IF('data 2021'!BD79&gt;0,'data 2021'!BD79,"")</f>
        <v>x</v>
      </c>
      <c r="H255" s="213" t="str">
        <f>IF('data 2021'!BE79&gt;0,'data 2021'!BE79,"")</f>
        <v>x</v>
      </c>
      <c r="I255" s="213" t="str">
        <f>IF('data 2021'!BF79&gt;0,'data 2021'!BF79,"")</f>
        <v>x</v>
      </c>
    </row>
    <row r="256" spans="1:9" ht="20.149999999999999" customHeight="1">
      <c r="A256" s="23">
        <v>26</v>
      </c>
      <c r="B256" s="14" t="s">
        <v>252</v>
      </c>
      <c r="C256" s="213" t="str">
        <f>IF('data 2021'!AZ80&gt;0,'data 2021'!AZ80,"")</f>
        <v>x</v>
      </c>
      <c r="D256" s="213" t="str">
        <f>IF('data 2021'!BA80&gt;0,'data 2021'!BA80,"")</f>
        <v>x</v>
      </c>
      <c r="E256" s="213" t="str">
        <f>IF('data 2021'!BB80&gt;0,'data 2021'!BB80,"")</f>
        <v>x</v>
      </c>
      <c r="F256" s="213" t="str">
        <f>IF('data 2021'!BC80&gt;0,'data 2021'!BC80,"")</f>
        <v>x</v>
      </c>
      <c r="G256" s="213" t="str">
        <f>IF('data 2021'!BD80&gt;0,'data 2021'!BD80,"")</f>
        <v>x</v>
      </c>
      <c r="H256" s="213" t="str">
        <f>IF('data 2021'!BE80&gt;0,'data 2021'!BE80,"")</f>
        <v>x</v>
      </c>
      <c r="I256" s="213" t="str">
        <f>IF('data 2021'!BF80&gt;0,'data 2021'!BF80,"")</f>
        <v>x</v>
      </c>
    </row>
    <row r="257" spans="1:9" ht="20.149999999999999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>
      <c r="A260" s="79" t="str">
        <f>"HOSPITAL NAME: "&amp;'data 2021'!C84</f>
        <v>HOSPITAL NAME: Capital Medical Center</v>
      </c>
      <c r="B260" s="77"/>
      <c r="C260" s="77"/>
      <c r="D260" s="77"/>
      <c r="E260" s="77"/>
      <c r="F260" s="77"/>
      <c r="G260" s="80"/>
      <c r="H260" s="79" t="str">
        <f>"FYE: "&amp;'data 2021'!C82</f>
        <v>FYE: 12/31/2021</v>
      </c>
    </row>
    <row r="261" spans="1:9" ht="20.149999999999999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>
      <c r="A266" s="23">
        <v>5</v>
      </c>
      <c r="B266" s="14" t="s">
        <v>234</v>
      </c>
      <c r="C266" s="26">
        <f>'data 2021'!BG60</f>
        <v>2.7948294518609824</v>
      </c>
      <c r="D266" s="26">
        <f>'data 2021'!BH60</f>
        <v>5.44</v>
      </c>
      <c r="E266" s="26">
        <f>'data 2021'!BI60</f>
        <v>0</v>
      </c>
      <c r="F266" s="26">
        <f>'data 2021'!BJ60</f>
        <v>6.5242273969733944</v>
      </c>
      <c r="G266" s="26">
        <f>'data 2021'!BK60</f>
        <v>0</v>
      </c>
      <c r="H266" s="26">
        <f>'data 2021'!BL60</f>
        <v>5.6682410955303784</v>
      </c>
      <c r="I266" s="26">
        <f>'data 2021'!BM60</f>
        <v>16.420000000000002</v>
      </c>
    </row>
    <row r="267" spans="1:9" ht="20.149999999999999" customHeight="1">
      <c r="A267" s="23">
        <v>6</v>
      </c>
      <c r="B267" s="14" t="s">
        <v>235</v>
      </c>
      <c r="C267" s="14">
        <f>'data 2021'!BG61</f>
        <v>65025.85</v>
      </c>
      <c r="D267" s="14">
        <f>'data 2021'!BH61</f>
        <v>129029</v>
      </c>
      <c r="E267" s="14">
        <f>'data 2021'!BI61</f>
        <v>0</v>
      </c>
      <c r="F267" s="14">
        <f>'data 2021'!BJ61</f>
        <v>285619.46999999997</v>
      </c>
      <c r="G267" s="14">
        <f>'data 2021'!BK61</f>
        <v>686.85</v>
      </c>
      <c r="H267" s="14">
        <f>'data 2021'!BL61</f>
        <v>163581.21999999997</v>
      </c>
      <c r="I267" s="14">
        <f>'data 2021'!BM61</f>
        <v>184879</v>
      </c>
    </row>
    <row r="268" spans="1:9" ht="20.149999999999999" customHeight="1">
      <c r="A268" s="23">
        <v>7</v>
      </c>
      <c r="B268" s="14" t="s">
        <v>3</v>
      </c>
      <c r="C268" s="14">
        <f>'data 2021'!BG62</f>
        <v>16633</v>
      </c>
      <c r="D268" s="14">
        <f>'data 2021'!BH62</f>
        <v>9932</v>
      </c>
      <c r="E268" s="14">
        <f>'data 2021'!BI62</f>
        <v>0</v>
      </c>
      <c r="F268" s="14">
        <f>'data 2021'!BJ62</f>
        <v>31379</v>
      </c>
      <c r="G268" s="14">
        <f>'data 2021'!BK62</f>
        <v>169</v>
      </c>
      <c r="H268" s="14">
        <f>'data 2021'!BL62</f>
        <v>30912</v>
      </c>
      <c r="I268" s="14">
        <f>'data 2021'!BM62</f>
        <v>13574</v>
      </c>
    </row>
    <row r="269" spans="1:9" ht="20.149999999999999" customHeight="1">
      <c r="A269" s="23">
        <v>8</v>
      </c>
      <c r="B269" s="14" t="s">
        <v>236</v>
      </c>
      <c r="C269" s="14">
        <f>'data 2021'!BG63</f>
        <v>0</v>
      </c>
      <c r="D269" s="14">
        <f>'data 2021'!BH63</f>
        <v>0</v>
      </c>
      <c r="E269" s="14">
        <f>'data 2021'!BI63</f>
        <v>0</v>
      </c>
      <c r="F269" s="14">
        <f>'data 2021'!BJ63</f>
        <v>2756.13</v>
      </c>
      <c r="G269" s="14">
        <f>'data 2021'!BK63</f>
        <v>-171.53999999999996</v>
      </c>
      <c r="H269" s="14">
        <f>'data 2021'!BL63</f>
        <v>0</v>
      </c>
      <c r="I269" s="14">
        <f>'data 2021'!BM63</f>
        <v>0</v>
      </c>
    </row>
    <row r="270" spans="1:9" ht="20.149999999999999" customHeight="1">
      <c r="A270" s="23">
        <v>9</v>
      </c>
      <c r="B270" s="14" t="s">
        <v>237</v>
      </c>
      <c r="C270" s="14">
        <f>'data 2021'!BG64</f>
        <v>0</v>
      </c>
      <c r="D270" s="14">
        <f>'data 2021'!BH64</f>
        <v>17403</v>
      </c>
      <c r="E270" s="14">
        <f>'data 2021'!BI64</f>
        <v>0</v>
      </c>
      <c r="F270" s="14">
        <f>'data 2021'!BJ64</f>
        <v>6953.15</v>
      </c>
      <c r="G270" s="14">
        <f>'data 2021'!BK64</f>
        <v>5.9700000000000006</v>
      </c>
      <c r="H270" s="14">
        <f>'data 2021'!BL64</f>
        <v>2960</v>
      </c>
      <c r="I270" s="14">
        <f>'data 2021'!BM64</f>
        <v>5248</v>
      </c>
    </row>
    <row r="271" spans="1:9" ht="20.149999999999999" customHeight="1">
      <c r="A271" s="23">
        <v>10</v>
      </c>
      <c r="B271" s="14" t="s">
        <v>444</v>
      </c>
      <c r="C271" s="14">
        <f>'data 2021'!BG65</f>
        <v>69016.160000000003</v>
      </c>
      <c r="D271" s="14">
        <f>'data 2021'!BH65</f>
        <v>0</v>
      </c>
      <c r="E271" s="14">
        <f>'data 2021'!BI65</f>
        <v>0</v>
      </c>
      <c r="F271" s="14">
        <f>'data 2021'!BJ65</f>
        <v>0</v>
      </c>
      <c r="G271" s="14">
        <f>'data 2021'!BK65</f>
        <v>0</v>
      </c>
      <c r="H271" s="14">
        <f>'data 2021'!BL65</f>
        <v>0</v>
      </c>
      <c r="I271" s="14">
        <f>'data 2021'!BM65</f>
        <v>0</v>
      </c>
    </row>
    <row r="272" spans="1:9" ht="20.149999999999999" customHeight="1">
      <c r="A272" s="23">
        <v>11</v>
      </c>
      <c r="B272" s="14" t="s">
        <v>445</v>
      </c>
      <c r="C272" s="14">
        <f>'data 2021'!BG66</f>
        <v>854</v>
      </c>
      <c r="D272" s="14">
        <f>'data 2021'!BH66</f>
        <v>446582</v>
      </c>
      <c r="E272" s="14">
        <f>'data 2021'!BI66</f>
        <v>0</v>
      </c>
      <c r="F272" s="14">
        <f>'data 2021'!BJ66</f>
        <v>259653.52000000002</v>
      </c>
      <c r="G272" s="14">
        <f>'data 2021'!BK66</f>
        <v>2234371.37</v>
      </c>
      <c r="H272" s="14">
        <f>'data 2021'!BL66</f>
        <v>0</v>
      </c>
      <c r="I272" s="14">
        <f>'data 2021'!BM66</f>
        <v>10154</v>
      </c>
    </row>
    <row r="273" spans="1:9" ht="20.149999999999999" customHeight="1">
      <c r="A273" s="23">
        <v>12</v>
      </c>
      <c r="B273" s="14" t="s">
        <v>6</v>
      </c>
      <c r="C273" s="14">
        <f>'data 2021'!BG67</f>
        <v>0</v>
      </c>
      <c r="D273" s="14">
        <f>'data 2021'!BH67</f>
        <v>0</v>
      </c>
      <c r="E273" s="14">
        <f>'data 2021'!BI67</f>
        <v>0</v>
      </c>
      <c r="F273" s="14">
        <f>'data 2021'!BJ67</f>
        <v>0</v>
      </c>
      <c r="G273" s="14">
        <f>'data 2021'!BK67</f>
        <v>0</v>
      </c>
      <c r="H273" s="14">
        <f>'data 2021'!BL67</f>
        <v>0</v>
      </c>
      <c r="I273" s="14">
        <f>'data 2021'!BM67</f>
        <v>0</v>
      </c>
    </row>
    <row r="274" spans="1:9" ht="20.149999999999999" customHeight="1">
      <c r="A274" s="23">
        <v>13</v>
      </c>
      <c r="B274" s="14" t="s">
        <v>474</v>
      </c>
      <c r="C274" s="14">
        <f>'data 2021'!BG68</f>
        <v>0</v>
      </c>
      <c r="D274" s="14">
        <f>'data 2021'!BH68</f>
        <v>0</v>
      </c>
      <c r="E274" s="14">
        <f>'data 2021'!BI68</f>
        <v>0</v>
      </c>
      <c r="F274" s="14">
        <f>'data 2021'!BJ68</f>
        <v>7</v>
      </c>
      <c r="G274" s="14">
        <f>'data 2021'!BK68</f>
        <v>0</v>
      </c>
      <c r="H274" s="14">
        <f>'data 2021'!BL68</f>
        <v>0</v>
      </c>
      <c r="I274" s="14">
        <f>'data 2021'!BM68</f>
        <v>0</v>
      </c>
    </row>
    <row r="275" spans="1:9" ht="20.149999999999999" customHeight="1">
      <c r="A275" s="23">
        <v>14</v>
      </c>
      <c r="B275" s="14" t="s">
        <v>241</v>
      </c>
      <c r="C275" s="14">
        <f>'data 2021'!BG69</f>
        <v>110497.26</v>
      </c>
      <c r="D275" s="14">
        <f>'data 2021'!BH69</f>
        <v>75002</v>
      </c>
      <c r="E275" s="14">
        <f>'data 2021'!BI69</f>
        <v>0</v>
      </c>
      <c r="F275" s="14">
        <f>'data 2021'!BJ69</f>
        <v>36808.5</v>
      </c>
      <c r="G275" s="14">
        <f>'data 2021'!BK69</f>
        <v>8.0099999999999909</v>
      </c>
      <c r="H275" s="14">
        <f>'data 2021'!BL69</f>
        <v>0</v>
      </c>
      <c r="I275" s="14">
        <f>'data 2021'!BM69</f>
        <v>60305</v>
      </c>
    </row>
    <row r="276" spans="1:9" ht="20.149999999999999" customHeight="1">
      <c r="A276" s="23">
        <v>15</v>
      </c>
      <c r="B276" s="14" t="s">
        <v>242</v>
      </c>
      <c r="C276" s="14">
        <f>-'data 2021'!BG70</f>
        <v>0</v>
      </c>
      <c r="D276" s="14">
        <f>-'data 2021'!BH70</f>
        <v>0</v>
      </c>
      <c r="E276" s="14">
        <f>-'data 2021'!BI70</f>
        <v>0</v>
      </c>
      <c r="F276" s="14">
        <f>-'data 2021'!BJ70</f>
        <v>0</v>
      </c>
      <c r="G276" s="14">
        <f>-'data 2021'!BK70</f>
        <v>0</v>
      </c>
      <c r="H276" s="14">
        <f>-'data 2021'!BL70</f>
        <v>0</v>
      </c>
      <c r="I276" s="14">
        <f>-'data 2021'!BM70</f>
        <v>0</v>
      </c>
    </row>
    <row r="277" spans="1:9" ht="20.149999999999999" customHeight="1">
      <c r="A277" s="23">
        <v>16</v>
      </c>
      <c r="B277" s="48" t="s">
        <v>1180</v>
      </c>
      <c r="C277" s="14">
        <f>'data 2021'!BG71</f>
        <v>262026.27000000002</v>
      </c>
      <c r="D277" s="14">
        <f>'data 2021'!BH71</f>
        <v>677948</v>
      </c>
      <c r="E277" s="14">
        <f>'data 2021'!BI71</f>
        <v>0</v>
      </c>
      <c r="F277" s="14">
        <f>'data 2021'!BJ71</f>
        <v>623176.77</v>
      </c>
      <c r="G277" s="14">
        <f>'data 2021'!BK71</f>
        <v>2235069.6599999997</v>
      </c>
      <c r="H277" s="14">
        <f>'data 2021'!BL71</f>
        <v>197453.21999999997</v>
      </c>
      <c r="I277" s="14">
        <f>'data 2021'!BM71</f>
        <v>274160</v>
      </c>
    </row>
    <row r="278" spans="1:9" ht="20.149999999999999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>
      <c r="A280" s="23">
        <v>19</v>
      </c>
      <c r="B280" s="48" t="s">
        <v>1182</v>
      </c>
      <c r="C280" s="213" t="str">
        <f>IF('data 2021'!BG73&gt;0,'data 2021'!BG73,"")</f>
        <v/>
      </c>
      <c r="D280" s="213" t="str">
        <f>IF('data 2021'!BH73&gt;0,'data 2021'!BH73,"")</f>
        <v/>
      </c>
      <c r="E280" s="213" t="str">
        <f>IF('data 2021'!BI73&gt;0,'data 2021'!BI73,"")</f>
        <v/>
      </c>
      <c r="F280" s="213" t="str">
        <f>IF('data 2021'!BJ73&gt;0,'data 2021'!BJ73,"")</f>
        <v/>
      </c>
      <c r="G280" s="213" t="str">
        <f>IF('data 2021'!BK73&gt;0,'data 2021'!BK73,"")</f>
        <v/>
      </c>
      <c r="H280" s="213" t="str">
        <f>IF('data 2021'!BL73&gt;0,'data 2021'!BL73,"")</f>
        <v/>
      </c>
      <c r="I280" s="213" t="str">
        <f>IF('data 2021'!BM73&gt;0,'data 2021'!BM73,"")</f>
        <v/>
      </c>
    </row>
    <row r="281" spans="1:9" ht="20.149999999999999" customHeight="1">
      <c r="A281" s="23">
        <v>20</v>
      </c>
      <c r="B281" s="48" t="s">
        <v>1183</v>
      </c>
      <c r="C281" s="213" t="str">
        <f>IF('data 2021'!BG74&gt;0,'data 2021'!BG74,"")</f>
        <v/>
      </c>
      <c r="D281" s="213" t="str">
        <f>IF('data 2021'!BH74&gt;0,'data 2021'!BH74,"")</f>
        <v/>
      </c>
      <c r="E281" s="213" t="str">
        <f>IF('data 2021'!BI74&gt;0,'data 2021'!BI74,"")</f>
        <v/>
      </c>
      <c r="F281" s="213" t="str">
        <f>IF('data 2021'!BJ74&gt;0,'data 2021'!BJ74,"")</f>
        <v/>
      </c>
      <c r="G281" s="213" t="str">
        <f>IF('data 2021'!BK74&gt;0,'data 2021'!BK74,"")</f>
        <v/>
      </c>
      <c r="H281" s="213" t="str">
        <f>IF('data 2021'!BL74&gt;0,'data 2021'!BL74,"")</f>
        <v/>
      </c>
      <c r="I281" s="213" t="str">
        <f>IF('data 2021'!BM74&gt;0,'data 2021'!BM74,"")</f>
        <v/>
      </c>
    </row>
    <row r="282" spans="1:9" ht="20.149999999999999" customHeight="1">
      <c r="A282" s="23">
        <v>21</v>
      </c>
      <c r="B282" s="48" t="s">
        <v>1184</v>
      </c>
      <c r="C282" s="213" t="str">
        <f>IF('data 2021'!BG75&gt;0,'data 2021'!BG75,"")</f>
        <v/>
      </c>
      <c r="D282" s="213" t="str">
        <f>IF('data 2021'!BH75&gt;0,'data 2021'!BH75,"")</f>
        <v/>
      </c>
      <c r="E282" s="213" t="str">
        <f>IF('data 2021'!BI75&gt;0,'data 2021'!BI75,"")</f>
        <v/>
      </c>
      <c r="F282" s="213" t="str">
        <f>IF('data 2021'!BJ75&gt;0,'data 2021'!BJ75,"")</f>
        <v/>
      </c>
      <c r="G282" s="213" t="str">
        <f>IF('data 2021'!BK75&gt;0,'data 2021'!BK75,"")</f>
        <v/>
      </c>
      <c r="H282" s="213" t="str">
        <f>IF('data 2021'!BL75&gt;0,'data 2021'!BL75,"")</f>
        <v/>
      </c>
      <c r="I282" s="213" t="str">
        <f>IF('data 2021'!BM75&gt;0,'data 2021'!BM75,"")</f>
        <v/>
      </c>
    </row>
    <row r="283" spans="1:9" ht="20.149999999999999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>
      <c r="A284" s="23">
        <v>22</v>
      </c>
      <c r="B284" s="14" t="s">
        <v>1186</v>
      </c>
      <c r="C284" s="85">
        <f>'data 2021'!BG76</f>
        <v>0</v>
      </c>
      <c r="D284" s="85">
        <f>'data 2021'!BH76</f>
        <v>0</v>
      </c>
      <c r="E284" s="85">
        <f>'data 2021'!BI76</f>
        <v>0</v>
      </c>
      <c r="F284" s="85">
        <f>'data 2021'!BJ76</f>
        <v>0</v>
      </c>
      <c r="G284" s="85">
        <f>'data 2021'!BK76</f>
        <v>0</v>
      </c>
      <c r="H284" s="85">
        <f>'data 2021'!BL76</f>
        <v>0</v>
      </c>
      <c r="I284" s="85">
        <f>'data 2021'!BM76</f>
        <v>0</v>
      </c>
    </row>
    <row r="285" spans="1:9" ht="20.149999999999999" customHeight="1">
      <c r="A285" s="23">
        <v>23</v>
      </c>
      <c r="B285" s="14" t="s">
        <v>1187</v>
      </c>
      <c r="C285" s="213" t="str">
        <f>IF('data 2021'!BG77&gt;0,'data 2021'!BG77,"")</f>
        <v>x</v>
      </c>
      <c r="D285" s="85">
        <f>'data 2021'!BH77</f>
        <v>0</v>
      </c>
      <c r="E285" s="85">
        <f>'data 2021'!BI77</f>
        <v>0</v>
      </c>
      <c r="F285" s="213" t="str">
        <f>IF('data 2021'!BJ77&gt;0,'data 2021'!BJ77,"")</f>
        <v>x</v>
      </c>
      <c r="G285" s="85">
        <f>'data 2021'!BK77</f>
        <v>0</v>
      </c>
      <c r="H285" s="85">
        <f>'data 2021'!BL77</f>
        <v>0</v>
      </c>
      <c r="I285" s="85">
        <f>'data 2021'!BM77</f>
        <v>0</v>
      </c>
    </row>
    <row r="286" spans="1:9" ht="20.149999999999999" customHeight="1">
      <c r="A286" s="23">
        <v>24</v>
      </c>
      <c r="B286" s="14" t="s">
        <v>1188</v>
      </c>
      <c r="C286" s="213" t="str">
        <f>IF('data 2021'!BG78&gt;0,'data 2021'!BG78,"")</f>
        <v>x</v>
      </c>
      <c r="D286" s="85">
        <f>'data 2021'!BH78</f>
        <v>192</v>
      </c>
      <c r="E286" s="85">
        <f>'data 2021'!BI78</f>
        <v>0</v>
      </c>
      <c r="F286" s="213" t="str">
        <f>IF('data 2021'!BJ78&gt;0,'data 2021'!BJ78,"")</f>
        <v>x</v>
      </c>
      <c r="G286" s="85">
        <f>'data 2021'!BK78</f>
        <v>0</v>
      </c>
      <c r="H286" s="85">
        <f>'data 2021'!BL78</f>
        <v>459</v>
      </c>
      <c r="I286" s="85">
        <f>'data 2021'!BM78</f>
        <v>0</v>
      </c>
    </row>
    <row r="287" spans="1:9" ht="20.149999999999999" customHeight="1">
      <c r="A287" s="23">
        <v>25</v>
      </c>
      <c r="B287" s="14" t="s">
        <v>1189</v>
      </c>
      <c r="C287" s="213" t="str">
        <f>IF('data 2021'!BG79&gt;0,'data 2021'!BG79,"")</f>
        <v>x</v>
      </c>
      <c r="D287" s="85">
        <f>'data 2021'!BH79</f>
        <v>0</v>
      </c>
      <c r="E287" s="85">
        <f>'data 2021'!BI79</f>
        <v>0</v>
      </c>
      <c r="F287" s="213" t="str">
        <f>IF('data 2021'!BJ79&gt;0,'data 2021'!BJ79,"")</f>
        <v>x</v>
      </c>
      <c r="G287" s="85">
        <f>'data 2021'!BK79</f>
        <v>0</v>
      </c>
      <c r="H287" s="85">
        <f>'data 2021'!BL79</f>
        <v>0</v>
      </c>
      <c r="I287" s="85">
        <f>'data 2021'!BM79</f>
        <v>0</v>
      </c>
    </row>
    <row r="288" spans="1:9" ht="20.149999999999999" customHeight="1">
      <c r="A288" s="23">
        <v>26</v>
      </c>
      <c r="B288" s="14" t="s">
        <v>252</v>
      </c>
      <c r="C288" s="213" t="str">
        <f>IF('data 2021'!BG80&gt;0,'data 2021'!BG80,"")</f>
        <v>x</v>
      </c>
      <c r="D288" s="213" t="str">
        <f>IF('data 2021'!BH80&gt;0,'data 2021'!BH80,"")</f>
        <v>x</v>
      </c>
      <c r="E288" s="213" t="str">
        <f>IF('data 2021'!BI80&gt;0,'data 2021'!BI80,"")</f>
        <v>x</v>
      </c>
      <c r="F288" s="213" t="str">
        <f>IF('data 2021'!BJ80&gt;0,'data 2021'!BJ80,"")</f>
        <v>x</v>
      </c>
      <c r="G288" s="213" t="str">
        <f>IF('data 2021'!BK80&gt;0,'data 2021'!BK80,"")</f>
        <v>x</v>
      </c>
      <c r="H288" s="213" t="str">
        <f>IF('data 2021'!BL80&gt;0,'data 2021'!BL80,"")</f>
        <v>x</v>
      </c>
      <c r="I288" s="213" t="str">
        <f>IF('data 2021'!BM80&gt;0,'data 2021'!BM80,"")</f>
        <v>x</v>
      </c>
    </row>
    <row r="289" spans="1:9" ht="20.149999999999999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>
      <c r="A292" s="79" t="str">
        <f>"HOSPITAL NAME: "&amp;'data 2021'!C84</f>
        <v>HOSPITAL NAME: Capital Medical Center</v>
      </c>
      <c r="B292" s="77"/>
      <c r="C292" s="77"/>
      <c r="D292" s="77"/>
      <c r="E292" s="77"/>
      <c r="F292" s="77"/>
      <c r="G292" s="80"/>
      <c r="H292" s="79" t="str">
        <f>"FYE: "&amp;'data 2021'!C82</f>
        <v>FYE: 12/31/2021</v>
      </c>
    </row>
    <row r="293" spans="1:9" ht="20.149999999999999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>
      <c r="A298" s="23">
        <v>5</v>
      </c>
      <c r="B298" s="14" t="s">
        <v>234</v>
      </c>
      <c r="C298" s="26">
        <f>'data 2021'!BN60</f>
        <v>17.676326711922421</v>
      </c>
      <c r="D298" s="26">
        <f>'data 2021'!BO60</f>
        <v>0</v>
      </c>
      <c r="E298" s="26">
        <f>'data 2021'!BP60</f>
        <v>1.07</v>
      </c>
      <c r="F298" s="26">
        <f>'data 2021'!BQ60</f>
        <v>0</v>
      </c>
      <c r="G298" s="26">
        <f>'data 2021'!BR60</f>
        <v>4.75</v>
      </c>
      <c r="H298" s="26">
        <f>'data 2021'!BS60</f>
        <v>0</v>
      </c>
      <c r="I298" s="26">
        <f>'data 2021'!BT60</f>
        <v>0</v>
      </c>
    </row>
    <row r="299" spans="1:9" ht="20.149999999999999" customHeight="1">
      <c r="A299" s="23">
        <v>6</v>
      </c>
      <c r="B299" s="14" t="s">
        <v>235</v>
      </c>
      <c r="C299" s="14">
        <f>'data 2021'!BN61</f>
        <v>1044595.8400000001</v>
      </c>
      <c r="D299" s="14">
        <f>'data 2021'!BO61</f>
        <v>0</v>
      </c>
      <c r="E299" s="14">
        <f>'data 2021'!BP61</f>
        <v>16562</v>
      </c>
      <c r="F299" s="14">
        <f>'data 2021'!BQ61</f>
        <v>0</v>
      </c>
      <c r="G299" s="14">
        <f>'data 2021'!BR61</f>
        <v>86565</v>
      </c>
      <c r="H299" s="14">
        <f>'data 2021'!BS61</f>
        <v>0</v>
      </c>
      <c r="I299" s="14">
        <f>'data 2021'!BT61</f>
        <v>0</v>
      </c>
    </row>
    <row r="300" spans="1:9" ht="20.149999999999999" customHeight="1">
      <c r="A300" s="23">
        <v>7</v>
      </c>
      <c r="B300" s="14" t="s">
        <v>3</v>
      </c>
      <c r="C300" s="14">
        <f>'data 2021'!BN62</f>
        <v>318665</v>
      </c>
      <c r="D300" s="14">
        <f>'data 2021'!BO62</f>
        <v>0</v>
      </c>
      <c r="E300" s="14">
        <f>'data 2021'!BP62</f>
        <v>1245</v>
      </c>
      <c r="F300" s="14">
        <f>'data 2021'!BQ62</f>
        <v>0</v>
      </c>
      <c r="G300" s="14">
        <f>'data 2021'!BR62</f>
        <v>1148366</v>
      </c>
      <c r="H300" s="14">
        <f>'data 2021'!BS62</f>
        <v>0</v>
      </c>
      <c r="I300" s="14">
        <f>'data 2021'!BT62</f>
        <v>0</v>
      </c>
    </row>
    <row r="301" spans="1:9" ht="20.149999999999999" customHeight="1">
      <c r="A301" s="23">
        <v>8</v>
      </c>
      <c r="B301" s="14" t="s">
        <v>236</v>
      </c>
      <c r="C301" s="14">
        <f>'data 2021'!BN63</f>
        <v>323993.06</v>
      </c>
      <c r="D301" s="14">
        <f>'data 2021'!BO63</f>
        <v>0</v>
      </c>
      <c r="E301" s="14">
        <f>'data 2021'!BP63</f>
        <v>0</v>
      </c>
      <c r="F301" s="14">
        <f>'data 2021'!BQ63</f>
        <v>0</v>
      </c>
      <c r="G301" s="14">
        <f>'data 2021'!BR63</f>
        <v>0</v>
      </c>
      <c r="H301" s="14">
        <f>'data 2021'!BS63</f>
        <v>0</v>
      </c>
      <c r="I301" s="14">
        <f>'data 2021'!BT63</f>
        <v>0</v>
      </c>
    </row>
    <row r="302" spans="1:9" ht="20.149999999999999" customHeight="1">
      <c r="A302" s="23">
        <v>9</v>
      </c>
      <c r="B302" s="14" t="s">
        <v>237</v>
      </c>
      <c r="C302" s="14">
        <f>'data 2021'!BN64</f>
        <v>96478.87</v>
      </c>
      <c r="D302" s="14">
        <f>'data 2021'!BO64</f>
        <v>0</v>
      </c>
      <c r="E302" s="14">
        <f>'data 2021'!BP64</f>
        <v>255</v>
      </c>
      <c r="F302" s="14">
        <f>'data 2021'!BQ64</f>
        <v>0</v>
      </c>
      <c r="G302" s="14">
        <f>'data 2021'!BR64</f>
        <v>936</v>
      </c>
      <c r="H302" s="14">
        <f>'data 2021'!BS64</f>
        <v>0</v>
      </c>
      <c r="I302" s="14">
        <f>'data 2021'!BT64</f>
        <v>0</v>
      </c>
    </row>
    <row r="303" spans="1:9" ht="20.149999999999999" customHeight="1">
      <c r="A303" s="23">
        <v>10</v>
      </c>
      <c r="B303" s="14" t="s">
        <v>444</v>
      </c>
      <c r="C303" s="14">
        <f>'data 2021'!BN65</f>
        <v>90</v>
      </c>
      <c r="D303" s="14">
        <f>'data 2021'!BO65</f>
        <v>0</v>
      </c>
      <c r="E303" s="14">
        <f>'data 2021'!BP65</f>
        <v>0</v>
      </c>
      <c r="F303" s="14">
        <f>'data 2021'!BQ65</f>
        <v>0</v>
      </c>
      <c r="G303" s="14">
        <f>'data 2021'!BR65</f>
        <v>0</v>
      </c>
      <c r="H303" s="14">
        <f>'data 2021'!BS65</f>
        <v>0</v>
      </c>
      <c r="I303" s="14">
        <f>'data 2021'!BT65</f>
        <v>0</v>
      </c>
    </row>
    <row r="304" spans="1:9" ht="20.149999999999999" customHeight="1">
      <c r="A304" s="23">
        <v>11</v>
      </c>
      <c r="B304" s="14" t="s">
        <v>445</v>
      </c>
      <c r="C304" s="14">
        <f>'data 2021'!BN66</f>
        <v>1751195.99</v>
      </c>
      <c r="D304" s="14">
        <f>'data 2021'!BO66</f>
        <v>0</v>
      </c>
      <c r="E304" s="14">
        <f>'data 2021'!BP66</f>
        <v>3401</v>
      </c>
      <c r="F304" s="14">
        <f>'data 2021'!BQ66</f>
        <v>0</v>
      </c>
      <c r="G304" s="14">
        <f>'data 2021'!BR66</f>
        <v>44171</v>
      </c>
      <c r="H304" s="14">
        <f>'data 2021'!BS66</f>
        <v>0</v>
      </c>
      <c r="I304" s="14">
        <f>'data 2021'!BT66</f>
        <v>0</v>
      </c>
    </row>
    <row r="305" spans="1:9" ht="20.149999999999999" customHeight="1">
      <c r="A305" s="23">
        <v>12</v>
      </c>
      <c r="B305" s="14" t="s">
        <v>6</v>
      </c>
      <c r="C305" s="14">
        <f>'data 2021'!BN67</f>
        <v>0</v>
      </c>
      <c r="D305" s="14">
        <f>'data 2021'!BO67</f>
        <v>0</v>
      </c>
      <c r="E305" s="14">
        <f>'data 2021'!BP67</f>
        <v>0</v>
      </c>
      <c r="F305" s="14">
        <f>'data 2021'!BQ67</f>
        <v>0</v>
      </c>
      <c r="G305" s="14">
        <f>'data 2021'!BR67</f>
        <v>0</v>
      </c>
      <c r="H305" s="14">
        <f>'data 2021'!BS67</f>
        <v>0</v>
      </c>
      <c r="I305" s="14">
        <f>'data 2021'!BT67</f>
        <v>0</v>
      </c>
    </row>
    <row r="306" spans="1:9" ht="20.149999999999999" customHeight="1">
      <c r="A306" s="23">
        <v>13</v>
      </c>
      <c r="B306" s="14" t="s">
        <v>474</v>
      </c>
      <c r="C306" s="14">
        <f>'data 2021'!BN68</f>
        <v>121716</v>
      </c>
      <c r="D306" s="14">
        <f>'data 2021'!BO68</f>
        <v>0</v>
      </c>
      <c r="E306" s="14">
        <f>'data 2021'!BP68</f>
        <v>0</v>
      </c>
      <c r="F306" s="14">
        <f>'data 2021'!BQ68</f>
        <v>0</v>
      </c>
      <c r="G306" s="14">
        <f>'data 2021'!BR68</f>
        <v>0</v>
      </c>
      <c r="H306" s="14">
        <f>'data 2021'!BS68</f>
        <v>0</v>
      </c>
      <c r="I306" s="14">
        <f>'data 2021'!BT68</f>
        <v>0</v>
      </c>
    </row>
    <row r="307" spans="1:9" ht="20.149999999999999" customHeight="1">
      <c r="A307" s="23">
        <v>14</v>
      </c>
      <c r="B307" s="14" t="s">
        <v>241</v>
      </c>
      <c r="C307" s="14">
        <f>'data 2021'!BN69</f>
        <v>975088.62</v>
      </c>
      <c r="D307" s="14">
        <f>'data 2021'!BO69</f>
        <v>0</v>
      </c>
      <c r="E307" s="14">
        <f>'data 2021'!BP69</f>
        <v>45999</v>
      </c>
      <c r="F307" s="14">
        <f>'data 2021'!BQ69</f>
        <v>0</v>
      </c>
      <c r="G307" s="14">
        <f>'data 2021'!BR69</f>
        <v>47357</v>
      </c>
      <c r="H307" s="14">
        <f>'data 2021'!BS69</f>
        <v>0</v>
      </c>
      <c r="I307" s="14">
        <f>'data 2021'!BT69</f>
        <v>0</v>
      </c>
    </row>
    <row r="308" spans="1:9" ht="20.149999999999999" customHeight="1">
      <c r="A308" s="23">
        <v>15</v>
      </c>
      <c r="B308" s="14" t="s">
        <v>242</v>
      </c>
      <c r="C308" s="14">
        <f>-'data 2021'!BN70</f>
        <v>-2507029.81</v>
      </c>
      <c r="D308" s="14">
        <f>-'data 2021'!BO70</f>
        <v>0</v>
      </c>
      <c r="E308" s="14">
        <f>-'data 2021'!BP70</f>
        <v>0</v>
      </c>
      <c r="F308" s="14">
        <f>-'data 2021'!BQ70</f>
        <v>0</v>
      </c>
      <c r="G308" s="14">
        <f>-'data 2021'!BR70</f>
        <v>0</v>
      </c>
      <c r="H308" s="14">
        <f>-'data 2021'!BS70</f>
        <v>0</v>
      </c>
      <c r="I308" s="14">
        <f>-'data 2021'!BT70</f>
        <v>0</v>
      </c>
    </row>
    <row r="309" spans="1:9" ht="20.149999999999999" customHeight="1">
      <c r="A309" s="23">
        <v>16</v>
      </c>
      <c r="B309" s="48" t="s">
        <v>1180</v>
      </c>
      <c r="C309" s="14">
        <f>'data 2021'!BN71</f>
        <v>2124793.5699999998</v>
      </c>
      <c r="D309" s="14">
        <f>'data 2021'!BO71</f>
        <v>0</v>
      </c>
      <c r="E309" s="14">
        <f>'data 2021'!BP71</f>
        <v>67462</v>
      </c>
      <c r="F309" s="14">
        <f>'data 2021'!BQ71</f>
        <v>0</v>
      </c>
      <c r="G309" s="14">
        <f>'data 2021'!BR71</f>
        <v>1327395</v>
      </c>
      <c r="H309" s="14">
        <f>'data 2021'!BS71</f>
        <v>0</v>
      </c>
      <c r="I309" s="14">
        <f>'data 2021'!BT71</f>
        <v>0</v>
      </c>
    </row>
    <row r="310" spans="1:9" ht="20.149999999999999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>
      <c r="A312" s="23">
        <v>19</v>
      </c>
      <c r="B312" s="48" t="s">
        <v>1182</v>
      </c>
      <c r="C312" s="213" t="str">
        <f>IF('data 2021'!BN73&gt;0,'data 2021'!BN73,"")</f>
        <v/>
      </c>
      <c r="D312" s="213" t="str">
        <f>IF('data 2021'!BO73&gt;0,'data 2021'!BO73,"")</f>
        <v/>
      </c>
      <c r="E312" s="213" t="str">
        <f>IF('data 2021'!BP73&gt;0,'data 2021'!BP73,"")</f>
        <v/>
      </c>
      <c r="F312" s="213" t="str">
        <f>IF('data 2021'!BQ73&gt;0,'data 2021'!BQ73,"")</f>
        <v/>
      </c>
      <c r="G312" s="213" t="str">
        <f>IF('data 2021'!BR73&gt;0,'data 2021'!BR73,"")</f>
        <v/>
      </c>
      <c r="H312" s="213" t="str">
        <f>IF('data 2021'!BS73&gt;0,'data 2021'!BS73,"")</f>
        <v/>
      </c>
      <c r="I312" s="213" t="str">
        <f>IF('data 2021'!BT73&gt;0,'data 2021'!BT73,"")</f>
        <v/>
      </c>
    </row>
    <row r="313" spans="1:9" ht="20.149999999999999" customHeight="1">
      <c r="A313" s="23">
        <v>20</v>
      </c>
      <c r="B313" s="48" t="s">
        <v>1183</v>
      </c>
      <c r="C313" s="213" t="str">
        <f>IF('data 2021'!BN74&gt;0,'data 2021'!BN74,"")</f>
        <v/>
      </c>
      <c r="D313" s="213" t="str">
        <f>IF('data 2021'!BO74&gt;0,'data 2021'!BO74,"")</f>
        <v/>
      </c>
      <c r="E313" s="213" t="str">
        <f>IF('data 2021'!BP74&gt;0,'data 2021'!BP74,"")</f>
        <v/>
      </c>
      <c r="F313" s="213" t="str">
        <f>IF('data 2021'!BQ74&gt;0,'data 2021'!BQ74,"")</f>
        <v/>
      </c>
      <c r="G313" s="213" t="str">
        <f>IF('data 2021'!BR74&gt;0,'data 2021'!BR74,"")</f>
        <v/>
      </c>
      <c r="H313" s="213" t="str">
        <f>IF('data 2021'!BS74&gt;0,'data 2021'!BS74,"")</f>
        <v/>
      </c>
      <c r="I313" s="213" t="str">
        <f>IF('data 2021'!BT74&gt;0,'data 2021'!BT74,"")</f>
        <v/>
      </c>
    </row>
    <row r="314" spans="1:9" ht="20.149999999999999" customHeight="1">
      <c r="A314" s="23">
        <v>21</v>
      </c>
      <c r="B314" s="48" t="s">
        <v>1184</v>
      </c>
      <c r="C314" s="213" t="str">
        <f>IF('data 2021'!BN75&gt;0,'data 2021'!BN75,"")</f>
        <v/>
      </c>
      <c r="D314" s="213" t="str">
        <f>IF('data 2021'!BO75&gt;0,'data 2021'!BO75,"")</f>
        <v/>
      </c>
      <c r="E314" s="213" t="str">
        <f>IF('data 2021'!BP75&gt;0,'data 2021'!BP75,"")</f>
        <v/>
      </c>
      <c r="F314" s="213" t="str">
        <f>IF('data 2021'!BQ75&gt;0,'data 2021'!BQ75,"")</f>
        <v/>
      </c>
      <c r="G314" s="213" t="str">
        <f>IF('data 2021'!BR75&gt;0,'data 2021'!BR75,"")</f>
        <v/>
      </c>
      <c r="H314" s="213" t="str">
        <f>IF('data 2021'!BS75&gt;0,'data 2021'!BS75,"")</f>
        <v/>
      </c>
      <c r="I314" s="213" t="str">
        <f>IF('data 2021'!BT75&gt;0,'data 2021'!BT75,"")</f>
        <v/>
      </c>
    </row>
    <row r="315" spans="1:9" ht="20.149999999999999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>
      <c r="A316" s="23">
        <v>22</v>
      </c>
      <c r="B316" s="14" t="s">
        <v>1186</v>
      </c>
      <c r="C316" s="85">
        <f>'data 2021'!BN76</f>
        <v>10381</v>
      </c>
      <c r="D316" s="85">
        <f>'data 2021'!BO76</f>
        <v>0</v>
      </c>
      <c r="E316" s="85">
        <f>'data 2021'!BP76</f>
        <v>0</v>
      </c>
      <c r="F316" s="85">
        <f>'data 2021'!BQ76</f>
        <v>0</v>
      </c>
      <c r="G316" s="85">
        <f>'data 2021'!BR76</f>
        <v>0</v>
      </c>
      <c r="H316" s="85">
        <f>'data 2021'!BS76</f>
        <v>0</v>
      </c>
      <c r="I316" s="85">
        <f>'data 2021'!BT76</f>
        <v>0</v>
      </c>
    </row>
    <row r="317" spans="1:9" ht="20.149999999999999" customHeight="1">
      <c r="A317" s="23">
        <v>23</v>
      </c>
      <c r="B317" s="14" t="s">
        <v>1187</v>
      </c>
      <c r="C317" s="213" t="str">
        <f>IF('data 2021'!BN77&gt;0,'data 2021'!BN77,"")</f>
        <v>x</v>
      </c>
      <c r="D317" s="213" t="str">
        <f>IF('data 2021'!BO77&gt;0,'data 2021'!BO77,"")</f>
        <v>x</v>
      </c>
      <c r="E317" s="213" t="str">
        <f>IF('data 2021'!BP77&gt;0,'data 2021'!BP77,"")</f>
        <v>x</v>
      </c>
      <c r="F317" s="213" t="str">
        <f>IF('data 2021'!BQ77&gt;0,'data 2021'!BQ77,"")</f>
        <v>x</v>
      </c>
      <c r="G317" s="85">
        <f>'data 2021'!BR77</f>
        <v>0</v>
      </c>
      <c r="H317" s="85">
        <f>'data 2021'!BS77</f>
        <v>0</v>
      </c>
      <c r="I317" s="85">
        <f>'data 2021'!BT77</f>
        <v>0</v>
      </c>
    </row>
    <row r="318" spans="1:9" ht="20.149999999999999" customHeight="1">
      <c r="A318" s="23">
        <v>24</v>
      </c>
      <c r="B318" s="14" t="s">
        <v>1188</v>
      </c>
      <c r="C318" s="213" t="str">
        <f>IF('data 2021'!BN78&gt;0,'data 2021'!BN78,"")</f>
        <v>x</v>
      </c>
      <c r="D318" s="213" t="str">
        <f>IF('data 2021'!BO78&gt;0,'data 2021'!BO78,"")</f>
        <v>x</v>
      </c>
      <c r="E318" s="213" t="str">
        <f>IF('data 2021'!BP78&gt;0,'data 2021'!BP78,"")</f>
        <v>x</v>
      </c>
      <c r="F318" s="213" t="str">
        <f>IF('data 2021'!BQ78&gt;0,'data 2021'!BQ78,"")</f>
        <v>x</v>
      </c>
      <c r="G318" s="213" t="str">
        <f>IF('data 2021'!BR78&gt;0,'data 2021'!BR78,"")</f>
        <v>x</v>
      </c>
      <c r="H318" s="85">
        <f>'data 2021'!BS78</f>
        <v>73</v>
      </c>
      <c r="I318" s="85">
        <f>'data 2021'!BT78</f>
        <v>0</v>
      </c>
    </row>
    <row r="319" spans="1:9" ht="20.149999999999999" customHeight="1">
      <c r="A319" s="23">
        <v>25</v>
      </c>
      <c r="B319" s="14" t="s">
        <v>1189</v>
      </c>
      <c r="C319" s="213" t="str">
        <f>IF('data 2021'!BN79&gt;0,'data 2021'!BN79,"")</f>
        <v>x</v>
      </c>
      <c r="D319" s="213" t="str">
        <f>IF('data 2021'!BO79&gt;0,'data 2021'!BO79,"")</f>
        <v>x</v>
      </c>
      <c r="E319" s="213" t="str">
        <f>IF('data 2021'!BP79&gt;0,'data 2021'!BP79,"")</f>
        <v>x</v>
      </c>
      <c r="F319" s="213" t="str">
        <f>IF('data 2021'!BQ79&gt;0,'data 2021'!BQ79,"")</f>
        <v>x</v>
      </c>
      <c r="G319" s="213" t="str">
        <f>IF('data 2021'!BR79&gt;0,'data 2021'!BR79,"")</f>
        <v>x</v>
      </c>
      <c r="H319" s="85">
        <f>'data 2021'!BS79</f>
        <v>0</v>
      </c>
      <c r="I319" s="85">
        <f>'data 2021'!BT79</f>
        <v>0</v>
      </c>
    </row>
    <row r="320" spans="1:9" ht="20.149999999999999" customHeight="1">
      <c r="A320" s="23">
        <v>26</v>
      </c>
      <c r="B320" s="14" t="s">
        <v>252</v>
      </c>
      <c r="C320" s="216" t="str">
        <f>IF('data 2021'!BN80&gt;0,'data 2021'!BN80,"")</f>
        <v/>
      </c>
      <c r="D320" s="216" t="str">
        <f>IF('data 2021'!BO80&gt;0,'data 2021'!BO80,"")</f>
        <v>x</v>
      </c>
      <c r="E320" s="216" t="str">
        <f>IF('data 2021'!BP80&gt;0,'data 2021'!BP80,"")</f>
        <v>x</v>
      </c>
      <c r="F320" s="216" t="str">
        <f>IF('data 2021'!BQ80&gt;0,'data 2021'!BQ80,"")</f>
        <v>x</v>
      </c>
      <c r="G320" s="216" t="str">
        <f>IF('data 2021'!BR80&gt;0,'data 2021'!BR80,"")</f>
        <v>x</v>
      </c>
      <c r="H320" s="216" t="str">
        <f>IF('data 2021'!BS80&gt;0,'data 2021'!BS80,"")</f>
        <v>x</v>
      </c>
      <c r="I320" s="216" t="str">
        <f>IF('data 2021'!BT80&gt;0,'data 2021'!BT80,"")</f>
        <v>x</v>
      </c>
    </row>
    <row r="321" spans="1:9" ht="20.149999999999999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>
      <c r="A324" s="79" t="str">
        <f>"HOSPITAL NAME: "&amp;'data 2021'!C84</f>
        <v>HOSPITAL NAME: Capital Medical Center</v>
      </c>
      <c r="B324" s="77"/>
      <c r="C324" s="77"/>
      <c r="D324" s="77"/>
      <c r="E324" s="77"/>
      <c r="F324" s="77"/>
      <c r="G324" s="80"/>
      <c r="H324" s="79" t="str">
        <f>"FYE: "&amp;'data 2021'!C82</f>
        <v>FYE: 12/31/2021</v>
      </c>
    </row>
    <row r="325" spans="1:9" ht="20.149999999999999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>
      <c r="A330" s="23">
        <v>5</v>
      </c>
      <c r="B330" s="14" t="s">
        <v>234</v>
      </c>
      <c r="C330" s="26">
        <f>'data 2021'!BU60</f>
        <v>0</v>
      </c>
      <c r="D330" s="26">
        <f>'data 2021'!BV60</f>
        <v>11.21</v>
      </c>
      <c r="E330" s="26">
        <f>'data 2021'!BW60</f>
        <v>2.6677102737742864</v>
      </c>
      <c r="F330" s="26">
        <f>'data 2021'!BX60</f>
        <v>8.8354767115787016</v>
      </c>
      <c r="G330" s="26">
        <f>'data 2021'!BY60</f>
        <v>8.5003486292561163</v>
      </c>
      <c r="H330" s="26">
        <f>'data 2021'!BZ60</f>
        <v>0</v>
      </c>
      <c r="I330" s="26">
        <f>'data 2021'!CA60</f>
        <v>1.87</v>
      </c>
    </row>
    <row r="331" spans="1:9" ht="20.149999999999999" customHeight="1">
      <c r="A331" s="23">
        <v>6</v>
      </c>
      <c r="B331" s="14" t="s">
        <v>235</v>
      </c>
      <c r="C331" s="86">
        <f>'data 2021'!BU61</f>
        <v>0</v>
      </c>
      <c r="D331" s="86">
        <f>'data 2021'!BV61</f>
        <v>176289</v>
      </c>
      <c r="E331" s="86">
        <f>'data 2021'!BW61</f>
        <v>163284.76999999999</v>
      </c>
      <c r="F331" s="86">
        <f>'data 2021'!BX61</f>
        <v>744399.78</v>
      </c>
      <c r="G331" s="86">
        <f>'data 2021'!BY61</f>
        <v>974749.83000000007</v>
      </c>
      <c r="H331" s="86">
        <f>'data 2021'!BZ61</f>
        <v>0</v>
      </c>
      <c r="I331" s="86">
        <f>'data 2021'!CA61</f>
        <v>64761</v>
      </c>
    </row>
    <row r="332" spans="1:9" ht="20.149999999999999" customHeight="1">
      <c r="A332" s="23">
        <v>7</v>
      </c>
      <c r="B332" s="14" t="s">
        <v>3</v>
      </c>
      <c r="C332" s="86">
        <f>'data 2021'!BU62</f>
        <v>0</v>
      </c>
      <c r="D332" s="86">
        <f>'data 2021'!BV62</f>
        <v>13983</v>
      </c>
      <c r="E332" s="86">
        <f>'data 2021'!BW62</f>
        <v>23769</v>
      </c>
      <c r="F332" s="86">
        <f>'data 2021'!BX62</f>
        <v>65144</v>
      </c>
      <c r="G332" s="86">
        <f>'data 2021'!BY62</f>
        <v>120956</v>
      </c>
      <c r="H332" s="86">
        <f>'data 2021'!BZ62</f>
        <v>0</v>
      </c>
      <c r="I332" s="86">
        <f>'data 2021'!CA62</f>
        <v>4834</v>
      </c>
    </row>
    <row r="333" spans="1:9" ht="20.149999999999999" customHeight="1">
      <c r="A333" s="23">
        <v>8</v>
      </c>
      <c r="B333" s="14" t="s">
        <v>236</v>
      </c>
      <c r="C333" s="86">
        <f>'data 2021'!BU63</f>
        <v>0</v>
      </c>
      <c r="D333" s="86">
        <f>'data 2021'!BV63</f>
        <v>0</v>
      </c>
      <c r="E333" s="86">
        <f>'data 2021'!BW63</f>
        <v>3418.5499999999984</v>
      </c>
      <c r="F333" s="86">
        <f>'data 2021'!BX63</f>
        <v>39531</v>
      </c>
      <c r="G333" s="86">
        <f>'data 2021'!BY63</f>
        <v>0</v>
      </c>
      <c r="H333" s="86">
        <f>'data 2021'!BZ63</f>
        <v>0</v>
      </c>
      <c r="I333" s="86">
        <f>'data 2021'!CA63</f>
        <v>0</v>
      </c>
    </row>
    <row r="334" spans="1:9" ht="20.149999999999999" customHeight="1">
      <c r="A334" s="23">
        <v>9</v>
      </c>
      <c r="B334" s="14" t="s">
        <v>237</v>
      </c>
      <c r="C334" s="86">
        <f>'data 2021'!BU64</f>
        <v>0</v>
      </c>
      <c r="D334" s="86">
        <f>'data 2021'!BV64</f>
        <v>1532</v>
      </c>
      <c r="E334" s="86">
        <f>'data 2021'!BW64</f>
        <v>3526.1600000000017</v>
      </c>
      <c r="F334" s="86">
        <f>'data 2021'!BX64</f>
        <v>2002.2600000000002</v>
      </c>
      <c r="G334" s="86">
        <f>'data 2021'!BY64</f>
        <v>7207.34</v>
      </c>
      <c r="H334" s="86">
        <f>'data 2021'!BZ64</f>
        <v>0</v>
      </c>
      <c r="I334" s="86">
        <f>'data 2021'!CA64</f>
        <v>693</v>
      </c>
    </row>
    <row r="335" spans="1:9" ht="20.149999999999999" customHeight="1">
      <c r="A335" s="23">
        <v>10</v>
      </c>
      <c r="B335" s="14" t="s">
        <v>444</v>
      </c>
      <c r="C335" s="86">
        <f>'data 2021'!BU65</f>
        <v>0</v>
      </c>
      <c r="D335" s="86">
        <f>'data 2021'!BV65</f>
        <v>0</v>
      </c>
      <c r="E335" s="86">
        <f>'data 2021'!BW65</f>
        <v>0</v>
      </c>
      <c r="F335" s="86">
        <f>'data 2021'!BX65</f>
        <v>0</v>
      </c>
      <c r="G335" s="86">
        <f>'data 2021'!BY65</f>
        <v>0</v>
      </c>
      <c r="H335" s="86">
        <f>'data 2021'!BZ65</f>
        <v>0</v>
      </c>
      <c r="I335" s="86">
        <f>'data 2021'!CA65</f>
        <v>0</v>
      </c>
    </row>
    <row r="336" spans="1:9" ht="20.149999999999999" customHeight="1">
      <c r="A336" s="23">
        <v>11</v>
      </c>
      <c r="B336" s="14" t="s">
        <v>445</v>
      </c>
      <c r="C336" s="86">
        <f>'data 2021'!BU66</f>
        <v>0</v>
      </c>
      <c r="D336" s="86">
        <f>'data 2021'!BV66</f>
        <v>53038</v>
      </c>
      <c r="E336" s="86">
        <f>'data 2021'!BW66</f>
        <v>12879.91</v>
      </c>
      <c r="F336" s="86">
        <f>'data 2021'!BX66</f>
        <v>45442.25</v>
      </c>
      <c r="G336" s="86">
        <f>'data 2021'!BY66</f>
        <v>7613.88</v>
      </c>
      <c r="H336" s="86">
        <f>'data 2021'!BZ66</f>
        <v>0</v>
      </c>
      <c r="I336" s="86">
        <f>'data 2021'!CA66</f>
        <v>1000</v>
      </c>
    </row>
    <row r="337" spans="1:9" ht="20.149999999999999" customHeight="1">
      <c r="A337" s="23">
        <v>12</v>
      </c>
      <c r="B337" s="14" t="s">
        <v>6</v>
      </c>
      <c r="C337" s="86">
        <f>'data 2021'!BU67</f>
        <v>0</v>
      </c>
      <c r="D337" s="86">
        <f>'data 2021'!BV67</f>
        <v>0</v>
      </c>
      <c r="E337" s="86">
        <f>'data 2021'!BW67</f>
        <v>0</v>
      </c>
      <c r="F337" s="86">
        <f>'data 2021'!BX67</f>
        <v>0</v>
      </c>
      <c r="G337" s="86">
        <f>'data 2021'!BY67</f>
        <v>0</v>
      </c>
      <c r="H337" s="86">
        <f>'data 2021'!BZ67</f>
        <v>0</v>
      </c>
      <c r="I337" s="86">
        <f>'data 2021'!CA67</f>
        <v>0</v>
      </c>
    </row>
    <row r="338" spans="1:9" ht="20.149999999999999" customHeight="1">
      <c r="A338" s="23">
        <v>13</v>
      </c>
      <c r="B338" s="14" t="s">
        <v>474</v>
      </c>
      <c r="C338" s="86">
        <f>'data 2021'!BU68</f>
        <v>0</v>
      </c>
      <c r="D338" s="86">
        <f>'data 2021'!BV68</f>
        <v>10243</v>
      </c>
      <c r="E338" s="86">
        <f>'data 2021'!BW68</f>
        <v>237.72</v>
      </c>
      <c r="F338" s="86">
        <f>'data 2021'!BX68</f>
        <v>0</v>
      </c>
      <c r="G338" s="86">
        <f>'data 2021'!BY68</f>
        <v>119</v>
      </c>
      <c r="H338" s="86">
        <f>'data 2021'!BZ68</f>
        <v>0</v>
      </c>
      <c r="I338" s="86">
        <f>'data 2021'!CA68</f>
        <v>0</v>
      </c>
    </row>
    <row r="339" spans="1:9" ht="20.149999999999999" customHeight="1">
      <c r="A339" s="23">
        <v>14</v>
      </c>
      <c r="B339" s="14" t="s">
        <v>241</v>
      </c>
      <c r="C339" s="86">
        <f>'data 2021'!BU69</f>
        <v>0</v>
      </c>
      <c r="D339" s="86">
        <f>'data 2021'!BV69</f>
        <v>2018</v>
      </c>
      <c r="E339" s="86">
        <f>'data 2021'!BW69</f>
        <v>-1382.0100000000002</v>
      </c>
      <c r="F339" s="86">
        <f>'data 2021'!BX69</f>
        <v>83156.2</v>
      </c>
      <c r="G339" s="86">
        <f>'data 2021'!BY69</f>
        <v>42705.869999999995</v>
      </c>
      <c r="H339" s="86">
        <f>'data 2021'!BZ69</f>
        <v>0</v>
      </c>
      <c r="I339" s="86">
        <f>'data 2021'!CA69</f>
        <v>20022</v>
      </c>
    </row>
    <row r="340" spans="1:9" ht="20.149999999999999" customHeight="1">
      <c r="A340" s="23">
        <v>15</v>
      </c>
      <c r="B340" s="14" t="s">
        <v>242</v>
      </c>
      <c r="C340" s="14">
        <f>-'data 2021'!BU70</f>
        <v>0</v>
      </c>
      <c r="D340" s="14">
        <f>-'data 2021'!BV70</f>
        <v>0</v>
      </c>
      <c r="E340" s="14">
        <f>-'data 2021'!BW70</f>
        <v>0</v>
      </c>
      <c r="F340" s="14">
        <f>-'data 2021'!BX70</f>
        <v>-5845.7599999999984</v>
      </c>
      <c r="G340" s="14">
        <f>-'data 2021'!BY70</f>
        <v>0</v>
      </c>
      <c r="H340" s="14">
        <f>-'data 2021'!BZ70</f>
        <v>0</v>
      </c>
      <c r="I340" s="14">
        <f>-'data 2021'!CA70</f>
        <v>0</v>
      </c>
    </row>
    <row r="341" spans="1:9" ht="20.149999999999999" customHeight="1">
      <c r="A341" s="23">
        <v>16</v>
      </c>
      <c r="B341" s="48" t="s">
        <v>1180</v>
      </c>
      <c r="C341" s="14">
        <f>'data 2021'!BU71</f>
        <v>0</v>
      </c>
      <c r="D341" s="14">
        <f>'data 2021'!BV71</f>
        <v>257103</v>
      </c>
      <c r="E341" s="14">
        <f>'data 2021'!BW71</f>
        <v>205734.09999999998</v>
      </c>
      <c r="F341" s="14">
        <f>'data 2021'!BX71</f>
        <v>973829.73</v>
      </c>
      <c r="G341" s="14">
        <f>'data 2021'!BY71</f>
        <v>1153351.92</v>
      </c>
      <c r="H341" s="14">
        <f>'data 2021'!BZ71</f>
        <v>0</v>
      </c>
      <c r="I341" s="14">
        <f>'data 2021'!CA71</f>
        <v>91310</v>
      </c>
    </row>
    <row r="342" spans="1:9" ht="20.149999999999999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>
      <c r="A344" s="23">
        <v>19</v>
      </c>
      <c r="B344" s="48" t="s">
        <v>1182</v>
      </c>
      <c r="C344" s="213" t="str">
        <f>IF('data 2021'!BU73&gt;0,'data 2021'!BU73,"")</f>
        <v/>
      </c>
      <c r="D344" s="213" t="str">
        <f>IF('data 2021'!BV73&gt;0,'data 2021'!BV73,"")</f>
        <v/>
      </c>
      <c r="E344" s="213" t="str">
        <f>IF('data 2021'!BW73&gt;0,'data 2021'!BW73,"")</f>
        <v/>
      </c>
      <c r="F344" s="213" t="str">
        <f>IF('data 2021'!BX73&gt;0,'data 2021'!BX73,"")</f>
        <v/>
      </c>
      <c r="G344" s="213" t="str">
        <f>IF('data 2021'!BY73&gt;0,'data 2021'!BY73,"")</f>
        <v/>
      </c>
      <c r="H344" s="213" t="str">
        <f>IF('data 2021'!BZ73&gt;0,'data 2021'!BZ73,"")</f>
        <v/>
      </c>
      <c r="I344" s="213" t="str">
        <f>IF('data 2021'!CA73&gt;0,'data 2021'!CA73,"")</f>
        <v/>
      </c>
    </row>
    <row r="345" spans="1:9" ht="20.149999999999999" customHeight="1">
      <c r="A345" s="23">
        <v>20</v>
      </c>
      <c r="B345" s="48" t="s">
        <v>1183</v>
      </c>
      <c r="C345" s="213" t="str">
        <f>IF('data 2021'!BU74&gt;0,'data 2021'!BU74,"")</f>
        <v/>
      </c>
      <c r="D345" s="213" t="str">
        <f>IF('data 2021'!BV74&gt;0,'data 2021'!BV74,"")</f>
        <v/>
      </c>
      <c r="E345" s="213" t="str">
        <f>IF('data 2021'!BW74&gt;0,'data 2021'!BW74,"")</f>
        <v/>
      </c>
      <c r="F345" s="213" t="str">
        <f>IF('data 2021'!BX74&gt;0,'data 2021'!BX74,"")</f>
        <v/>
      </c>
      <c r="G345" s="213" t="str">
        <f>IF('data 2021'!BY74&gt;0,'data 2021'!BY74,"")</f>
        <v/>
      </c>
      <c r="H345" s="213" t="str">
        <f>IF('data 2021'!BZ74&gt;0,'data 2021'!BZ74,"")</f>
        <v/>
      </c>
      <c r="I345" s="213" t="str">
        <f>IF('data 2021'!CA74&gt;0,'data 2021'!CA74,"")</f>
        <v/>
      </c>
    </row>
    <row r="346" spans="1:9" ht="20.149999999999999" customHeight="1">
      <c r="A346" s="23">
        <v>21</v>
      </c>
      <c r="B346" s="48" t="s">
        <v>1184</v>
      </c>
      <c r="C346" s="213" t="str">
        <f>IF('data 2021'!BU75&gt;0,'data 2021'!BU75,"")</f>
        <v/>
      </c>
      <c r="D346" s="213" t="str">
        <f>IF('data 2021'!BV75&gt;0,'data 2021'!BV75,"")</f>
        <v/>
      </c>
      <c r="E346" s="213" t="str">
        <f>IF('data 2021'!BW75&gt;0,'data 2021'!BW75,"")</f>
        <v/>
      </c>
      <c r="F346" s="213" t="str">
        <f>IF('data 2021'!BX75&gt;0,'data 2021'!BX75,"")</f>
        <v/>
      </c>
      <c r="G346" s="213" t="str">
        <f>IF('data 2021'!BY75&gt;0,'data 2021'!BY75,"")</f>
        <v/>
      </c>
      <c r="H346" s="213" t="str">
        <f>IF('data 2021'!BZ75&gt;0,'data 2021'!BZ75,"")</f>
        <v/>
      </c>
      <c r="I346" s="213" t="str">
        <f>IF('data 2021'!CA75&gt;0,'data 2021'!CA75,"")</f>
        <v/>
      </c>
    </row>
    <row r="347" spans="1:9" ht="20.149999999999999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>
      <c r="A348" s="23">
        <v>22</v>
      </c>
      <c r="B348" s="14" t="s">
        <v>1186</v>
      </c>
      <c r="C348" s="85">
        <f>'data 2021'!BU76</f>
        <v>0</v>
      </c>
      <c r="D348" s="85">
        <f>'data 2021'!BV76</f>
        <v>0</v>
      </c>
      <c r="E348" s="85">
        <f>'data 2021'!BW76</f>
        <v>1901</v>
      </c>
      <c r="F348" s="85">
        <f>'data 2021'!BX76</f>
        <v>0</v>
      </c>
      <c r="G348" s="85">
        <f>'data 2021'!BY76</f>
        <v>1165.04</v>
      </c>
      <c r="H348" s="85">
        <f>'data 2021'!BZ76</f>
        <v>0</v>
      </c>
      <c r="I348" s="85">
        <f>'data 2021'!CA76</f>
        <v>0</v>
      </c>
    </row>
    <row r="349" spans="1:9" ht="20.149999999999999" customHeight="1">
      <c r="A349" s="23">
        <v>23</v>
      </c>
      <c r="B349" s="14" t="s">
        <v>1187</v>
      </c>
      <c r="C349" s="85">
        <f>'data 2021'!BU77</f>
        <v>0</v>
      </c>
      <c r="D349" s="85">
        <f>'data 2021'!BV77</f>
        <v>0</v>
      </c>
      <c r="E349" s="85">
        <f>'data 2021'!BW77</f>
        <v>0</v>
      </c>
      <c r="F349" s="85">
        <f>'data 2021'!BX77</f>
        <v>0</v>
      </c>
      <c r="G349" s="85">
        <f>'data 2021'!BY77</f>
        <v>0</v>
      </c>
      <c r="H349" s="85">
        <f>'data 2021'!BZ77</f>
        <v>0</v>
      </c>
      <c r="I349" s="85">
        <f>'data 2021'!CA77</f>
        <v>0</v>
      </c>
    </row>
    <row r="350" spans="1:9" ht="20.149999999999999" customHeight="1">
      <c r="A350" s="23">
        <v>24</v>
      </c>
      <c r="B350" s="14" t="s">
        <v>1188</v>
      </c>
      <c r="C350" s="85">
        <f>'data 2021'!BU78</f>
        <v>0</v>
      </c>
      <c r="D350" s="85">
        <f>'data 2021'!BV78</f>
        <v>855</v>
      </c>
      <c r="E350" s="85">
        <f>'data 2021'!BW78</f>
        <v>0</v>
      </c>
      <c r="F350" s="85">
        <f>'data 2021'!BX78</f>
        <v>21</v>
      </c>
      <c r="G350" s="85">
        <f>'data 2021'!BY78</f>
        <v>297</v>
      </c>
      <c r="H350" s="85">
        <f>'data 2021'!BZ78</f>
        <v>0</v>
      </c>
      <c r="I350" s="85">
        <f>'data 2021'!CA78</f>
        <v>571</v>
      </c>
    </row>
    <row r="351" spans="1:9" ht="20.149999999999999" customHeight="1">
      <c r="A351" s="23">
        <v>25</v>
      </c>
      <c r="B351" s="14" t="s">
        <v>1189</v>
      </c>
      <c r="C351" s="85">
        <f>'data 2021'!BU79</f>
        <v>0</v>
      </c>
      <c r="D351" s="85">
        <f>'data 2021'!BV79</f>
        <v>0</v>
      </c>
      <c r="E351" s="85">
        <f>'data 2021'!BW79</f>
        <v>0</v>
      </c>
      <c r="F351" s="85">
        <f>'data 2021'!BX79</f>
        <v>0</v>
      </c>
      <c r="G351" s="85">
        <f>'data 2021'!BY79</f>
        <v>0</v>
      </c>
      <c r="H351" s="85">
        <f>'data 2021'!BZ79</f>
        <v>0</v>
      </c>
      <c r="I351" s="85">
        <f>'data 2021'!CA79</f>
        <v>0</v>
      </c>
    </row>
    <row r="352" spans="1:9" ht="20.149999999999999" customHeight="1">
      <c r="A352" s="23">
        <v>26</v>
      </c>
      <c r="B352" s="14" t="s">
        <v>252</v>
      </c>
      <c r="C352" s="216" t="str">
        <f>IF('data 2021'!BU80&gt;0,'data 2021'!BU80,"")</f>
        <v/>
      </c>
      <c r="D352" s="216" t="str">
        <f>IF('data 2021'!BV80&gt;0,'data 2021'!BV80,"")</f>
        <v/>
      </c>
      <c r="E352" s="216" t="str">
        <f>IF('data 2021'!BW80&gt;0,'data 2021'!BW80,"")</f>
        <v/>
      </c>
      <c r="F352" s="216" t="str">
        <f>IF('data 2021'!BX80&gt;0,'data 2021'!BX80,"")</f>
        <v/>
      </c>
      <c r="G352" s="216" t="str">
        <f>IF('data 2021'!BY80&gt;0,'data 2021'!BY80,"")</f>
        <v/>
      </c>
      <c r="H352" s="216" t="str">
        <f>IF('data 2021'!BZ80&gt;0,'data 2021'!BZ80,"")</f>
        <v/>
      </c>
      <c r="I352" s="216" t="str">
        <f>IF('data 2021'!CA80&gt;0,'data 2021'!CA80,"")</f>
        <v/>
      </c>
    </row>
    <row r="353" spans="1:9" ht="20.149999999999999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>
      <c r="A356" s="79" t="str">
        <f>"HOSPITAL NAME: "&amp;'data 2021'!C84</f>
        <v>HOSPITAL NAME: Capital Medical Center</v>
      </c>
      <c r="B356" s="77"/>
      <c r="C356" s="77"/>
      <c r="D356" s="77"/>
      <c r="E356" s="77"/>
      <c r="F356" s="77"/>
      <c r="G356" s="80"/>
      <c r="H356" s="79" t="str">
        <f>"FYE: "&amp;'data 2021'!C82</f>
        <v>FYE: 12/31/2021</v>
      </c>
    </row>
    <row r="357" spans="1:9" ht="20.149999999999999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>
      <c r="A362" s="23">
        <v>5</v>
      </c>
      <c r="B362" s="14" t="s">
        <v>234</v>
      </c>
      <c r="C362" s="26">
        <f>'data 2021'!CB60</f>
        <v>0</v>
      </c>
      <c r="D362" s="26">
        <f>'data 2021'!CC60</f>
        <v>39.521443830202543</v>
      </c>
      <c r="E362" s="217"/>
      <c r="F362" s="211"/>
      <c r="G362" s="211"/>
      <c r="H362" s="211"/>
      <c r="I362" s="87">
        <f>'data 2021'!CE60</f>
        <v>800.34884652600056</v>
      </c>
    </row>
    <row r="363" spans="1:9" ht="20.149999999999999" customHeight="1">
      <c r="A363" s="23">
        <v>6</v>
      </c>
      <c r="B363" s="14" t="s">
        <v>235</v>
      </c>
      <c r="C363" s="86">
        <f>'data 2021'!CB61</f>
        <v>0</v>
      </c>
      <c r="D363" s="86">
        <f>'data 2021'!CC61</f>
        <v>2545129.9699999997</v>
      </c>
      <c r="E363" s="218"/>
      <c r="F363" s="219"/>
      <c r="G363" s="219"/>
      <c r="H363" s="219"/>
      <c r="I363" s="86">
        <f>'data 2021'!CE61</f>
        <v>44946486.840000011</v>
      </c>
    </row>
    <row r="364" spans="1:9" ht="20.149999999999999" customHeight="1">
      <c r="A364" s="23">
        <v>7</v>
      </c>
      <c r="B364" s="14" t="s">
        <v>3</v>
      </c>
      <c r="C364" s="86">
        <f>'data 2021'!CB62</f>
        <v>0</v>
      </c>
      <c r="D364" s="86">
        <f>'data 2021'!CC62</f>
        <v>477673</v>
      </c>
      <c r="E364" s="218"/>
      <c r="F364" s="219"/>
      <c r="G364" s="219"/>
      <c r="H364" s="219"/>
      <c r="I364" s="86">
        <f>'data 2021'!CE62</f>
        <v>6704635</v>
      </c>
    </row>
    <row r="365" spans="1:9" ht="20.149999999999999" customHeight="1">
      <c r="A365" s="23">
        <v>8</v>
      </c>
      <c r="B365" s="14" t="s">
        <v>236</v>
      </c>
      <c r="C365" s="86">
        <f>'data 2021'!CB63</f>
        <v>0</v>
      </c>
      <c r="D365" s="86">
        <f>'data 2021'!CC63</f>
        <v>212863.88999999998</v>
      </c>
      <c r="E365" s="218"/>
      <c r="F365" s="219"/>
      <c r="G365" s="219"/>
      <c r="H365" s="219"/>
      <c r="I365" s="86">
        <f>'data 2021'!CE63</f>
        <v>5190751.7599999988</v>
      </c>
    </row>
    <row r="366" spans="1:9" ht="20.149999999999999" customHeight="1">
      <c r="A366" s="23">
        <v>9</v>
      </c>
      <c r="B366" s="14" t="s">
        <v>237</v>
      </c>
      <c r="C366" s="86">
        <f>'data 2021'!CB64</f>
        <v>0</v>
      </c>
      <c r="D366" s="86">
        <f>'data 2021'!CC64</f>
        <v>206549.96000000002</v>
      </c>
      <c r="E366" s="218"/>
      <c r="F366" s="219"/>
      <c r="G366" s="219"/>
      <c r="H366" s="219"/>
      <c r="I366" s="86">
        <f>'data 2021'!CE64</f>
        <v>21385901.969999999</v>
      </c>
    </row>
    <row r="367" spans="1:9" ht="20.149999999999999" customHeight="1">
      <c r="A367" s="23">
        <v>10</v>
      </c>
      <c r="B367" s="14" t="s">
        <v>444</v>
      </c>
      <c r="C367" s="86">
        <f>'data 2021'!CB65</f>
        <v>0</v>
      </c>
      <c r="D367" s="86">
        <f>'data 2021'!CC65</f>
        <v>185307.91</v>
      </c>
      <c r="E367" s="218"/>
      <c r="F367" s="219"/>
      <c r="G367" s="219"/>
      <c r="H367" s="219"/>
      <c r="I367" s="86">
        <f>'data 2021'!CE65</f>
        <v>1043833.3</v>
      </c>
    </row>
    <row r="368" spans="1:9" ht="20.149999999999999" customHeight="1">
      <c r="A368" s="23">
        <v>11</v>
      </c>
      <c r="B368" s="14" t="s">
        <v>445</v>
      </c>
      <c r="C368" s="86">
        <f>'data 2021'!CB66</f>
        <v>0</v>
      </c>
      <c r="D368" s="86">
        <f>'data 2021'!CC66</f>
        <v>6039801.9000000004</v>
      </c>
      <c r="E368" s="218"/>
      <c r="F368" s="219"/>
      <c r="G368" s="219"/>
      <c r="H368" s="219"/>
      <c r="I368" s="86">
        <f>'data 2021'!CE66</f>
        <v>18434720.610000007</v>
      </c>
    </row>
    <row r="369" spans="1:9" ht="20.149999999999999" customHeight="1">
      <c r="A369" s="23">
        <v>12</v>
      </c>
      <c r="B369" s="14" t="s">
        <v>6</v>
      </c>
      <c r="C369" s="86">
        <f>'data 2021'!CB67</f>
        <v>0</v>
      </c>
      <c r="D369" s="86">
        <f>'data 2021'!CC67</f>
        <v>0</v>
      </c>
      <c r="E369" s="218"/>
      <c r="F369" s="219"/>
      <c r="G369" s="219"/>
      <c r="H369" s="219"/>
      <c r="I369" s="86">
        <f>'data 2021'!CE67</f>
        <v>4947739</v>
      </c>
    </row>
    <row r="370" spans="1:9" ht="20.149999999999999" customHeight="1">
      <c r="A370" s="23">
        <v>13</v>
      </c>
      <c r="B370" s="14" t="s">
        <v>474</v>
      </c>
      <c r="C370" s="86">
        <f>'data 2021'!CB68</f>
        <v>0</v>
      </c>
      <c r="D370" s="86">
        <f>'data 2021'!CC68</f>
        <v>8657872.0199999996</v>
      </c>
      <c r="E370" s="218"/>
      <c r="F370" s="219"/>
      <c r="G370" s="219"/>
      <c r="H370" s="219"/>
      <c r="I370" s="86">
        <f>'data 2021'!CE68</f>
        <v>11308756.129999999</v>
      </c>
    </row>
    <row r="371" spans="1:9" ht="20.149999999999999" customHeight="1">
      <c r="A371" s="23">
        <v>14</v>
      </c>
      <c r="B371" s="14" t="s">
        <v>241</v>
      </c>
      <c r="C371" s="86">
        <f>'data 2021'!CB69</f>
        <v>0</v>
      </c>
      <c r="D371" s="86">
        <f>'data 2021'!CC69</f>
        <v>3198771.87</v>
      </c>
      <c r="E371" s="86">
        <f>'data 2021'!CD69</f>
        <v>2106924.98</v>
      </c>
      <c r="F371" s="219"/>
      <c r="G371" s="219"/>
      <c r="H371" s="219"/>
      <c r="I371" s="86">
        <f>'data 2021'!CE69</f>
        <v>10195107.359999999</v>
      </c>
    </row>
    <row r="372" spans="1:9" ht="20.149999999999999" customHeight="1">
      <c r="A372" s="23">
        <v>15</v>
      </c>
      <c r="B372" s="14" t="s">
        <v>242</v>
      </c>
      <c r="C372" s="14">
        <f>-'data 2021'!CB70</f>
        <v>0</v>
      </c>
      <c r="D372" s="14">
        <f>-'data 2021'!CC70</f>
        <v>-7247883.1600000001</v>
      </c>
      <c r="E372" s="227">
        <f>'data 2021'!CD70</f>
        <v>0</v>
      </c>
      <c r="F372" s="220"/>
      <c r="G372" s="220"/>
      <c r="H372" s="220"/>
      <c r="I372" s="14">
        <f>-'data 2021'!CE70</f>
        <v>-10030849.42</v>
      </c>
    </row>
    <row r="373" spans="1:9" ht="20.149999999999999" customHeight="1">
      <c r="A373" s="23">
        <v>16</v>
      </c>
      <c r="B373" s="48" t="s">
        <v>1180</v>
      </c>
      <c r="C373" s="86">
        <f>'data 2021'!CB71</f>
        <v>0</v>
      </c>
      <c r="D373" s="86">
        <f>'data 2021'!CC71</f>
        <v>14276087.359999999</v>
      </c>
      <c r="E373" s="86">
        <f>'data 2021'!CD71</f>
        <v>2106924.98</v>
      </c>
      <c r="F373" s="219"/>
      <c r="G373" s="219"/>
      <c r="H373" s="219"/>
      <c r="I373" s="14">
        <f>'data 2021'!CE71</f>
        <v>114127082.55000001</v>
      </c>
    </row>
    <row r="374" spans="1:9" ht="20.149999999999999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-'data 2021'!CE72</f>
        <v>0</v>
      </c>
    </row>
    <row r="375" spans="1:9" ht="20.149999999999999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>
      <c r="A376" s="23">
        <v>19</v>
      </c>
      <c r="B376" s="48" t="s">
        <v>1182</v>
      </c>
      <c r="C376" s="213" t="str">
        <f>IF('data 2021'!CB73&gt;0,'data 2021'!CB73,"")</f>
        <v/>
      </c>
      <c r="D376" s="213" t="str">
        <f>IF('data 2021'!CC73&gt;0,'data 2021'!CC73,"")</f>
        <v/>
      </c>
      <c r="E376" s="214"/>
      <c r="F376" s="211"/>
      <c r="G376" s="211"/>
      <c r="H376" s="211"/>
      <c r="I376" s="85">
        <f>'data 2021'!CE73</f>
        <v>243571795.96999997</v>
      </c>
    </row>
    <row r="377" spans="1:9" ht="20.149999999999999" customHeight="1">
      <c r="A377" s="23">
        <v>20</v>
      </c>
      <c r="B377" s="48" t="s">
        <v>1183</v>
      </c>
      <c r="C377" s="213" t="str">
        <f>IF('data 2021'!CB74&gt;0,'data 2021'!CB74,"")</f>
        <v/>
      </c>
      <c r="D377" s="213" t="str">
        <f>IF('data 2021'!CC74&gt;0,'data 2021'!CC74,"")</f>
        <v/>
      </c>
      <c r="E377" s="214"/>
      <c r="F377" s="211"/>
      <c r="G377" s="211"/>
      <c r="H377" s="211"/>
      <c r="I377" s="85">
        <f>'data 2021'!CE74</f>
        <v>355992845.83000004</v>
      </c>
    </row>
    <row r="378" spans="1:9" ht="20.149999999999999" customHeight="1">
      <c r="A378" s="23">
        <v>21</v>
      </c>
      <c r="B378" s="48" t="s">
        <v>1184</v>
      </c>
      <c r="C378" s="213" t="str">
        <f>IF('data 2021'!CB75&gt;0,'data 2021'!CB75,"")</f>
        <v/>
      </c>
      <c r="D378" s="213" t="str">
        <f>IF('data 2021'!CC75&gt;0,'data 2021'!CC75,"")</f>
        <v/>
      </c>
      <c r="E378" s="214"/>
      <c r="F378" s="211"/>
      <c r="G378" s="211"/>
      <c r="H378" s="211"/>
      <c r="I378" s="85">
        <f>'data 2021'!CE75</f>
        <v>599564641.79999995</v>
      </c>
    </row>
    <row r="379" spans="1:9" ht="20.149999999999999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>
      <c r="A380" s="23">
        <v>22</v>
      </c>
      <c r="B380" s="14" t="s">
        <v>1186</v>
      </c>
      <c r="C380" s="85">
        <f>'data 2021'!CB76</f>
        <v>0</v>
      </c>
      <c r="D380" s="85">
        <f>'data 2021'!CC76</f>
        <v>42093.94</v>
      </c>
      <c r="E380" s="214"/>
      <c r="F380" s="211"/>
      <c r="G380" s="211"/>
      <c r="H380" s="211"/>
      <c r="I380" s="14">
        <f>'data 2021'!CE76</f>
        <v>209704.37</v>
      </c>
    </row>
    <row r="381" spans="1:9" ht="20.149999999999999" customHeight="1">
      <c r="A381" s="23">
        <v>23</v>
      </c>
      <c r="B381" s="14" t="s">
        <v>1187</v>
      </c>
      <c r="C381" s="14" t="str">
        <f>IF('data 2021'!CB77&gt;0,'data 2021'!CB77,"")</f>
        <v/>
      </c>
      <c r="D381" s="213" t="str">
        <f>IF('data 2021'!CC77&gt;0,'data 2021'!CC77,"")</f>
        <v>x</v>
      </c>
      <c r="E381" s="214"/>
      <c r="F381" s="211"/>
      <c r="G381" s="211"/>
      <c r="H381" s="211"/>
      <c r="I381" s="14">
        <f>'data 2021'!CE77</f>
        <v>42236</v>
      </c>
    </row>
    <row r="382" spans="1:9" ht="20.149999999999999" customHeight="1">
      <c r="A382" s="23">
        <v>24</v>
      </c>
      <c r="B382" s="14" t="s">
        <v>1188</v>
      </c>
      <c r="C382" s="14" t="str">
        <f>IF('data 2021'!CB78&gt;0,'data 2021'!CB78,"")</f>
        <v/>
      </c>
      <c r="D382" s="213" t="str">
        <f>IF('data 2021'!CC78&gt;0,'data 2021'!CC78,"")</f>
        <v>x</v>
      </c>
      <c r="E382" s="214"/>
      <c r="F382" s="211"/>
      <c r="G382" s="211"/>
      <c r="H382" s="211"/>
      <c r="I382" s="14">
        <f>'data 2021'!CE78</f>
        <v>39604</v>
      </c>
    </row>
    <row r="383" spans="1:9" ht="20.149999999999999" customHeight="1">
      <c r="A383" s="23">
        <v>25</v>
      </c>
      <c r="B383" s="14" t="s">
        <v>1189</v>
      </c>
      <c r="C383" s="14" t="str">
        <f>IF('data 2021'!CB79&gt;0,'data 2021'!CB79,"")</f>
        <v/>
      </c>
      <c r="D383" s="213" t="str">
        <f>IF('data 2021'!CC79&gt;0,'data 2021'!CC79,"")</f>
        <v/>
      </c>
      <c r="E383" s="214"/>
      <c r="F383" s="211"/>
      <c r="G383" s="211"/>
      <c r="H383" s="211"/>
      <c r="I383" s="14">
        <f>'data 2021'!CE79</f>
        <v>490191</v>
      </c>
    </row>
    <row r="384" spans="1:9" ht="20.149999999999999" customHeight="1">
      <c r="A384" s="23">
        <v>26</v>
      </c>
      <c r="B384" s="14" t="s">
        <v>252</v>
      </c>
      <c r="C384" s="213" t="str">
        <f>IF('data 2021'!CB80&gt;0,'data 2021'!CB80,"")</f>
        <v/>
      </c>
      <c r="D384" s="213" t="str">
        <f>IF('data 2021'!CC80&gt;0,'data 2021'!CC80,"")</f>
        <v/>
      </c>
      <c r="E384" s="217"/>
      <c r="F384" s="211"/>
      <c r="G384" s="211"/>
      <c r="H384" s="211"/>
      <c r="I384" s="84">
        <f>'data 2021'!CE80</f>
        <v>366.69999999999993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7F0D-0A66-4CA1-A9A9-6CD3987476B0}">
  <sheetPr syncVertical="1" syncRef="C45" transitionEvaluation="1" transitionEntry="1">
    <pageSetUpPr autoPageBreaks="0" fitToPage="1"/>
  </sheetPr>
  <dimension ref="A1:CF817"/>
  <sheetViews>
    <sheetView showGridLines="0" topLeftCell="A45" zoomScale="70" zoomScaleNormal="70" workbookViewId="0">
      <pane xSplit="2" topLeftCell="C1" activePane="topRight" state="frozen"/>
      <selection pane="topRight" activeCell="C78" sqref="C78:CD78"/>
    </sheetView>
  </sheetViews>
  <sheetFormatPr defaultColWidth="11.75" defaultRowHeight="12.65" customHeight="1"/>
  <cols>
    <col min="1" max="1" width="29.58203125" style="2" customWidth="1"/>
    <col min="2" max="2" width="15.58203125" style="2" customWidth="1"/>
    <col min="3" max="3" width="14.75" style="2" customWidth="1"/>
    <col min="4" max="4" width="13.25" style="2" customWidth="1"/>
    <col min="5" max="20" width="11.75" style="2"/>
    <col min="21" max="21" width="12.6640625" style="2" bestFit="1" customWidth="1"/>
    <col min="22" max="16384" width="11.75" style="2"/>
  </cols>
  <sheetData>
    <row r="1" spans="1:6" ht="12.75" customHeight="1">
      <c r="A1" s="288" t="s">
        <v>1232</v>
      </c>
    </row>
    <row r="2" spans="1:6" ht="12.75" customHeight="1">
      <c r="A2" s="2" t="s">
        <v>1233</v>
      </c>
      <c r="C2" s="289"/>
    </row>
    <row r="3" spans="1:6" ht="12.75" customHeight="1">
      <c r="A3" s="290"/>
      <c r="C3" s="289"/>
    </row>
    <row r="4" spans="1:6" ht="12.75" customHeight="1">
      <c r="C4" s="289"/>
    </row>
    <row r="5" spans="1:6" ht="12.75" customHeight="1">
      <c r="A5" s="290" t="s">
        <v>1258</v>
      </c>
      <c r="C5" s="289"/>
    </row>
    <row r="6" spans="1:6" ht="12.75" customHeight="1">
      <c r="A6" s="290" t="s">
        <v>0</v>
      </c>
      <c r="C6" s="289"/>
    </row>
    <row r="7" spans="1:6" ht="12.75" customHeight="1">
      <c r="A7" s="290" t="s">
        <v>1</v>
      </c>
      <c r="C7" s="289"/>
    </row>
    <row r="8" spans="1:6" ht="12.75" customHeight="1">
      <c r="C8" s="289"/>
    </row>
    <row r="9" spans="1:6" ht="12.75" customHeight="1">
      <c r="C9" s="289"/>
    </row>
    <row r="10" spans="1:6" ht="12.75" customHeight="1">
      <c r="A10" s="288" t="s">
        <v>1228</v>
      </c>
      <c r="C10" s="289"/>
    </row>
    <row r="11" spans="1:6" ht="12.75" customHeight="1">
      <c r="A11" s="288" t="s">
        <v>1231</v>
      </c>
      <c r="C11" s="289"/>
    </row>
    <row r="12" spans="1:6" ht="12.75" customHeight="1">
      <c r="C12" s="289"/>
    </row>
    <row r="13" spans="1:6" ht="12.75" customHeight="1">
      <c r="C13" s="289"/>
    </row>
    <row r="14" spans="1:6" ht="12.75" customHeight="1">
      <c r="A14" s="290" t="s">
        <v>2</v>
      </c>
      <c r="C14" s="289"/>
    </row>
    <row r="15" spans="1:6" ht="12.75" customHeight="1">
      <c r="A15" s="291"/>
      <c r="C15" s="289"/>
    </row>
    <row r="16" spans="1:6" ht="12.75" customHeight="1">
      <c r="A16" s="292" t="s">
        <v>1268</v>
      </c>
      <c r="C16" s="289"/>
      <c r="F16" s="280"/>
    </row>
    <row r="17" spans="1:6" ht="12.75" customHeight="1">
      <c r="A17" s="292" t="s">
        <v>1269</v>
      </c>
      <c r="C17" s="280"/>
    </row>
    <row r="18" spans="1:6" ht="12.75" customHeight="1">
      <c r="A18" s="293"/>
      <c r="C18" s="289"/>
    </row>
    <row r="19" spans="1:6" ht="12.75" customHeight="1">
      <c r="C19" s="289"/>
    </row>
    <row r="20" spans="1:6" ht="12.75" customHeight="1">
      <c r="A20" s="294" t="s">
        <v>1234</v>
      </c>
      <c r="B20" s="294"/>
      <c r="C20" s="295"/>
      <c r="D20" s="294"/>
      <c r="E20" s="294"/>
      <c r="F20" s="294"/>
    </row>
    <row r="21" spans="1:6" ht="22.5" customHeight="1">
      <c r="A21" s="290"/>
      <c r="C21" s="289"/>
    </row>
    <row r="22" spans="1:6" ht="12.65" customHeight="1">
      <c r="A22" s="296" t="s">
        <v>1254</v>
      </c>
      <c r="B22" s="297"/>
      <c r="C22" s="298"/>
      <c r="D22" s="296"/>
      <c r="E22" s="296"/>
    </row>
    <row r="23" spans="1:6" ht="12.65" customHeight="1">
      <c r="B23" s="290"/>
      <c r="C23" s="289"/>
    </row>
    <row r="24" spans="1:6" ht="12.65" customHeight="1">
      <c r="A24" s="299" t="s">
        <v>3</v>
      </c>
      <c r="C24" s="289"/>
    </row>
    <row r="25" spans="1:6" ht="12.65" customHeight="1">
      <c r="A25" s="288" t="s">
        <v>1235</v>
      </c>
      <c r="C25" s="289"/>
    </row>
    <row r="26" spans="1:6" ht="12.65" customHeight="1">
      <c r="A26" s="290" t="s">
        <v>4</v>
      </c>
      <c r="C26" s="289"/>
    </row>
    <row r="27" spans="1:6" ht="12.65" customHeight="1">
      <c r="A27" s="288" t="s">
        <v>1236</v>
      </c>
      <c r="C27" s="289"/>
    </row>
    <row r="28" spans="1:6" ht="12.65" customHeight="1">
      <c r="A28" s="290" t="s">
        <v>5</v>
      </c>
      <c r="C28" s="289"/>
    </row>
    <row r="29" spans="1:6" ht="12.65" customHeight="1">
      <c r="A29" s="288"/>
      <c r="C29" s="289"/>
    </row>
    <row r="30" spans="1:6" ht="12.65" customHeight="1">
      <c r="A30" s="2" t="s">
        <v>6</v>
      </c>
      <c r="C30" s="289"/>
    </row>
    <row r="31" spans="1:6" ht="12.65" customHeight="1">
      <c r="A31" s="290" t="s">
        <v>7</v>
      </c>
      <c r="C31" s="289"/>
    </row>
    <row r="32" spans="1:6" ht="12.65" customHeight="1">
      <c r="A32" s="290" t="s">
        <v>8</v>
      </c>
      <c r="C32" s="289"/>
    </row>
    <row r="33" spans="1:83" ht="12.65" customHeight="1">
      <c r="A33" s="288" t="s">
        <v>1237</v>
      </c>
      <c r="C33" s="289"/>
    </row>
    <row r="34" spans="1:83" ht="12.65" customHeight="1">
      <c r="A34" s="290" t="s">
        <v>9</v>
      </c>
      <c r="C34" s="289"/>
    </row>
    <row r="35" spans="1:83" ht="12.65" customHeight="1">
      <c r="A35" s="290"/>
      <c r="C35" s="289"/>
    </row>
    <row r="36" spans="1:83" ht="12.65" customHeight="1">
      <c r="A36" s="288" t="s">
        <v>1238</v>
      </c>
      <c r="C36" s="289"/>
    </row>
    <row r="37" spans="1:83" ht="12.65" customHeight="1">
      <c r="A37" s="290" t="s">
        <v>1229</v>
      </c>
      <c r="C37" s="289"/>
    </row>
    <row r="38" spans="1:83" ht="12" customHeight="1">
      <c r="A38" s="288"/>
      <c r="C38" s="289"/>
    </row>
    <row r="39" spans="1:83" ht="12.65" customHeight="1">
      <c r="A39" s="290"/>
      <c r="C39" s="289"/>
    </row>
    <row r="40" spans="1:83" ht="12" customHeight="1">
      <c r="A40" s="290"/>
      <c r="C40" s="289"/>
    </row>
    <row r="41" spans="1:83" ht="12" customHeight="1">
      <c r="A41" s="290"/>
      <c r="C41" s="300"/>
      <c r="D41" s="301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0"/>
      <c r="CA41" s="300"/>
      <c r="CB41" s="300"/>
      <c r="CC41" s="300"/>
    </row>
    <row r="42" spans="1:83" ht="12" customHeight="1">
      <c r="A42" s="290"/>
      <c r="C42" s="300"/>
      <c r="D42" s="301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  <c r="BX42" s="300"/>
      <c r="BY42" s="300"/>
      <c r="BZ42" s="300"/>
      <c r="CA42" s="300"/>
      <c r="CB42" s="300"/>
      <c r="CC42" s="300"/>
      <c r="CD42" s="302"/>
    </row>
    <row r="43" spans="1:83" ht="12" customHeight="1">
      <c r="A43" s="290"/>
      <c r="C43" s="289"/>
      <c r="F43" s="303"/>
    </row>
    <row r="44" spans="1:83" ht="12" customHeight="1">
      <c r="A44" s="304"/>
      <c r="B44" s="304"/>
      <c r="C44" s="305" t="s">
        <v>10</v>
      </c>
      <c r="D44" s="306" t="s">
        <v>11</v>
      </c>
      <c r="E44" s="306" t="s">
        <v>12</v>
      </c>
      <c r="F44" s="306" t="s">
        <v>13</v>
      </c>
      <c r="G44" s="306" t="s">
        <v>14</v>
      </c>
      <c r="H44" s="306" t="s">
        <v>15</v>
      </c>
      <c r="I44" s="306" t="s">
        <v>16</v>
      </c>
      <c r="J44" s="306" t="s">
        <v>17</v>
      </c>
      <c r="K44" s="306" t="s">
        <v>18</v>
      </c>
      <c r="L44" s="306" t="s">
        <v>19</v>
      </c>
      <c r="M44" s="306" t="s">
        <v>20</v>
      </c>
      <c r="N44" s="306" t="s">
        <v>21</v>
      </c>
      <c r="O44" s="306" t="s">
        <v>22</v>
      </c>
      <c r="P44" s="306" t="s">
        <v>23</v>
      </c>
      <c r="Q44" s="306" t="s">
        <v>24</v>
      </c>
      <c r="R44" s="306" t="s">
        <v>25</v>
      </c>
      <c r="S44" s="306" t="s">
        <v>26</v>
      </c>
      <c r="T44" s="306" t="s">
        <v>27</v>
      </c>
      <c r="U44" s="306" t="s">
        <v>28</v>
      </c>
      <c r="V44" s="306" t="s">
        <v>29</v>
      </c>
      <c r="W44" s="306" t="s">
        <v>30</v>
      </c>
      <c r="X44" s="306" t="s">
        <v>31</v>
      </c>
      <c r="Y44" s="306" t="s">
        <v>32</v>
      </c>
      <c r="Z44" s="306" t="s">
        <v>33</v>
      </c>
      <c r="AA44" s="306" t="s">
        <v>34</v>
      </c>
      <c r="AB44" s="306" t="s">
        <v>35</v>
      </c>
      <c r="AC44" s="306" t="s">
        <v>36</v>
      </c>
      <c r="AD44" s="306" t="s">
        <v>37</v>
      </c>
      <c r="AE44" s="306" t="s">
        <v>38</v>
      </c>
      <c r="AF44" s="306" t="s">
        <v>39</v>
      </c>
      <c r="AG44" s="306" t="s">
        <v>40</v>
      </c>
      <c r="AH44" s="306" t="s">
        <v>41</v>
      </c>
      <c r="AI44" s="306" t="s">
        <v>42</v>
      </c>
      <c r="AJ44" s="306" t="s">
        <v>43</v>
      </c>
      <c r="AK44" s="306" t="s">
        <v>44</v>
      </c>
      <c r="AL44" s="306" t="s">
        <v>45</v>
      </c>
      <c r="AM44" s="306" t="s">
        <v>46</v>
      </c>
      <c r="AN44" s="306" t="s">
        <v>47</v>
      </c>
      <c r="AO44" s="306" t="s">
        <v>48</v>
      </c>
      <c r="AP44" s="306" t="s">
        <v>49</v>
      </c>
      <c r="AQ44" s="306" t="s">
        <v>50</v>
      </c>
      <c r="AR44" s="306" t="s">
        <v>51</v>
      </c>
      <c r="AS44" s="306" t="s">
        <v>52</v>
      </c>
      <c r="AT44" s="306" t="s">
        <v>53</v>
      </c>
      <c r="AU44" s="306" t="s">
        <v>54</v>
      </c>
      <c r="AV44" s="306" t="s">
        <v>55</v>
      </c>
      <c r="AW44" s="306" t="s">
        <v>56</v>
      </c>
      <c r="AX44" s="306" t="s">
        <v>57</v>
      </c>
      <c r="AY44" s="306" t="s">
        <v>58</v>
      </c>
      <c r="AZ44" s="306" t="s">
        <v>59</v>
      </c>
      <c r="BA44" s="306" t="s">
        <v>60</v>
      </c>
      <c r="BB44" s="306" t="s">
        <v>61</v>
      </c>
      <c r="BC44" s="306" t="s">
        <v>62</v>
      </c>
      <c r="BD44" s="306" t="s">
        <v>63</v>
      </c>
      <c r="BE44" s="306" t="s">
        <v>64</v>
      </c>
      <c r="BF44" s="306" t="s">
        <v>65</v>
      </c>
      <c r="BG44" s="306" t="s">
        <v>66</v>
      </c>
      <c r="BH44" s="306" t="s">
        <v>67</v>
      </c>
      <c r="BI44" s="306" t="s">
        <v>68</v>
      </c>
      <c r="BJ44" s="306" t="s">
        <v>69</v>
      </c>
      <c r="BK44" s="306" t="s">
        <v>70</v>
      </c>
      <c r="BL44" s="306" t="s">
        <v>71</v>
      </c>
      <c r="BM44" s="306" t="s">
        <v>72</v>
      </c>
      <c r="BN44" s="306" t="s">
        <v>73</v>
      </c>
      <c r="BO44" s="306" t="s">
        <v>74</v>
      </c>
      <c r="BP44" s="306" t="s">
        <v>75</v>
      </c>
      <c r="BQ44" s="306" t="s">
        <v>76</v>
      </c>
      <c r="BR44" s="306" t="s">
        <v>77</v>
      </c>
      <c r="BS44" s="306" t="s">
        <v>78</v>
      </c>
      <c r="BT44" s="306" t="s">
        <v>79</v>
      </c>
      <c r="BU44" s="306" t="s">
        <v>80</v>
      </c>
      <c r="BV44" s="306" t="s">
        <v>81</v>
      </c>
      <c r="BW44" s="306" t="s">
        <v>82</v>
      </c>
      <c r="BX44" s="306" t="s">
        <v>83</v>
      </c>
      <c r="BY44" s="306" t="s">
        <v>84</v>
      </c>
      <c r="BZ44" s="306" t="s">
        <v>85</v>
      </c>
      <c r="CA44" s="306" t="s">
        <v>86</v>
      </c>
      <c r="CB44" s="306" t="s">
        <v>87</v>
      </c>
      <c r="CC44" s="306" t="s">
        <v>88</v>
      </c>
      <c r="CD44" s="306" t="s">
        <v>89</v>
      </c>
      <c r="CE44" s="306" t="s">
        <v>90</v>
      </c>
    </row>
    <row r="45" spans="1:83" ht="12" customHeight="1">
      <c r="A45" s="304"/>
      <c r="B45" s="307" t="s">
        <v>91</v>
      </c>
      <c r="C45" s="305" t="s">
        <v>92</v>
      </c>
      <c r="D45" s="306" t="s">
        <v>93</v>
      </c>
      <c r="E45" s="306" t="s">
        <v>94</v>
      </c>
      <c r="F45" s="306" t="s">
        <v>95</v>
      </c>
      <c r="G45" s="306" t="s">
        <v>96</v>
      </c>
      <c r="H45" s="306" t="s">
        <v>97</v>
      </c>
      <c r="I45" s="306" t="s">
        <v>98</v>
      </c>
      <c r="J45" s="306" t="s">
        <v>99</v>
      </c>
      <c r="K45" s="306" t="s">
        <v>100</v>
      </c>
      <c r="L45" s="306" t="s">
        <v>101</v>
      </c>
      <c r="M45" s="306" t="s">
        <v>102</v>
      </c>
      <c r="N45" s="306" t="s">
        <v>103</v>
      </c>
      <c r="O45" s="306" t="s">
        <v>104</v>
      </c>
      <c r="P45" s="306" t="s">
        <v>105</v>
      </c>
      <c r="Q45" s="306" t="s">
        <v>106</v>
      </c>
      <c r="R45" s="306" t="s">
        <v>107</v>
      </c>
      <c r="S45" s="306" t="s">
        <v>108</v>
      </c>
      <c r="T45" s="306" t="s">
        <v>1194</v>
      </c>
      <c r="U45" s="306" t="s">
        <v>109</v>
      </c>
      <c r="V45" s="306" t="s">
        <v>110</v>
      </c>
      <c r="W45" s="306" t="s">
        <v>111</v>
      </c>
      <c r="X45" s="306" t="s">
        <v>112</v>
      </c>
      <c r="Y45" s="306" t="s">
        <v>113</v>
      </c>
      <c r="Z45" s="306" t="s">
        <v>113</v>
      </c>
      <c r="AA45" s="306" t="s">
        <v>114</v>
      </c>
      <c r="AB45" s="306" t="s">
        <v>115</v>
      </c>
      <c r="AC45" s="306" t="s">
        <v>116</v>
      </c>
      <c r="AD45" s="306" t="s">
        <v>117</v>
      </c>
      <c r="AE45" s="306" t="s">
        <v>96</v>
      </c>
      <c r="AF45" s="306" t="s">
        <v>97</v>
      </c>
      <c r="AG45" s="306" t="s">
        <v>118</v>
      </c>
      <c r="AH45" s="306" t="s">
        <v>119</v>
      </c>
      <c r="AI45" s="306" t="s">
        <v>120</v>
      </c>
      <c r="AJ45" s="306" t="s">
        <v>121</v>
      </c>
      <c r="AK45" s="306" t="s">
        <v>122</v>
      </c>
      <c r="AL45" s="306" t="s">
        <v>123</v>
      </c>
      <c r="AM45" s="306" t="s">
        <v>124</v>
      </c>
      <c r="AN45" s="306" t="s">
        <v>110</v>
      </c>
      <c r="AO45" s="306" t="s">
        <v>125</v>
      </c>
      <c r="AP45" s="306" t="s">
        <v>126</v>
      </c>
      <c r="AQ45" s="306" t="s">
        <v>127</v>
      </c>
      <c r="AR45" s="306" t="s">
        <v>128</v>
      </c>
      <c r="AS45" s="306" t="s">
        <v>129</v>
      </c>
      <c r="AT45" s="306" t="s">
        <v>130</v>
      </c>
      <c r="AU45" s="306" t="s">
        <v>131</v>
      </c>
      <c r="AV45" s="306" t="s">
        <v>132</v>
      </c>
      <c r="AW45" s="306" t="s">
        <v>133</v>
      </c>
      <c r="AX45" s="306" t="s">
        <v>134</v>
      </c>
      <c r="AY45" s="306" t="s">
        <v>135</v>
      </c>
      <c r="AZ45" s="306" t="s">
        <v>136</v>
      </c>
      <c r="BA45" s="306" t="s">
        <v>137</v>
      </c>
      <c r="BB45" s="306" t="s">
        <v>138</v>
      </c>
      <c r="BC45" s="306" t="s">
        <v>108</v>
      </c>
      <c r="BD45" s="306" t="s">
        <v>139</v>
      </c>
      <c r="BE45" s="306" t="s">
        <v>140</v>
      </c>
      <c r="BF45" s="306" t="s">
        <v>141</v>
      </c>
      <c r="BG45" s="306" t="s">
        <v>142</v>
      </c>
      <c r="BH45" s="306" t="s">
        <v>143</v>
      </c>
      <c r="BI45" s="306" t="s">
        <v>144</v>
      </c>
      <c r="BJ45" s="306" t="s">
        <v>145</v>
      </c>
      <c r="BK45" s="306" t="s">
        <v>146</v>
      </c>
      <c r="BL45" s="306" t="s">
        <v>147</v>
      </c>
      <c r="BM45" s="306" t="s">
        <v>132</v>
      </c>
      <c r="BN45" s="306" t="s">
        <v>148</v>
      </c>
      <c r="BO45" s="306" t="s">
        <v>149</v>
      </c>
      <c r="BP45" s="306" t="s">
        <v>150</v>
      </c>
      <c r="BQ45" s="306" t="s">
        <v>151</v>
      </c>
      <c r="BR45" s="306" t="s">
        <v>152</v>
      </c>
      <c r="BS45" s="306" t="s">
        <v>153</v>
      </c>
      <c r="BT45" s="306" t="s">
        <v>154</v>
      </c>
      <c r="BU45" s="306" t="s">
        <v>155</v>
      </c>
      <c r="BV45" s="306" t="s">
        <v>155</v>
      </c>
      <c r="BW45" s="306" t="s">
        <v>155</v>
      </c>
      <c r="BX45" s="306" t="s">
        <v>156</v>
      </c>
      <c r="BY45" s="306" t="s">
        <v>157</v>
      </c>
      <c r="BZ45" s="306" t="s">
        <v>158</v>
      </c>
      <c r="CA45" s="306" t="s">
        <v>159</v>
      </c>
      <c r="CB45" s="306" t="s">
        <v>160</v>
      </c>
      <c r="CC45" s="306" t="s">
        <v>132</v>
      </c>
      <c r="CD45" s="306"/>
      <c r="CE45" s="306" t="s">
        <v>161</v>
      </c>
    </row>
    <row r="46" spans="1:83" ht="12.65" customHeight="1">
      <c r="A46" s="304" t="s">
        <v>3</v>
      </c>
      <c r="B46" s="306" t="s">
        <v>162</v>
      </c>
      <c r="C46" s="305" t="s">
        <v>163</v>
      </c>
      <c r="D46" s="306" t="s">
        <v>163</v>
      </c>
      <c r="E46" s="306" t="s">
        <v>163</v>
      </c>
      <c r="F46" s="306" t="s">
        <v>164</v>
      </c>
      <c r="G46" s="306" t="s">
        <v>165</v>
      </c>
      <c r="H46" s="306" t="s">
        <v>163</v>
      </c>
      <c r="I46" s="306" t="s">
        <v>166</v>
      </c>
      <c r="J46" s="306"/>
      <c r="K46" s="306" t="s">
        <v>157</v>
      </c>
      <c r="L46" s="306" t="s">
        <v>167</v>
      </c>
      <c r="M46" s="306" t="s">
        <v>168</v>
      </c>
      <c r="N46" s="306" t="s">
        <v>169</v>
      </c>
      <c r="O46" s="306" t="s">
        <v>170</v>
      </c>
      <c r="P46" s="306" t="s">
        <v>169</v>
      </c>
      <c r="Q46" s="306" t="s">
        <v>171</v>
      </c>
      <c r="R46" s="306"/>
      <c r="S46" s="306" t="s">
        <v>169</v>
      </c>
      <c r="T46" s="306" t="s">
        <v>172</v>
      </c>
      <c r="U46" s="306"/>
      <c r="V46" s="306" t="s">
        <v>173</v>
      </c>
      <c r="W46" s="306" t="s">
        <v>174</v>
      </c>
      <c r="X46" s="306" t="s">
        <v>175</v>
      </c>
      <c r="Y46" s="306" t="s">
        <v>176</v>
      </c>
      <c r="Z46" s="306" t="s">
        <v>177</v>
      </c>
      <c r="AA46" s="306" t="s">
        <v>178</v>
      </c>
      <c r="AB46" s="306"/>
      <c r="AC46" s="306" t="s">
        <v>172</v>
      </c>
      <c r="AD46" s="306"/>
      <c r="AE46" s="306" t="s">
        <v>172</v>
      </c>
      <c r="AF46" s="306" t="s">
        <v>179</v>
      </c>
      <c r="AG46" s="306" t="s">
        <v>171</v>
      </c>
      <c r="AH46" s="306"/>
      <c r="AI46" s="306" t="s">
        <v>180</v>
      </c>
      <c r="AJ46" s="306"/>
      <c r="AK46" s="306" t="s">
        <v>172</v>
      </c>
      <c r="AL46" s="306" t="s">
        <v>172</v>
      </c>
      <c r="AM46" s="306" t="s">
        <v>172</v>
      </c>
      <c r="AN46" s="306" t="s">
        <v>181</v>
      </c>
      <c r="AO46" s="306" t="s">
        <v>182</v>
      </c>
      <c r="AP46" s="306" t="s">
        <v>121</v>
      </c>
      <c r="AQ46" s="306" t="s">
        <v>183</v>
      </c>
      <c r="AR46" s="306" t="s">
        <v>169</v>
      </c>
      <c r="AS46" s="306"/>
      <c r="AT46" s="306" t="s">
        <v>184</v>
      </c>
      <c r="AU46" s="306" t="s">
        <v>185</v>
      </c>
      <c r="AV46" s="306" t="s">
        <v>186</v>
      </c>
      <c r="AW46" s="306" t="s">
        <v>187</v>
      </c>
      <c r="AX46" s="306" t="s">
        <v>188</v>
      </c>
      <c r="AY46" s="306"/>
      <c r="AZ46" s="306"/>
      <c r="BA46" s="306" t="s">
        <v>189</v>
      </c>
      <c r="BB46" s="306" t="s">
        <v>169</v>
      </c>
      <c r="BC46" s="306" t="s">
        <v>183</v>
      </c>
      <c r="BD46" s="306"/>
      <c r="BE46" s="306"/>
      <c r="BF46" s="306"/>
      <c r="BG46" s="306"/>
      <c r="BH46" s="306" t="s">
        <v>190</v>
      </c>
      <c r="BI46" s="306" t="s">
        <v>169</v>
      </c>
      <c r="BJ46" s="306"/>
      <c r="BK46" s="306" t="s">
        <v>191</v>
      </c>
      <c r="BL46" s="306"/>
      <c r="BM46" s="306" t="s">
        <v>192</v>
      </c>
      <c r="BN46" s="306" t="s">
        <v>193</v>
      </c>
      <c r="BO46" s="306" t="s">
        <v>194</v>
      </c>
      <c r="BP46" s="306" t="s">
        <v>195</v>
      </c>
      <c r="BQ46" s="306" t="s">
        <v>196</v>
      </c>
      <c r="BR46" s="306"/>
      <c r="BS46" s="306" t="s">
        <v>197</v>
      </c>
      <c r="BT46" s="306" t="s">
        <v>169</v>
      </c>
      <c r="BU46" s="306" t="s">
        <v>198</v>
      </c>
      <c r="BV46" s="306" t="s">
        <v>199</v>
      </c>
      <c r="BW46" s="306" t="s">
        <v>200</v>
      </c>
      <c r="BX46" s="306" t="s">
        <v>151</v>
      </c>
      <c r="BY46" s="306" t="s">
        <v>193</v>
      </c>
      <c r="BZ46" s="306" t="s">
        <v>152</v>
      </c>
      <c r="CA46" s="306" t="s">
        <v>201</v>
      </c>
      <c r="CB46" s="306" t="s">
        <v>201</v>
      </c>
      <c r="CC46" s="306" t="s">
        <v>202</v>
      </c>
      <c r="CD46" s="306"/>
      <c r="CE46" s="306" t="s">
        <v>203</v>
      </c>
    </row>
    <row r="47" spans="1:83" ht="12.65" customHeight="1">
      <c r="A47" s="304" t="s">
        <v>204</v>
      </c>
      <c r="B47" s="308">
        <f>2729895.19-34515-145885</f>
        <v>2549495.19</v>
      </c>
      <c r="C47" s="309">
        <f>369603+14026</f>
        <v>383629</v>
      </c>
      <c r="D47" s="309"/>
      <c r="E47" s="309">
        <f>210349</f>
        <v>210349</v>
      </c>
      <c r="F47" s="309"/>
      <c r="G47" s="309"/>
      <c r="H47" s="309"/>
      <c r="I47" s="309"/>
      <c r="J47" s="309"/>
      <c r="K47" s="309"/>
      <c r="L47" s="309"/>
      <c r="M47" s="309"/>
      <c r="N47" s="309"/>
      <c r="O47" s="309">
        <v>185129</v>
      </c>
      <c r="P47" s="309">
        <f>95079</f>
        <v>95079</v>
      </c>
      <c r="Q47" s="309">
        <f>54848</f>
        <v>54848</v>
      </c>
      <c r="R47" s="309">
        <v>9390</v>
      </c>
      <c r="S47" s="309">
        <v>28161</v>
      </c>
      <c r="T47" s="309"/>
      <c r="U47" s="309">
        <f>108830+18</f>
        <v>108848</v>
      </c>
      <c r="V47" s="309"/>
      <c r="W47" s="309">
        <v>10798</v>
      </c>
      <c r="X47" s="309">
        <f>15584+17944</f>
        <v>33528</v>
      </c>
      <c r="Y47" s="309">
        <f>3550+80816+16397+70463+29812-9819+11705</f>
        <v>202924</v>
      </c>
      <c r="Z47" s="309">
        <f>41969</f>
        <v>41969</v>
      </c>
      <c r="AA47" s="309">
        <v>12287</v>
      </c>
      <c r="AB47" s="309">
        <f>82855+7470</f>
        <v>90325</v>
      </c>
      <c r="AC47" s="309">
        <f>14824+54085</f>
        <v>68909</v>
      </c>
      <c r="AD47" s="309"/>
      <c r="AE47" s="309">
        <f>44214</f>
        <v>44214</v>
      </c>
      <c r="AF47" s="309"/>
      <c r="AG47" s="309">
        <f>181612</f>
        <v>181612</v>
      </c>
      <c r="AH47" s="309"/>
      <c r="AI47" s="309">
        <f>89674+21332</f>
        <v>111006</v>
      </c>
      <c r="AJ47" s="309"/>
      <c r="AK47" s="309">
        <f>4799</f>
        <v>4799</v>
      </c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>
        <f>33761+39368-2</f>
        <v>73127</v>
      </c>
      <c r="AW47" s="309"/>
      <c r="AX47" s="309"/>
      <c r="AY47" s="309">
        <f>66716</f>
        <v>66716</v>
      </c>
      <c r="AZ47" s="309"/>
      <c r="BA47" s="309"/>
      <c r="BB47" s="309">
        <f>11635+37242</f>
        <v>48877</v>
      </c>
      <c r="BC47" s="309"/>
      <c r="BD47" s="309">
        <f>30783</f>
        <v>30783</v>
      </c>
      <c r="BE47" s="309">
        <f>37407+19624</f>
        <v>57031</v>
      </c>
      <c r="BF47" s="309">
        <f>58130</f>
        <v>58130</v>
      </c>
      <c r="BG47" s="309">
        <f>6986</f>
        <v>6986</v>
      </c>
      <c r="BH47" s="309">
        <f>30730</f>
        <v>30730</v>
      </c>
      <c r="BI47" s="309"/>
      <c r="BJ47" s="309">
        <f>15341</f>
        <v>15341</v>
      </c>
      <c r="BK47" s="309"/>
      <c r="BL47" s="309">
        <f>58528+9017</f>
        <v>67545</v>
      </c>
      <c r="BM47" s="309"/>
      <c r="BN47" s="309">
        <f>28892+7669</f>
        <v>36561</v>
      </c>
      <c r="BO47" s="309"/>
      <c r="BP47" s="309">
        <f>3605</f>
        <v>3605</v>
      </c>
      <c r="BQ47" s="309"/>
      <c r="BR47" s="309">
        <f>18040+1888</f>
        <v>19928</v>
      </c>
      <c r="BS47" s="309"/>
      <c r="BT47" s="309"/>
      <c r="BU47" s="309"/>
      <c r="BV47" s="309">
        <v>41970</v>
      </c>
      <c r="BW47" s="309">
        <f>7717</f>
        <v>7717</v>
      </c>
      <c r="BX47" s="309">
        <v>14769</v>
      </c>
      <c r="BY47" s="309">
        <f>56921+22780</f>
        <v>79701</v>
      </c>
      <c r="BZ47" s="309"/>
      <c r="CA47" s="309">
        <f>12172</f>
        <v>12172</v>
      </c>
      <c r="CB47" s="309"/>
      <c r="CC47" s="309"/>
      <c r="CD47" s="304"/>
      <c r="CE47" s="304">
        <f>SUM(C47:CC47)</f>
        <v>2549493</v>
      </c>
    </row>
    <row r="48" spans="1:83" ht="12.65" customHeight="1">
      <c r="A48" s="304" t="s">
        <v>205</v>
      </c>
      <c r="B48" s="308">
        <f>6548760.2-B47</f>
        <v>3999265.0100000002</v>
      </c>
      <c r="C48" s="310">
        <f>ROUND(((B48/CE61)*C61),0)</f>
        <v>567417</v>
      </c>
      <c r="D48" s="310">
        <f>ROUND(((B48/CE61)*D61),0)</f>
        <v>0</v>
      </c>
      <c r="E48" s="304">
        <f>ROUND(((B48/CE61)*E61),0)</f>
        <v>310204</v>
      </c>
      <c r="F48" s="304">
        <f>ROUND(((B48/CE61)*F61),0)</f>
        <v>0</v>
      </c>
      <c r="G48" s="304">
        <f>ROUND(((B48/CE61)*G61),0)</f>
        <v>0</v>
      </c>
      <c r="H48" s="304">
        <f>ROUND(((B48/CE61)*H61),0)</f>
        <v>0</v>
      </c>
      <c r="I48" s="304">
        <f>ROUND(((B48/CE61)*I61),0)</f>
        <v>0</v>
      </c>
      <c r="J48" s="304">
        <f>ROUND(((B48/CE61)*J61),0)</f>
        <v>0</v>
      </c>
      <c r="K48" s="304">
        <f>ROUND(((B48/CE61)*K61),0)</f>
        <v>0</v>
      </c>
      <c r="L48" s="304">
        <f>ROUND(((B48/CE61)*L61),0)</f>
        <v>0</v>
      </c>
      <c r="M48" s="304">
        <f>ROUND(((B48/CE61)*M61),0)</f>
        <v>0</v>
      </c>
      <c r="N48" s="304">
        <f>ROUND(((B48/CE61)*N61),0)</f>
        <v>0</v>
      </c>
      <c r="O48" s="304">
        <f>ROUND(((B48/CE61)*O61),0)</f>
        <v>271297</v>
      </c>
      <c r="P48" s="304">
        <f>ROUND(((B48/CE61)*P61),0)</f>
        <v>140204</v>
      </c>
      <c r="Q48" s="304">
        <f>ROUND(((B48/CE61)*Q61),0)</f>
        <v>79823</v>
      </c>
      <c r="R48" s="304">
        <f>ROUND(((B48/CE61)*R61),0)</f>
        <v>14748</v>
      </c>
      <c r="S48" s="304">
        <f>ROUND(((B48/CE61)*S61),0)</f>
        <v>41612</v>
      </c>
      <c r="T48" s="304">
        <f>ROUND(((B48/CE61)*T61),0)</f>
        <v>0</v>
      </c>
      <c r="U48" s="304">
        <f>ROUND(((B48/CE61)*U61),0)</f>
        <v>160490</v>
      </c>
      <c r="V48" s="304">
        <f>ROUND(((B48/CE61)*V61),0)</f>
        <v>0</v>
      </c>
      <c r="W48" s="304">
        <f>ROUND(((B48/CE61)*W61),0)</f>
        <v>16481</v>
      </c>
      <c r="X48" s="304">
        <f>ROUND(((B48/CE61)*X61),0)</f>
        <v>49406</v>
      </c>
      <c r="Y48" s="304">
        <f>ROUND(((B48/CE61)*Y61),0)</f>
        <v>313187</v>
      </c>
      <c r="Z48" s="304">
        <f>ROUND(((B48/CE61)*Z61),0)</f>
        <v>62067</v>
      </c>
      <c r="AA48" s="304">
        <f>ROUND(((B48/CE61)*AA61),0)</f>
        <v>17838</v>
      </c>
      <c r="AB48" s="304">
        <f>ROUND(((B48/CE61)*AB61),0)</f>
        <v>133955</v>
      </c>
      <c r="AC48" s="304">
        <f>ROUND(((B48/CE61)*AC61),0)</f>
        <v>101513</v>
      </c>
      <c r="AD48" s="304">
        <f>ROUND(((B48/CE61)*AD61),0)</f>
        <v>0</v>
      </c>
      <c r="AE48" s="304">
        <f>ROUND(((B48/CE61)*AE61),0)</f>
        <v>65643</v>
      </c>
      <c r="AF48" s="304">
        <f>ROUND(((B48/CE61)*AF61),0)</f>
        <v>0</v>
      </c>
      <c r="AG48" s="304">
        <f>ROUND(((B48/CE61)*AG61),0)</f>
        <v>276094</v>
      </c>
      <c r="AH48" s="304">
        <f>ROUND(((B48/CE61)*AH61),0)</f>
        <v>0</v>
      </c>
      <c r="AI48" s="304">
        <f>ROUND(((B48/CE61)*AI61),0)</f>
        <v>166236</v>
      </c>
      <c r="AJ48" s="304">
        <f>ROUND(((B48/CE61)*AJ61),0)</f>
        <v>0</v>
      </c>
      <c r="AK48" s="304">
        <f>ROUND(((B48/CE61)*AK61),0)</f>
        <v>6790</v>
      </c>
      <c r="AL48" s="304">
        <f>ROUND(((B48/CE61)*AL61),0)</f>
        <v>0</v>
      </c>
      <c r="AM48" s="304">
        <f>ROUND(((B48/CE61)*AM61),0)</f>
        <v>0</v>
      </c>
      <c r="AN48" s="304">
        <f>ROUND(((B48/CE61)*AN61),0)</f>
        <v>0</v>
      </c>
      <c r="AO48" s="304">
        <f>ROUND(((B48/CE61)*AO61),0)</f>
        <v>0</v>
      </c>
      <c r="AP48" s="304">
        <f>ROUND(((B48/CE61)*AP61),0)</f>
        <v>0</v>
      </c>
      <c r="AQ48" s="304">
        <f>ROUND(((B48/CE61)*AQ61),0)</f>
        <v>0</v>
      </c>
      <c r="AR48" s="304">
        <f>ROUND(((B48/CE61)*AR61),0)</f>
        <v>0</v>
      </c>
      <c r="AS48" s="304">
        <f>ROUND(((B48/CE61)*AS61),0)</f>
        <v>0</v>
      </c>
      <c r="AT48" s="304">
        <f>ROUND(((B48/CE61)*AT61),0)</f>
        <v>0</v>
      </c>
      <c r="AU48" s="304">
        <f>ROUND(((B48/CE61)*AU61),0)</f>
        <v>0</v>
      </c>
      <c r="AV48" s="304">
        <f>ROUND(((B48/CE61)*AV61),0)</f>
        <v>123562</v>
      </c>
      <c r="AW48" s="304">
        <f>ROUND(((B48/CE61)*AW61),0)</f>
        <v>0</v>
      </c>
      <c r="AX48" s="304">
        <f>ROUND(((B48/CE61)*AX61),0)</f>
        <v>0</v>
      </c>
      <c r="AY48" s="304">
        <f>ROUND(((B48/CE61)*AY61),0)</f>
        <v>100459</v>
      </c>
      <c r="AZ48" s="304">
        <f>ROUND(((B48/CE61)*AZ61),0)</f>
        <v>0</v>
      </c>
      <c r="BA48" s="304">
        <f>ROUND(((B48/CE61)*BA61),0)</f>
        <v>0</v>
      </c>
      <c r="BB48" s="304">
        <f>ROUND(((B48/CE61)*BB61),0)</f>
        <v>73710</v>
      </c>
      <c r="BC48" s="304">
        <f>ROUND(((B48/CE61)*BC61),0)</f>
        <v>0</v>
      </c>
      <c r="BD48" s="304">
        <f>ROUND(((B48/CE61)*BD61),0)</f>
        <v>46040</v>
      </c>
      <c r="BE48" s="304">
        <f>ROUND(((B48/CE61)*BE61),0)</f>
        <v>85379</v>
      </c>
      <c r="BF48" s="304">
        <f>ROUND(((B48/CE61)*BF61),0)</f>
        <v>85527</v>
      </c>
      <c r="BG48" s="304">
        <f>ROUND(((B48/CE61)*BG61),0)</f>
        <v>9912</v>
      </c>
      <c r="BH48" s="304">
        <f>ROUND(((B48/CE61)*BH61),0)</f>
        <v>45342</v>
      </c>
      <c r="BI48" s="304">
        <f>ROUND(((B48/CE61)*BI61),0)</f>
        <v>0</v>
      </c>
      <c r="BJ48" s="304">
        <f>ROUND(((B48/CE61)*BJ61),0)</f>
        <v>24597</v>
      </c>
      <c r="BK48" s="304">
        <f>ROUND(((B48/CE61)*BK61),0)</f>
        <v>0</v>
      </c>
      <c r="BL48" s="304">
        <f>ROUND(((B48/CE61)*BL61),0)</f>
        <v>98830</v>
      </c>
      <c r="BM48" s="304">
        <f>ROUND(((B48/CE61)*BM61),0)</f>
        <v>0</v>
      </c>
      <c r="BN48" s="304">
        <f>ROUND(((B48/CE61)*BN61),0)</f>
        <v>242254</v>
      </c>
      <c r="BO48" s="304">
        <f>ROUND(((B48/CE61)*BO61),0)</f>
        <v>0</v>
      </c>
      <c r="BP48" s="304">
        <f>ROUND(((B48/CE61)*BP61),0)</f>
        <v>5191</v>
      </c>
      <c r="BQ48" s="304">
        <f>ROUND(((B48/CE61)*BQ61),0)</f>
        <v>0</v>
      </c>
      <c r="BR48" s="304">
        <f>ROUND(((B48/CE61)*BR61),0)</f>
        <v>30661</v>
      </c>
      <c r="BS48" s="304">
        <f>ROUND(((B48/CE61)*BS61),0)</f>
        <v>0</v>
      </c>
      <c r="BT48" s="304">
        <f>ROUND(((B48/CE61)*BT61),0)</f>
        <v>0</v>
      </c>
      <c r="BU48" s="304">
        <f>ROUND(((B48/CE61)*BU61),0)</f>
        <v>0</v>
      </c>
      <c r="BV48" s="304">
        <f>ROUND(((B48/CE61)*BV61),0)</f>
        <v>65192</v>
      </c>
      <c r="BW48" s="304">
        <f>ROUND(((B48/CE61)*BW61),0)</f>
        <v>11161</v>
      </c>
      <c r="BX48" s="304">
        <f>ROUND(((B48/CE61)*BX61),0)</f>
        <v>22112</v>
      </c>
      <c r="BY48" s="304">
        <f>ROUND(((B48/CE61)*BY61),0)</f>
        <v>116593</v>
      </c>
      <c r="BZ48" s="304">
        <f>ROUND(((B48/CE61)*BZ61),0)</f>
        <v>0</v>
      </c>
      <c r="CA48" s="304">
        <f>ROUND(((B48/CE61)*CA61),0)</f>
        <v>17737</v>
      </c>
      <c r="CB48" s="304">
        <f>ROUND(((B48/CE61)*CB61),0)</f>
        <v>0</v>
      </c>
      <c r="CC48" s="304">
        <f>ROUND(((B48/CE61)*CC61),0)</f>
        <v>0</v>
      </c>
      <c r="CD48" s="304"/>
      <c r="CE48" s="304">
        <f>SUM(C48:CD48)</f>
        <v>3999264</v>
      </c>
    </row>
    <row r="49" spans="1:83" ht="12.65" customHeight="1">
      <c r="A49" s="304" t="s">
        <v>206</v>
      </c>
      <c r="B49" s="304">
        <f>B47+B48</f>
        <v>6548760.2000000002</v>
      </c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</row>
    <row r="50" spans="1:83" ht="12.65" customHeight="1">
      <c r="A50" s="304" t="s">
        <v>6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</row>
    <row r="51" spans="1:83" ht="12.65" customHeight="1">
      <c r="A51" s="311" t="s">
        <v>207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4"/>
      <c r="CE51" s="304">
        <f>SUM(C51:CD51)</f>
        <v>0</v>
      </c>
    </row>
    <row r="52" spans="1:83" ht="12.65" customHeight="1">
      <c r="A52" s="311" t="s">
        <v>208</v>
      </c>
      <c r="B52" s="309">
        <v>5898153</v>
      </c>
      <c r="C52" s="304">
        <f>ROUND((B52/(CE76+CF76)*C76),0)</f>
        <v>319328</v>
      </c>
      <c r="D52" s="304">
        <f>ROUND((B52/(CE76+CF76)*D76),0)</f>
        <v>0</v>
      </c>
      <c r="E52" s="304">
        <f>ROUND((B52/(CE76+CF76)*E76),0)</f>
        <v>453634</v>
      </c>
      <c r="F52" s="304">
        <f>ROUND((B52/(CE76+CF76)*F76),0)</f>
        <v>0</v>
      </c>
      <c r="G52" s="304">
        <f>ROUND((B52/(CE76+CF76)*G76),0)</f>
        <v>0</v>
      </c>
      <c r="H52" s="304">
        <f>ROUND((B52/(CE76+CF76)*H76),0)</f>
        <v>0</v>
      </c>
      <c r="I52" s="304">
        <f>ROUND((B52/(CE76+CF76)*I76),0)</f>
        <v>0</v>
      </c>
      <c r="J52" s="304">
        <f>ROUND((B52/(CE76+CF76)*J76),0)</f>
        <v>27066</v>
      </c>
      <c r="K52" s="304">
        <f>ROUND((B52/(CE76+CF76)*K76),0)</f>
        <v>0</v>
      </c>
      <c r="L52" s="304">
        <f>ROUND((B52/(CE76+CF76)*L76),0)</f>
        <v>0</v>
      </c>
      <c r="M52" s="304">
        <f>ROUND((B52/(CE76+CF76)*M76),0)</f>
        <v>0</v>
      </c>
      <c r="N52" s="304">
        <f>ROUND((B52/(CE76+CF76)*N76),0)</f>
        <v>0</v>
      </c>
      <c r="O52" s="304">
        <f>ROUND((B52/(CE76+CF76)*O76),0)</f>
        <v>856210</v>
      </c>
      <c r="P52" s="304">
        <f>ROUND((B52/(CE76+CF76)*P76),0)</f>
        <v>85754</v>
      </c>
      <c r="Q52" s="304">
        <f>ROUND((B52/(CE76+CF76)*Q76),0)</f>
        <v>109024</v>
      </c>
      <c r="R52" s="304">
        <f>ROUND((B52/(CE76+CF76)*R76),0)</f>
        <v>13021</v>
      </c>
      <c r="S52" s="304">
        <f>ROUND((B52/(CE76+CF76)*S76),0)</f>
        <v>109593</v>
      </c>
      <c r="T52" s="304">
        <f>ROUND((B52/(CE76+CF76)*T76),0)</f>
        <v>0</v>
      </c>
      <c r="U52" s="304">
        <f>ROUND((B52/(CE76+CF76)*U76),0)</f>
        <v>104165</v>
      </c>
      <c r="V52" s="304">
        <f>ROUND((B52/(CE76+CF76)*V76),0)</f>
        <v>0</v>
      </c>
      <c r="W52" s="304">
        <f>ROUND((B52/(CE76+CF76)*W76),0)</f>
        <v>33482</v>
      </c>
      <c r="X52" s="304">
        <f>ROUND((B52/(CE76+CF76)*X76),0)</f>
        <v>227159</v>
      </c>
      <c r="Y52" s="304">
        <f>ROUND((B52/(CE76+CF76)*Y76),0)</f>
        <v>533770</v>
      </c>
      <c r="Z52" s="304">
        <f>ROUND((B52/(CE76+CF76)*Z76),0)</f>
        <v>191096</v>
      </c>
      <c r="AA52" s="304">
        <f>ROUND((B52/(CE76+CF76)*AA76),0)</f>
        <v>13818</v>
      </c>
      <c r="AB52" s="304">
        <f>ROUND((B52/(CE76+CF76)*AB76),0)</f>
        <v>47755</v>
      </c>
      <c r="AC52" s="304">
        <f>ROUND((B52/(CE76+CF76)*AC76),0)</f>
        <v>160765</v>
      </c>
      <c r="AD52" s="304">
        <f>ROUND((B52/(CE76+CF76)*AD76),0)</f>
        <v>0</v>
      </c>
      <c r="AE52" s="304">
        <f>ROUND((B52/(CE76+CF76)*AE76),0)</f>
        <v>159930</v>
      </c>
      <c r="AF52" s="304">
        <f>ROUND((B52/(CE76+CF76)*AF76),0)</f>
        <v>0</v>
      </c>
      <c r="AG52" s="304">
        <f>ROUND((B52/(CE76+CF76)*AG76),0)</f>
        <v>161258</v>
      </c>
      <c r="AH52" s="304">
        <f>ROUND((B52/(CE76+CF76)*AH76),0)</f>
        <v>0</v>
      </c>
      <c r="AI52" s="304">
        <f>ROUND((B52/(CE76+CF76)*AI76),0)</f>
        <v>189008</v>
      </c>
      <c r="AJ52" s="304">
        <f>ROUND((B52/(CE76+CF76)*AJ76),0)</f>
        <v>0</v>
      </c>
      <c r="AK52" s="304">
        <f>ROUND((B52/(CE76+CF76)*AK76),0)</f>
        <v>0</v>
      </c>
      <c r="AL52" s="304">
        <f>ROUND((B52/(CE76+CF76)*AL76),0)</f>
        <v>0</v>
      </c>
      <c r="AM52" s="304">
        <f>ROUND((B52/(CE76+CF76)*AM76),0)</f>
        <v>0</v>
      </c>
      <c r="AN52" s="304">
        <f>ROUND((B52/(CE76+CF76)*AN76),0)</f>
        <v>0</v>
      </c>
      <c r="AO52" s="304">
        <f>ROUND((B52/(CE76+CF76)*AO76),0)</f>
        <v>0</v>
      </c>
      <c r="AP52" s="304">
        <f>ROUND((B52/(CE76+CF76)*AP76),0)</f>
        <v>0</v>
      </c>
      <c r="AQ52" s="304">
        <f>ROUND((B52/(CE76+CF76)*AQ76),0)</f>
        <v>0</v>
      </c>
      <c r="AR52" s="304">
        <f>ROUND((B52/(CE76+CF76)*AR76),0)</f>
        <v>0</v>
      </c>
      <c r="AS52" s="304">
        <f>ROUND((B52/(CE76+CF76)*AS76),0)</f>
        <v>0</v>
      </c>
      <c r="AT52" s="304">
        <f>ROUND((B52/(CE76+CF76)*AT76),0)</f>
        <v>0</v>
      </c>
      <c r="AU52" s="304">
        <f>ROUND((B52/(CE76+CF76)*AU76),0)</f>
        <v>0</v>
      </c>
      <c r="AV52" s="304">
        <f>ROUND((B52/(CE76+CF76)*AV76),0)</f>
        <v>0</v>
      </c>
      <c r="AW52" s="304">
        <f>ROUND((B52/(CE76+CF76)*AW76),0)</f>
        <v>0</v>
      </c>
      <c r="AX52" s="304">
        <f>ROUND((B52/(CE76+CF76)*AX76),0)</f>
        <v>0</v>
      </c>
      <c r="AY52" s="304">
        <f>ROUND((B52/(CE76+CF76)*AY76),0)</f>
        <v>207988</v>
      </c>
      <c r="AZ52" s="304">
        <f>ROUND((B52/(CE76+CF76)*AZ76),0)</f>
        <v>0</v>
      </c>
      <c r="BA52" s="304">
        <f>ROUND((B52/(CE76+CF76)*BA76),0)</f>
        <v>0</v>
      </c>
      <c r="BB52" s="304">
        <f>ROUND((B52/(CE76+CF76)*BB76),0)</f>
        <v>28091</v>
      </c>
      <c r="BC52" s="304">
        <f>ROUND((B52/(CE76+CF76)*BC76),0)</f>
        <v>0</v>
      </c>
      <c r="BD52" s="304">
        <f>ROUND((B52/(CE76+CF76)*BD76),0)</f>
        <v>97370</v>
      </c>
      <c r="BE52" s="304">
        <f>ROUND((B52/(CE76+CF76)*BE76),0)</f>
        <v>1026390</v>
      </c>
      <c r="BF52" s="304">
        <f>ROUND((B52/(CE76+CF76)*BF76),0)</f>
        <v>86893</v>
      </c>
      <c r="BG52" s="304">
        <f>ROUND((B52/(CE76+CF76)*BG76),0)</f>
        <v>12793</v>
      </c>
      <c r="BH52" s="304">
        <f>ROUND((B52/(CE76+CF76)*BH76),0)</f>
        <v>28547</v>
      </c>
      <c r="BI52" s="304">
        <f>ROUND((B52/(CE76+CF76)*BI76),0)</f>
        <v>0</v>
      </c>
      <c r="BJ52" s="304">
        <f>ROUND((B52/(CE76+CF76)*BJ76),0)</f>
        <v>62066</v>
      </c>
      <c r="BK52" s="304">
        <f>ROUND((B52/(CE76+CF76)*BK76),0)</f>
        <v>0</v>
      </c>
      <c r="BL52" s="304">
        <f>ROUND((B52/(CE76+CF76)*BL76),0)</f>
        <v>68368</v>
      </c>
      <c r="BM52" s="304">
        <f>ROUND((B52/(CE76+CF76)*BM76),0)</f>
        <v>0</v>
      </c>
      <c r="BN52" s="304">
        <f>ROUND((B52/(CE76+CF76)*BN76),0)</f>
        <v>147099</v>
      </c>
      <c r="BO52" s="304">
        <f>ROUND((B52/(CE76+CF76)*BO76),0)</f>
        <v>0</v>
      </c>
      <c r="BP52" s="304">
        <f>ROUND((B52/(CE76+CF76)*BP76),0)</f>
        <v>27674</v>
      </c>
      <c r="BQ52" s="304">
        <f>ROUND((B52/(CE76+CF76)*BQ76),0)</f>
        <v>0</v>
      </c>
      <c r="BR52" s="304">
        <f>ROUND((B52/(CE76+CF76)*BR76),0)</f>
        <v>38454</v>
      </c>
      <c r="BS52" s="304">
        <f>ROUND((B52/(CE76+CF76)*BS76),0)</f>
        <v>10857</v>
      </c>
      <c r="BT52" s="304">
        <f>ROUND((B52/(CE76+CF76)*BT76),0)</f>
        <v>0</v>
      </c>
      <c r="BU52" s="304">
        <f>ROUND((B52/(CE76+CF76)*BU76),0)</f>
        <v>127359</v>
      </c>
      <c r="BV52" s="304">
        <f>ROUND((B52/(CE76+CF76)*BV76),0)</f>
        <v>0</v>
      </c>
      <c r="BW52" s="304">
        <f>ROUND((B52/(CE76+CF76)*BW76),0)</f>
        <v>0</v>
      </c>
      <c r="BX52" s="304">
        <f>ROUND((B52/(CE76+CF76)*BX76),0)</f>
        <v>3151</v>
      </c>
      <c r="BY52" s="304">
        <f>ROUND((B52/(CE76+CF76)*BY76),0)</f>
        <v>44225</v>
      </c>
      <c r="BZ52" s="304">
        <f>ROUND((B52/(CE76+CF76)*BZ76),0)</f>
        <v>0</v>
      </c>
      <c r="CA52" s="304">
        <f>ROUND((B52/(CE76+CF76)*CA76),0)</f>
        <v>84995</v>
      </c>
      <c r="CB52" s="304">
        <f>ROUND((B52/(CE76+CF76)*CB76),0)</f>
        <v>0</v>
      </c>
      <c r="CC52" s="304">
        <f>ROUND((B52/(CE76+CF76)*CC76),0)</f>
        <v>0</v>
      </c>
      <c r="CD52" s="304"/>
      <c r="CE52" s="304">
        <f>SUM(C52:CD52)</f>
        <v>5898156</v>
      </c>
    </row>
    <row r="53" spans="1:83" ht="12.65" customHeight="1">
      <c r="A53" s="304" t="s">
        <v>206</v>
      </c>
      <c r="B53" s="304">
        <f>B51+B52</f>
        <v>5898153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</row>
    <row r="54" spans="1:83" ht="15.75" customHeight="1">
      <c r="A54" s="304"/>
      <c r="B54" s="304"/>
      <c r="C54" s="312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  <c r="BS54" s="304"/>
      <c r="BT54" s="304"/>
      <c r="BU54" s="304"/>
      <c r="BV54" s="304"/>
      <c r="BW54" s="304"/>
      <c r="BX54" s="304"/>
      <c r="BY54" s="304"/>
      <c r="BZ54" s="304"/>
      <c r="CA54" s="304"/>
      <c r="CB54" s="304"/>
      <c r="CC54" s="304"/>
      <c r="CD54" s="304"/>
      <c r="CE54" s="304"/>
    </row>
    <row r="55" spans="1:83" ht="12.65" customHeight="1">
      <c r="A55" s="311" t="s">
        <v>209</v>
      </c>
      <c r="B55" s="304"/>
      <c r="C55" s="305" t="s">
        <v>10</v>
      </c>
      <c r="D55" s="306" t="s">
        <v>11</v>
      </c>
      <c r="E55" s="306" t="s">
        <v>12</v>
      </c>
      <c r="F55" s="306" t="s">
        <v>13</v>
      </c>
      <c r="G55" s="306" t="s">
        <v>14</v>
      </c>
      <c r="H55" s="306" t="s">
        <v>15</v>
      </c>
      <c r="I55" s="306" t="s">
        <v>16</v>
      </c>
      <c r="J55" s="306" t="s">
        <v>17</v>
      </c>
      <c r="K55" s="306" t="s">
        <v>18</v>
      </c>
      <c r="L55" s="306" t="s">
        <v>19</v>
      </c>
      <c r="M55" s="306" t="s">
        <v>20</v>
      </c>
      <c r="N55" s="306" t="s">
        <v>21</v>
      </c>
      <c r="O55" s="306" t="s">
        <v>22</v>
      </c>
      <c r="P55" s="306" t="s">
        <v>23</v>
      </c>
      <c r="Q55" s="306" t="s">
        <v>24</v>
      </c>
      <c r="R55" s="306" t="s">
        <v>25</v>
      </c>
      <c r="S55" s="306" t="s">
        <v>26</v>
      </c>
      <c r="T55" s="313" t="s">
        <v>27</v>
      </c>
      <c r="U55" s="306" t="s">
        <v>28</v>
      </c>
      <c r="V55" s="306" t="s">
        <v>29</v>
      </c>
      <c r="W55" s="306" t="s">
        <v>30</v>
      </c>
      <c r="X55" s="306" t="s">
        <v>31</v>
      </c>
      <c r="Y55" s="306" t="s">
        <v>32</v>
      </c>
      <c r="Z55" s="306" t="s">
        <v>33</v>
      </c>
      <c r="AA55" s="306" t="s">
        <v>34</v>
      </c>
      <c r="AB55" s="306" t="s">
        <v>35</v>
      </c>
      <c r="AC55" s="306" t="s">
        <v>36</v>
      </c>
      <c r="AD55" s="306" t="s">
        <v>37</v>
      </c>
      <c r="AE55" s="306" t="s">
        <v>38</v>
      </c>
      <c r="AF55" s="306" t="s">
        <v>39</v>
      </c>
      <c r="AG55" s="306" t="s">
        <v>40</v>
      </c>
      <c r="AH55" s="306" t="s">
        <v>41</v>
      </c>
      <c r="AI55" s="306" t="s">
        <v>42</v>
      </c>
      <c r="AJ55" s="306" t="s">
        <v>43</v>
      </c>
      <c r="AK55" s="306" t="s">
        <v>44</v>
      </c>
      <c r="AL55" s="306" t="s">
        <v>45</v>
      </c>
      <c r="AM55" s="306" t="s">
        <v>46</v>
      </c>
      <c r="AN55" s="306" t="s">
        <v>47</v>
      </c>
      <c r="AO55" s="306" t="s">
        <v>48</v>
      </c>
      <c r="AP55" s="306" t="s">
        <v>49</v>
      </c>
      <c r="AQ55" s="306" t="s">
        <v>50</v>
      </c>
      <c r="AR55" s="306" t="s">
        <v>51</v>
      </c>
      <c r="AS55" s="306" t="s">
        <v>52</v>
      </c>
      <c r="AT55" s="306" t="s">
        <v>53</v>
      </c>
      <c r="AU55" s="306" t="s">
        <v>54</v>
      </c>
      <c r="AV55" s="306" t="s">
        <v>55</v>
      </c>
      <c r="AW55" s="306" t="s">
        <v>56</v>
      </c>
      <c r="AX55" s="306" t="s">
        <v>57</v>
      </c>
      <c r="AY55" s="306" t="s">
        <v>58</v>
      </c>
      <c r="AZ55" s="306" t="s">
        <v>59</v>
      </c>
      <c r="BA55" s="306" t="s">
        <v>60</v>
      </c>
      <c r="BB55" s="306" t="s">
        <v>61</v>
      </c>
      <c r="BC55" s="306" t="s">
        <v>62</v>
      </c>
      <c r="BD55" s="306" t="s">
        <v>63</v>
      </c>
      <c r="BE55" s="306" t="s">
        <v>64</v>
      </c>
      <c r="BF55" s="306" t="s">
        <v>65</v>
      </c>
      <c r="BG55" s="306" t="s">
        <v>66</v>
      </c>
      <c r="BH55" s="306" t="s">
        <v>67</v>
      </c>
      <c r="BI55" s="306" t="s">
        <v>68</v>
      </c>
      <c r="BJ55" s="306" t="s">
        <v>69</v>
      </c>
      <c r="BK55" s="306" t="s">
        <v>70</v>
      </c>
      <c r="BL55" s="306" t="s">
        <v>71</v>
      </c>
      <c r="BM55" s="306" t="s">
        <v>72</v>
      </c>
      <c r="BN55" s="306" t="s">
        <v>73</v>
      </c>
      <c r="BO55" s="306" t="s">
        <v>74</v>
      </c>
      <c r="BP55" s="306" t="s">
        <v>75</v>
      </c>
      <c r="BQ55" s="306" t="s">
        <v>76</v>
      </c>
      <c r="BR55" s="306" t="s">
        <v>77</v>
      </c>
      <c r="BS55" s="306" t="s">
        <v>78</v>
      </c>
      <c r="BT55" s="306" t="s">
        <v>79</v>
      </c>
      <c r="BU55" s="306" t="s">
        <v>80</v>
      </c>
      <c r="BV55" s="306" t="s">
        <v>81</v>
      </c>
      <c r="BW55" s="306" t="s">
        <v>82</v>
      </c>
      <c r="BX55" s="306" t="s">
        <v>83</v>
      </c>
      <c r="BY55" s="306" t="s">
        <v>84</v>
      </c>
      <c r="BZ55" s="306" t="s">
        <v>85</v>
      </c>
      <c r="CA55" s="306" t="s">
        <v>86</v>
      </c>
      <c r="CB55" s="306" t="s">
        <v>87</v>
      </c>
      <c r="CC55" s="306" t="s">
        <v>88</v>
      </c>
      <c r="CD55" s="306" t="s">
        <v>89</v>
      </c>
      <c r="CE55" s="306" t="s">
        <v>90</v>
      </c>
    </row>
    <row r="56" spans="1:83" ht="12.65" customHeight="1">
      <c r="A56" s="311" t="s">
        <v>210</v>
      </c>
      <c r="B56" s="304"/>
      <c r="C56" s="305" t="s">
        <v>92</v>
      </c>
      <c r="D56" s="306" t="s">
        <v>93</v>
      </c>
      <c r="E56" s="306" t="s">
        <v>94</v>
      </c>
      <c r="F56" s="306" t="s">
        <v>95</v>
      </c>
      <c r="G56" s="306" t="s">
        <v>96</v>
      </c>
      <c r="H56" s="306" t="s">
        <v>97</v>
      </c>
      <c r="I56" s="306" t="s">
        <v>98</v>
      </c>
      <c r="J56" s="306" t="s">
        <v>99</v>
      </c>
      <c r="K56" s="306" t="s">
        <v>100</v>
      </c>
      <c r="L56" s="306" t="s">
        <v>101</v>
      </c>
      <c r="M56" s="306" t="s">
        <v>102</v>
      </c>
      <c r="N56" s="306" t="s">
        <v>103</v>
      </c>
      <c r="O56" s="306" t="s">
        <v>104</v>
      </c>
      <c r="P56" s="306" t="s">
        <v>105</v>
      </c>
      <c r="Q56" s="306" t="s">
        <v>106</v>
      </c>
      <c r="R56" s="306" t="s">
        <v>107</v>
      </c>
      <c r="S56" s="306" t="s">
        <v>108</v>
      </c>
      <c r="T56" s="306" t="s">
        <v>1194</v>
      </c>
      <c r="U56" s="306" t="s">
        <v>109</v>
      </c>
      <c r="V56" s="306" t="s">
        <v>110</v>
      </c>
      <c r="W56" s="306" t="s">
        <v>111</v>
      </c>
      <c r="X56" s="306" t="s">
        <v>112</v>
      </c>
      <c r="Y56" s="306" t="s">
        <v>113</v>
      </c>
      <c r="Z56" s="306" t="s">
        <v>113</v>
      </c>
      <c r="AA56" s="306" t="s">
        <v>114</v>
      </c>
      <c r="AB56" s="306" t="s">
        <v>115</v>
      </c>
      <c r="AC56" s="306" t="s">
        <v>116</v>
      </c>
      <c r="AD56" s="306" t="s">
        <v>117</v>
      </c>
      <c r="AE56" s="306" t="s">
        <v>96</v>
      </c>
      <c r="AF56" s="306" t="s">
        <v>97</v>
      </c>
      <c r="AG56" s="306" t="s">
        <v>118</v>
      </c>
      <c r="AH56" s="306" t="s">
        <v>119</v>
      </c>
      <c r="AI56" s="306" t="s">
        <v>120</v>
      </c>
      <c r="AJ56" s="306" t="s">
        <v>121</v>
      </c>
      <c r="AK56" s="306" t="s">
        <v>122</v>
      </c>
      <c r="AL56" s="306" t="s">
        <v>123</v>
      </c>
      <c r="AM56" s="306" t="s">
        <v>124</v>
      </c>
      <c r="AN56" s="306" t="s">
        <v>110</v>
      </c>
      <c r="AO56" s="306" t="s">
        <v>125</v>
      </c>
      <c r="AP56" s="306" t="s">
        <v>126</v>
      </c>
      <c r="AQ56" s="306" t="s">
        <v>127</v>
      </c>
      <c r="AR56" s="306" t="s">
        <v>128</v>
      </c>
      <c r="AS56" s="306" t="s">
        <v>129</v>
      </c>
      <c r="AT56" s="306" t="s">
        <v>130</v>
      </c>
      <c r="AU56" s="306" t="s">
        <v>131</v>
      </c>
      <c r="AV56" s="306" t="s">
        <v>132</v>
      </c>
      <c r="AW56" s="306" t="s">
        <v>133</v>
      </c>
      <c r="AX56" s="306" t="s">
        <v>134</v>
      </c>
      <c r="AY56" s="306" t="s">
        <v>135</v>
      </c>
      <c r="AZ56" s="306" t="s">
        <v>136</v>
      </c>
      <c r="BA56" s="306" t="s">
        <v>137</v>
      </c>
      <c r="BB56" s="306" t="s">
        <v>138</v>
      </c>
      <c r="BC56" s="306" t="s">
        <v>108</v>
      </c>
      <c r="BD56" s="306" t="s">
        <v>139</v>
      </c>
      <c r="BE56" s="306" t="s">
        <v>140</v>
      </c>
      <c r="BF56" s="306" t="s">
        <v>141</v>
      </c>
      <c r="BG56" s="306" t="s">
        <v>142</v>
      </c>
      <c r="BH56" s="306" t="s">
        <v>143</v>
      </c>
      <c r="BI56" s="306" t="s">
        <v>144</v>
      </c>
      <c r="BJ56" s="306" t="s">
        <v>145</v>
      </c>
      <c r="BK56" s="306" t="s">
        <v>146</v>
      </c>
      <c r="BL56" s="306" t="s">
        <v>147</v>
      </c>
      <c r="BM56" s="306" t="s">
        <v>132</v>
      </c>
      <c r="BN56" s="306" t="s">
        <v>148</v>
      </c>
      <c r="BO56" s="306" t="s">
        <v>149</v>
      </c>
      <c r="BP56" s="306" t="s">
        <v>150</v>
      </c>
      <c r="BQ56" s="306" t="s">
        <v>151</v>
      </c>
      <c r="BR56" s="306" t="s">
        <v>152</v>
      </c>
      <c r="BS56" s="306" t="s">
        <v>153</v>
      </c>
      <c r="BT56" s="306" t="s">
        <v>154</v>
      </c>
      <c r="BU56" s="306" t="s">
        <v>155</v>
      </c>
      <c r="BV56" s="306" t="s">
        <v>155</v>
      </c>
      <c r="BW56" s="306" t="s">
        <v>155</v>
      </c>
      <c r="BX56" s="306" t="s">
        <v>156</v>
      </c>
      <c r="BY56" s="306" t="s">
        <v>157</v>
      </c>
      <c r="BZ56" s="306" t="s">
        <v>158</v>
      </c>
      <c r="CA56" s="306" t="s">
        <v>159</v>
      </c>
      <c r="CB56" s="306" t="s">
        <v>160</v>
      </c>
      <c r="CC56" s="306" t="s">
        <v>132</v>
      </c>
      <c r="CD56" s="306" t="s">
        <v>211</v>
      </c>
      <c r="CE56" s="306" t="s">
        <v>161</v>
      </c>
    </row>
    <row r="57" spans="1:83" ht="12.65" customHeight="1">
      <c r="A57" s="311" t="s">
        <v>212</v>
      </c>
      <c r="B57" s="304"/>
      <c r="C57" s="305" t="s">
        <v>163</v>
      </c>
      <c r="D57" s="306" t="s">
        <v>163</v>
      </c>
      <c r="E57" s="306" t="s">
        <v>163</v>
      </c>
      <c r="F57" s="306" t="s">
        <v>164</v>
      </c>
      <c r="G57" s="306" t="s">
        <v>165</v>
      </c>
      <c r="H57" s="306" t="s">
        <v>163</v>
      </c>
      <c r="I57" s="306" t="s">
        <v>166</v>
      </c>
      <c r="J57" s="306"/>
      <c r="K57" s="306" t="s">
        <v>157</v>
      </c>
      <c r="L57" s="306" t="s">
        <v>167</v>
      </c>
      <c r="M57" s="306" t="s">
        <v>168</v>
      </c>
      <c r="N57" s="306" t="s">
        <v>169</v>
      </c>
      <c r="O57" s="306" t="s">
        <v>170</v>
      </c>
      <c r="P57" s="306" t="s">
        <v>169</v>
      </c>
      <c r="Q57" s="306" t="s">
        <v>171</v>
      </c>
      <c r="R57" s="306"/>
      <c r="S57" s="306" t="s">
        <v>169</v>
      </c>
      <c r="T57" s="306" t="s">
        <v>172</v>
      </c>
      <c r="U57" s="306"/>
      <c r="V57" s="306" t="s">
        <v>173</v>
      </c>
      <c r="W57" s="306" t="s">
        <v>174</v>
      </c>
      <c r="X57" s="306" t="s">
        <v>175</v>
      </c>
      <c r="Y57" s="306" t="s">
        <v>176</v>
      </c>
      <c r="Z57" s="306" t="s">
        <v>177</v>
      </c>
      <c r="AA57" s="306" t="s">
        <v>178</v>
      </c>
      <c r="AB57" s="306"/>
      <c r="AC57" s="306" t="s">
        <v>172</v>
      </c>
      <c r="AD57" s="306"/>
      <c r="AE57" s="306" t="s">
        <v>172</v>
      </c>
      <c r="AF57" s="306" t="s">
        <v>179</v>
      </c>
      <c r="AG57" s="306" t="s">
        <v>171</v>
      </c>
      <c r="AH57" s="306"/>
      <c r="AI57" s="306" t="s">
        <v>180</v>
      </c>
      <c r="AJ57" s="306"/>
      <c r="AK57" s="306" t="s">
        <v>172</v>
      </c>
      <c r="AL57" s="306" t="s">
        <v>172</v>
      </c>
      <c r="AM57" s="306" t="s">
        <v>172</v>
      </c>
      <c r="AN57" s="306" t="s">
        <v>181</v>
      </c>
      <c r="AO57" s="306" t="s">
        <v>182</v>
      </c>
      <c r="AP57" s="306" t="s">
        <v>121</v>
      </c>
      <c r="AQ57" s="306" t="s">
        <v>183</v>
      </c>
      <c r="AR57" s="306" t="s">
        <v>169</v>
      </c>
      <c r="AS57" s="306"/>
      <c r="AT57" s="306" t="s">
        <v>184</v>
      </c>
      <c r="AU57" s="306" t="s">
        <v>185</v>
      </c>
      <c r="AV57" s="306" t="s">
        <v>186</v>
      </c>
      <c r="AW57" s="306" t="s">
        <v>187</v>
      </c>
      <c r="AX57" s="306" t="s">
        <v>188</v>
      </c>
      <c r="AY57" s="306"/>
      <c r="AZ57" s="306"/>
      <c r="BA57" s="306" t="s">
        <v>189</v>
      </c>
      <c r="BB57" s="306" t="s">
        <v>169</v>
      </c>
      <c r="BC57" s="306" t="s">
        <v>183</v>
      </c>
      <c r="BD57" s="306"/>
      <c r="BE57" s="306"/>
      <c r="BF57" s="306"/>
      <c r="BG57" s="306"/>
      <c r="BH57" s="306" t="s">
        <v>190</v>
      </c>
      <c r="BI57" s="306" t="s">
        <v>169</v>
      </c>
      <c r="BJ57" s="306"/>
      <c r="BK57" s="306" t="s">
        <v>191</v>
      </c>
      <c r="BL57" s="306"/>
      <c r="BM57" s="306" t="s">
        <v>192</v>
      </c>
      <c r="BN57" s="306" t="s">
        <v>193</v>
      </c>
      <c r="BO57" s="306" t="s">
        <v>194</v>
      </c>
      <c r="BP57" s="306" t="s">
        <v>195</v>
      </c>
      <c r="BQ57" s="306" t="s">
        <v>196</v>
      </c>
      <c r="BR57" s="306"/>
      <c r="BS57" s="306" t="s">
        <v>197</v>
      </c>
      <c r="BT57" s="306" t="s">
        <v>169</v>
      </c>
      <c r="BU57" s="306" t="s">
        <v>198</v>
      </c>
      <c r="BV57" s="306" t="s">
        <v>199</v>
      </c>
      <c r="BW57" s="306" t="s">
        <v>200</v>
      </c>
      <c r="BX57" s="306" t="s">
        <v>151</v>
      </c>
      <c r="BY57" s="306" t="s">
        <v>193</v>
      </c>
      <c r="BZ57" s="306" t="s">
        <v>152</v>
      </c>
      <c r="CA57" s="306" t="s">
        <v>201</v>
      </c>
      <c r="CB57" s="306" t="s">
        <v>201</v>
      </c>
      <c r="CC57" s="306" t="s">
        <v>202</v>
      </c>
      <c r="CD57" s="306" t="s">
        <v>213</v>
      </c>
      <c r="CE57" s="306" t="s">
        <v>203</v>
      </c>
    </row>
    <row r="58" spans="1:83" ht="12.65" customHeight="1">
      <c r="A58" s="311" t="s">
        <v>214</v>
      </c>
      <c r="B58" s="304"/>
      <c r="C58" s="305" t="s">
        <v>215</v>
      </c>
      <c r="D58" s="306" t="s">
        <v>215</v>
      </c>
      <c r="E58" s="306" t="s">
        <v>215</v>
      </c>
      <c r="F58" s="306" t="s">
        <v>215</v>
      </c>
      <c r="G58" s="306" t="s">
        <v>215</v>
      </c>
      <c r="H58" s="306" t="s">
        <v>215</v>
      </c>
      <c r="I58" s="306" t="s">
        <v>215</v>
      </c>
      <c r="J58" s="306" t="s">
        <v>216</v>
      </c>
      <c r="K58" s="306" t="s">
        <v>215</v>
      </c>
      <c r="L58" s="306" t="s">
        <v>215</v>
      </c>
      <c r="M58" s="306" t="s">
        <v>215</v>
      </c>
      <c r="N58" s="306" t="s">
        <v>215</v>
      </c>
      <c r="O58" s="306" t="s">
        <v>217</v>
      </c>
      <c r="P58" s="306" t="s">
        <v>218</v>
      </c>
      <c r="Q58" s="306" t="s">
        <v>219</v>
      </c>
      <c r="R58" s="307" t="s">
        <v>220</v>
      </c>
      <c r="S58" s="314" t="s">
        <v>221</v>
      </c>
      <c r="T58" s="314" t="s">
        <v>221</v>
      </c>
      <c r="U58" s="306" t="s">
        <v>222</v>
      </c>
      <c r="V58" s="306" t="s">
        <v>222</v>
      </c>
      <c r="W58" s="306" t="s">
        <v>223</v>
      </c>
      <c r="X58" s="306" t="s">
        <v>224</v>
      </c>
      <c r="Y58" s="306" t="s">
        <v>225</v>
      </c>
      <c r="Z58" s="306" t="s">
        <v>225</v>
      </c>
      <c r="AA58" s="306" t="s">
        <v>225</v>
      </c>
      <c r="AB58" s="314" t="s">
        <v>221</v>
      </c>
      <c r="AC58" s="306" t="s">
        <v>226</v>
      </c>
      <c r="AD58" s="306" t="s">
        <v>227</v>
      </c>
      <c r="AE58" s="306" t="s">
        <v>226</v>
      </c>
      <c r="AF58" s="306" t="s">
        <v>228</v>
      </c>
      <c r="AG58" s="306" t="s">
        <v>228</v>
      </c>
      <c r="AH58" s="306" t="s">
        <v>229</v>
      </c>
      <c r="AI58" s="306" t="s">
        <v>230</v>
      </c>
      <c r="AJ58" s="306" t="s">
        <v>228</v>
      </c>
      <c r="AK58" s="306" t="s">
        <v>226</v>
      </c>
      <c r="AL58" s="306" t="s">
        <v>226</v>
      </c>
      <c r="AM58" s="306" t="s">
        <v>226</v>
      </c>
      <c r="AN58" s="306" t="s">
        <v>217</v>
      </c>
      <c r="AO58" s="306" t="s">
        <v>227</v>
      </c>
      <c r="AP58" s="306" t="s">
        <v>228</v>
      </c>
      <c r="AQ58" s="306" t="s">
        <v>229</v>
      </c>
      <c r="AR58" s="306" t="s">
        <v>228</v>
      </c>
      <c r="AS58" s="306" t="s">
        <v>226</v>
      </c>
      <c r="AT58" s="306" t="s">
        <v>1212</v>
      </c>
      <c r="AU58" s="306" t="s">
        <v>228</v>
      </c>
      <c r="AV58" s="314" t="s">
        <v>221</v>
      </c>
      <c r="AW58" s="314" t="s">
        <v>221</v>
      </c>
      <c r="AX58" s="314" t="s">
        <v>221</v>
      </c>
      <c r="AY58" s="306" t="s">
        <v>231</v>
      </c>
      <c r="AZ58" s="306" t="s">
        <v>231</v>
      </c>
      <c r="BA58" s="314" t="s">
        <v>221</v>
      </c>
      <c r="BB58" s="314" t="s">
        <v>221</v>
      </c>
      <c r="BC58" s="314" t="s">
        <v>221</v>
      </c>
      <c r="BD58" s="314" t="s">
        <v>221</v>
      </c>
      <c r="BE58" s="306" t="s">
        <v>232</v>
      </c>
      <c r="BF58" s="314" t="s">
        <v>221</v>
      </c>
      <c r="BG58" s="314" t="s">
        <v>221</v>
      </c>
      <c r="BH58" s="314" t="s">
        <v>221</v>
      </c>
      <c r="BI58" s="314" t="s">
        <v>221</v>
      </c>
      <c r="BJ58" s="314" t="s">
        <v>221</v>
      </c>
      <c r="BK58" s="314" t="s">
        <v>221</v>
      </c>
      <c r="BL58" s="314" t="s">
        <v>221</v>
      </c>
      <c r="BM58" s="314" t="s">
        <v>221</v>
      </c>
      <c r="BN58" s="314" t="s">
        <v>221</v>
      </c>
      <c r="BO58" s="314" t="s">
        <v>221</v>
      </c>
      <c r="BP58" s="314" t="s">
        <v>221</v>
      </c>
      <c r="BQ58" s="314" t="s">
        <v>221</v>
      </c>
      <c r="BR58" s="314" t="s">
        <v>221</v>
      </c>
      <c r="BS58" s="314" t="s">
        <v>221</v>
      </c>
      <c r="BT58" s="314" t="s">
        <v>221</v>
      </c>
      <c r="BU58" s="314" t="s">
        <v>221</v>
      </c>
      <c r="BV58" s="314" t="s">
        <v>221</v>
      </c>
      <c r="BW58" s="314" t="s">
        <v>221</v>
      </c>
      <c r="BX58" s="314" t="s">
        <v>221</v>
      </c>
      <c r="BY58" s="314" t="s">
        <v>221</v>
      </c>
      <c r="BZ58" s="314" t="s">
        <v>221</v>
      </c>
      <c r="CA58" s="314" t="s">
        <v>221</v>
      </c>
      <c r="CB58" s="314" t="s">
        <v>221</v>
      </c>
      <c r="CC58" s="314" t="s">
        <v>221</v>
      </c>
      <c r="CD58" s="314" t="s">
        <v>221</v>
      </c>
      <c r="CE58" s="314" t="s">
        <v>221</v>
      </c>
    </row>
    <row r="59" spans="1:83" ht="12.65" customHeight="1">
      <c r="A59" s="311" t="s">
        <v>233</v>
      </c>
      <c r="B59" s="304"/>
      <c r="C59" s="309">
        <f>6446+31745</f>
        <v>38191</v>
      </c>
      <c r="D59" s="309"/>
      <c r="E59" s="309">
        <f>5379</f>
        <v>5379</v>
      </c>
      <c r="F59" s="309"/>
      <c r="G59" s="309"/>
      <c r="H59" s="309"/>
      <c r="I59" s="309"/>
      <c r="J59" s="309">
        <v>1066</v>
      </c>
      <c r="K59" s="309"/>
      <c r="L59" s="309"/>
      <c r="M59" s="309"/>
      <c r="N59" s="309"/>
      <c r="O59" s="309">
        <f>1298</f>
        <v>1298</v>
      </c>
      <c r="P59" s="315">
        <f>252863</f>
        <v>252863</v>
      </c>
      <c r="Q59" s="315">
        <f>207782</f>
        <v>207782</v>
      </c>
      <c r="R59" s="315">
        <v>306348</v>
      </c>
      <c r="S59" s="246"/>
      <c r="T59" s="246"/>
      <c r="U59" s="316">
        <f>196884+10099+2123</f>
        <v>209106</v>
      </c>
      <c r="V59" s="315"/>
      <c r="W59" s="315">
        <v>812</v>
      </c>
      <c r="X59" s="315">
        <f>7521+7429+882</f>
        <v>15832</v>
      </c>
      <c r="Y59" s="315">
        <f>2343+1100+5456+11998+3181+1035</f>
        <v>25113</v>
      </c>
      <c r="Z59" s="315">
        <v>15433</v>
      </c>
      <c r="AA59" s="315">
        <v>1077</v>
      </c>
      <c r="AB59" s="246"/>
      <c r="AC59" s="315">
        <f>1228+15735</f>
        <v>16963</v>
      </c>
      <c r="AD59" s="315"/>
      <c r="AE59" s="315">
        <f>19366</f>
        <v>19366</v>
      </c>
      <c r="AF59" s="315"/>
      <c r="AG59" s="315">
        <f>15301</f>
        <v>15301</v>
      </c>
      <c r="AH59" s="315"/>
      <c r="AI59" s="315">
        <f>6712+568</f>
        <v>7280</v>
      </c>
      <c r="AJ59" s="315"/>
      <c r="AK59" s="315">
        <f>2715</f>
        <v>2715</v>
      </c>
      <c r="AL59" s="315">
        <f>798</f>
        <v>798</v>
      </c>
      <c r="AM59" s="315"/>
      <c r="AN59" s="315"/>
      <c r="AO59" s="315"/>
      <c r="AP59" s="315"/>
      <c r="AQ59" s="315"/>
      <c r="AR59" s="315"/>
      <c r="AS59" s="315"/>
      <c r="AT59" s="315"/>
      <c r="AU59" s="315"/>
      <c r="AV59" s="246"/>
      <c r="AW59" s="246"/>
      <c r="AX59" s="246"/>
      <c r="AY59" s="315">
        <v>39775</v>
      </c>
      <c r="AZ59" s="315"/>
      <c r="BA59" s="246"/>
      <c r="BB59" s="246"/>
      <c r="BC59" s="246"/>
      <c r="BD59" s="246"/>
      <c r="BE59" s="315">
        <v>155374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314"/>
      <c r="CE59" s="304"/>
    </row>
    <row r="60" spans="1:83" ht="12.65" customHeight="1">
      <c r="A60" s="317" t="s">
        <v>234</v>
      </c>
      <c r="B60" s="304"/>
      <c r="C60" s="318">
        <f>55.9+4.04</f>
        <v>59.94</v>
      </c>
      <c r="D60" s="319"/>
      <c r="E60" s="309">
        <f>33.56</f>
        <v>33.56</v>
      </c>
      <c r="F60" s="320"/>
      <c r="G60" s="319"/>
      <c r="H60" s="319"/>
      <c r="I60" s="319"/>
      <c r="J60" s="320"/>
      <c r="K60" s="319"/>
      <c r="L60" s="319"/>
      <c r="M60" s="319"/>
      <c r="N60" s="319"/>
      <c r="O60" s="319">
        <f>22.32</f>
        <v>22.32</v>
      </c>
      <c r="P60" s="321">
        <v>18.3</v>
      </c>
      <c r="Q60" s="321">
        <v>5.27</v>
      </c>
      <c r="R60" s="321">
        <v>1.61</v>
      </c>
      <c r="S60" s="321">
        <v>12.09</v>
      </c>
      <c r="T60" s="321"/>
      <c r="U60" s="321">
        <v>19.37</v>
      </c>
      <c r="V60" s="321"/>
      <c r="W60" s="321">
        <v>1.22</v>
      </c>
      <c r="X60" s="321">
        <f>2.15+2.64</f>
        <v>4.79</v>
      </c>
      <c r="Y60" s="321">
        <f>0.74+10.19+2.81+9.87+3.54+1.18</f>
        <v>28.33</v>
      </c>
      <c r="Z60" s="321">
        <v>5.86</v>
      </c>
      <c r="AA60" s="321">
        <v>1.1599999999999999</v>
      </c>
      <c r="AB60" s="321">
        <f>11.01+0.86</f>
        <v>11.87</v>
      </c>
      <c r="AC60" s="321">
        <f>2.01+8.64</f>
        <v>10.65</v>
      </c>
      <c r="AD60" s="321"/>
      <c r="AE60" s="321">
        <f>7.67</f>
        <v>7.67</v>
      </c>
      <c r="AF60" s="321"/>
      <c r="AG60" s="321">
        <v>22.17</v>
      </c>
      <c r="AH60" s="321"/>
      <c r="AI60" s="321">
        <f>14.05+2.05</f>
        <v>16.100000000000001</v>
      </c>
      <c r="AJ60" s="321"/>
      <c r="AK60" s="321">
        <v>0.54</v>
      </c>
      <c r="AL60" s="321">
        <v>0.44</v>
      </c>
      <c r="AM60" s="321"/>
      <c r="AN60" s="321"/>
      <c r="AO60" s="321"/>
      <c r="AP60" s="321"/>
      <c r="AQ60" s="321"/>
      <c r="AR60" s="321"/>
      <c r="AS60" s="321"/>
      <c r="AT60" s="321"/>
      <c r="AU60" s="321"/>
      <c r="AV60" s="321">
        <f>4.75+6.87+0.06</f>
        <v>11.680000000000001</v>
      </c>
      <c r="AW60" s="321"/>
      <c r="AX60" s="321"/>
      <c r="AY60" s="321">
        <v>18.3</v>
      </c>
      <c r="AZ60" s="321"/>
      <c r="BA60" s="321"/>
      <c r="BB60" s="321">
        <f>1.4+5.89</f>
        <v>7.2899999999999991</v>
      </c>
      <c r="BC60" s="321"/>
      <c r="BD60" s="321">
        <v>6.8</v>
      </c>
      <c r="BE60" s="321">
        <f>7.03+5.54</f>
        <v>12.57</v>
      </c>
      <c r="BF60" s="321">
        <v>18.940000000000001</v>
      </c>
      <c r="BG60" s="321">
        <v>2.38</v>
      </c>
      <c r="BH60" s="321">
        <v>4.91</v>
      </c>
      <c r="BI60" s="321"/>
      <c r="BJ60" s="321">
        <v>3.76</v>
      </c>
      <c r="BK60" s="321"/>
      <c r="BL60" s="321">
        <f>16.63+2.24</f>
        <v>18.869999999999997</v>
      </c>
      <c r="BM60" s="321"/>
      <c r="BN60" s="321">
        <f>7.63+1.01</f>
        <v>8.64</v>
      </c>
      <c r="BO60" s="321"/>
      <c r="BP60" s="321">
        <v>0.76</v>
      </c>
      <c r="BQ60" s="321"/>
      <c r="BR60" s="321">
        <f>3.18+0.53</f>
        <v>3.71</v>
      </c>
      <c r="BS60" s="321"/>
      <c r="BT60" s="321"/>
      <c r="BU60" s="321"/>
      <c r="BV60" s="321">
        <v>10.24</v>
      </c>
      <c r="BW60" s="321">
        <v>1.18</v>
      </c>
      <c r="BX60" s="321">
        <v>2.1</v>
      </c>
      <c r="BY60" s="321">
        <f>6.41+2.88</f>
        <v>9.2899999999999991</v>
      </c>
      <c r="BZ60" s="321"/>
      <c r="CA60" s="321">
        <v>1.39</v>
      </c>
      <c r="CB60" s="321"/>
      <c r="CC60" s="321"/>
      <c r="CD60" s="314" t="s">
        <v>221</v>
      </c>
      <c r="CE60" s="322">
        <f t="shared" ref="CE60:CE70" si="0">SUM(C60:CD60)</f>
        <v>426.07000000000011</v>
      </c>
    </row>
    <row r="61" spans="1:83" ht="12.65" customHeight="1">
      <c r="A61" s="311" t="s">
        <v>235</v>
      </c>
      <c r="B61" s="304"/>
      <c r="C61" s="309">
        <f>5063409+201328</f>
        <v>5264737</v>
      </c>
      <c r="D61" s="309"/>
      <c r="E61" s="309">
        <f>2878201</f>
        <v>2878201</v>
      </c>
      <c r="F61" s="315"/>
      <c r="G61" s="309"/>
      <c r="H61" s="309"/>
      <c r="I61" s="315"/>
      <c r="J61" s="315"/>
      <c r="K61" s="315"/>
      <c r="L61" s="315"/>
      <c r="M61" s="309"/>
      <c r="N61" s="309"/>
      <c r="O61" s="309">
        <f>2517206</f>
        <v>2517206</v>
      </c>
      <c r="P61" s="315">
        <f>1300874</f>
        <v>1300874</v>
      </c>
      <c r="Q61" s="315">
        <v>740633</v>
      </c>
      <c r="R61" s="315">
        <f>136839</f>
        <v>136839</v>
      </c>
      <c r="S61" s="315">
        <v>386098</v>
      </c>
      <c r="T61" s="315"/>
      <c r="U61" s="315">
        <f>1488851+242</f>
        <v>1489093</v>
      </c>
      <c r="V61" s="315"/>
      <c r="W61" s="315">
        <v>152918</v>
      </c>
      <c r="X61" s="315">
        <f>210157+248256</f>
        <v>458413</v>
      </c>
      <c r="Y61" s="315">
        <f>48313+1101896+224371+952651+427548+151099</f>
        <v>2905878</v>
      </c>
      <c r="Z61" s="315">
        <f>575882</f>
        <v>575882</v>
      </c>
      <c r="AA61" s="315">
        <f>165513</f>
        <v>165513</v>
      </c>
      <c r="AB61" s="315">
        <f>1131817+111078</f>
        <v>1242895</v>
      </c>
      <c r="AC61" s="315">
        <f>202774+739104</f>
        <v>941878</v>
      </c>
      <c r="AD61" s="315"/>
      <c r="AE61" s="315">
        <f>609066</f>
        <v>609066</v>
      </c>
      <c r="AF61" s="315"/>
      <c r="AG61" s="315">
        <f>2561720</f>
        <v>2561720</v>
      </c>
      <c r="AH61" s="315"/>
      <c r="AI61" s="315">
        <f>1253749+288657</f>
        <v>1542406</v>
      </c>
      <c r="AJ61" s="315"/>
      <c r="AK61" s="315">
        <f>63002</f>
        <v>63002</v>
      </c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>
        <f>448502+680175+2448+1944+13395</f>
        <v>1146464</v>
      </c>
      <c r="AW61" s="315"/>
      <c r="AX61" s="315"/>
      <c r="AY61" s="315">
        <f>932104</f>
        <v>932104</v>
      </c>
      <c r="AZ61" s="315"/>
      <c r="BA61" s="315"/>
      <c r="BB61" s="315">
        <f>164483+519432</f>
        <v>683915</v>
      </c>
      <c r="BC61" s="315"/>
      <c r="BD61" s="315">
        <f>427177</f>
        <v>427177</v>
      </c>
      <c r="BE61" s="315">
        <f>518440+273740</f>
        <v>792180</v>
      </c>
      <c r="BF61" s="315">
        <f>793556</f>
        <v>793556</v>
      </c>
      <c r="BG61" s="315">
        <f>91966</f>
        <v>91966</v>
      </c>
      <c r="BH61" s="315">
        <f>420702</f>
        <v>420702</v>
      </c>
      <c r="BI61" s="315"/>
      <c r="BJ61" s="315">
        <f>228222</f>
        <v>228222</v>
      </c>
      <c r="BK61" s="315"/>
      <c r="BL61" s="315">
        <f>791117+125868</f>
        <v>916985</v>
      </c>
      <c r="BM61" s="315"/>
      <c r="BN61" s="315">
        <f>2143113+104626</f>
        <v>2247739</v>
      </c>
      <c r="BO61" s="315"/>
      <c r="BP61" s="315">
        <f>48166</f>
        <v>48166</v>
      </c>
      <c r="BQ61" s="315"/>
      <c r="BR61" s="315">
        <f>258518+25968</f>
        <v>284486</v>
      </c>
      <c r="BS61" s="315"/>
      <c r="BT61" s="315"/>
      <c r="BU61" s="315"/>
      <c r="BV61" s="315">
        <f>604878</f>
        <v>604878</v>
      </c>
      <c r="BW61" s="315">
        <f>103558</f>
        <v>103558</v>
      </c>
      <c r="BX61" s="315">
        <f>205165</f>
        <v>205165</v>
      </c>
      <c r="BY61" s="315">
        <f>763807+317992</f>
        <v>1081799</v>
      </c>
      <c r="BZ61" s="315"/>
      <c r="CA61" s="315">
        <f>164569</f>
        <v>164569</v>
      </c>
      <c r="CB61" s="315"/>
      <c r="CC61" s="315"/>
      <c r="CD61" s="314" t="s">
        <v>221</v>
      </c>
      <c r="CE61" s="304">
        <f t="shared" si="0"/>
        <v>37106883</v>
      </c>
    </row>
    <row r="62" spans="1:83" ht="12.65" customHeight="1">
      <c r="A62" s="311" t="s">
        <v>3</v>
      </c>
      <c r="B62" s="304"/>
      <c r="C62" s="304">
        <f t="shared" ref="C62:BN62" si="1">ROUND(C47+C48,0)</f>
        <v>951046</v>
      </c>
      <c r="D62" s="304">
        <f t="shared" si="1"/>
        <v>0</v>
      </c>
      <c r="E62" s="304">
        <f t="shared" si="1"/>
        <v>520553</v>
      </c>
      <c r="F62" s="304">
        <f t="shared" si="1"/>
        <v>0</v>
      </c>
      <c r="G62" s="304">
        <f t="shared" si="1"/>
        <v>0</v>
      </c>
      <c r="H62" s="304">
        <f t="shared" si="1"/>
        <v>0</v>
      </c>
      <c r="I62" s="304">
        <f t="shared" si="1"/>
        <v>0</v>
      </c>
      <c r="J62" s="304">
        <f>ROUND(J47+J48,0)</f>
        <v>0</v>
      </c>
      <c r="K62" s="304">
        <f t="shared" si="1"/>
        <v>0</v>
      </c>
      <c r="L62" s="304">
        <f t="shared" si="1"/>
        <v>0</v>
      </c>
      <c r="M62" s="304">
        <f t="shared" si="1"/>
        <v>0</v>
      </c>
      <c r="N62" s="304">
        <f t="shared" si="1"/>
        <v>0</v>
      </c>
      <c r="O62" s="304">
        <f t="shared" si="1"/>
        <v>456426</v>
      </c>
      <c r="P62" s="304">
        <f t="shared" si="1"/>
        <v>235283</v>
      </c>
      <c r="Q62" s="304">
        <f t="shared" si="1"/>
        <v>134671</v>
      </c>
      <c r="R62" s="304">
        <f t="shared" si="1"/>
        <v>24138</v>
      </c>
      <c r="S62" s="304">
        <f t="shared" si="1"/>
        <v>69773</v>
      </c>
      <c r="T62" s="304">
        <f t="shared" si="1"/>
        <v>0</v>
      </c>
      <c r="U62" s="304">
        <f t="shared" si="1"/>
        <v>269338</v>
      </c>
      <c r="V62" s="304">
        <f t="shared" si="1"/>
        <v>0</v>
      </c>
      <c r="W62" s="304">
        <f t="shared" si="1"/>
        <v>27279</v>
      </c>
      <c r="X62" s="304">
        <f t="shared" si="1"/>
        <v>82934</v>
      </c>
      <c r="Y62" s="304">
        <f t="shared" si="1"/>
        <v>516111</v>
      </c>
      <c r="Z62" s="304">
        <f t="shared" si="1"/>
        <v>104036</v>
      </c>
      <c r="AA62" s="304">
        <f t="shared" si="1"/>
        <v>30125</v>
      </c>
      <c r="AB62" s="304">
        <f t="shared" si="1"/>
        <v>224280</v>
      </c>
      <c r="AC62" s="304">
        <f t="shared" si="1"/>
        <v>170422</v>
      </c>
      <c r="AD62" s="304">
        <f t="shared" si="1"/>
        <v>0</v>
      </c>
      <c r="AE62" s="304">
        <f t="shared" si="1"/>
        <v>109857</v>
      </c>
      <c r="AF62" s="304">
        <f t="shared" si="1"/>
        <v>0</v>
      </c>
      <c r="AG62" s="304">
        <f t="shared" si="1"/>
        <v>457706</v>
      </c>
      <c r="AH62" s="304">
        <f t="shared" si="1"/>
        <v>0</v>
      </c>
      <c r="AI62" s="304">
        <f t="shared" si="1"/>
        <v>277242</v>
      </c>
      <c r="AJ62" s="304">
        <f t="shared" si="1"/>
        <v>0</v>
      </c>
      <c r="AK62" s="304">
        <f t="shared" si="1"/>
        <v>11589</v>
      </c>
      <c r="AL62" s="304">
        <f t="shared" si="1"/>
        <v>0</v>
      </c>
      <c r="AM62" s="304">
        <f t="shared" si="1"/>
        <v>0</v>
      </c>
      <c r="AN62" s="304">
        <f t="shared" si="1"/>
        <v>0</v>
      </c>
      <c r="AO62" s="304">
        <f t="shared" si="1"/>
        <v>0</v>
      </c>
      <c r="AP62" s="304">
        <f t="shared" si="1"/>
        <v>0</v>
      </c>
      <c r="AQ62" s="304">
        <f t="shared" si="1"/>
        <v>0</v>
      </c>
      <c r="AR62" s="304">
        <f t="shared" si="1"/>
        <v>0</v>
      </c>
      <c r="AS62" s="304">
        <f t="shared" si="1"/>
        <v>0</v>
      </c>
      <c r="AT62" s="304">
        <f t="shared" si="1"/>
        <v>0</v>
      </c>
      <c r="AU62" s="304">
        <f t="shared" si="1"/>
        <v>0</v>
      </c>
      <c r="AV62" s="304">
        <f t="shared" si="1"/>
        <v>196689</v>
      </c>
      <c r="AW62" s="304">
        <f t="shared" si="1"/>
        <v>0</v>
      </c>
      <c r="AX62" s="304">
        <f t="shared" si="1"/>
        <v>0</v>
      </c>
      <c r="AY62" s="304">
        <f>ROUND(AY47+AY48,0)</f>
        <v>167175</v>
      </c>
      <c r="AZ62" s="304">
        <f>ROUND(AZ47+AZ48,0)</f>
        <v>0</v>
      </c>
      <c r="BA62" s="304">
        <f>ROUND(BA47+BA48,0)</f>
        <v>0</v>
      </c>
      <c r="BB62" s="304">
        <f t="shared" si="1"/>
        <v>122587</v>
      </c>
      <c r="BC62" s="304">
        <f t="shared" si="1"/>
        <v>0</v>
      </c>
      <c r="BD62" s="304">
        <f t="shared" si="1"/>
        <v>76823</v>
      </c>
      <c r="BE62" s="304">
        <f t="shared" si="1"/>
        <v>142410</v>
      </c>
      <c r="BF62" s="304">
        <f t="shared" si="1"/>
        <v>143657</v>
      </c>
      <c r="BG62" s="304">
        <f t="shared" si="1"/>
        <v>16898</v>
      </c>
      <c r="BH62" s="304">
        <f t="shared" si="1"/>
        <v>76072</v>
      </c>
      <c r="BI62" s="304">
        <f t="shared" si="1"/>
        <v>0</v>
      </c>
      <c r="BJ62" s="304">
        <f t="shared" si="1"/>
        <v>39938</v>
      </c>
      <c r="BK62" s="304">
        <f t="shared" si="1"/>
        <v>0</v>
      </c>
      <c r="BL62" s="304">
        <f t="shared" si="1"/>
        <v>166375</v>
      </c>
      <c r="BM62" s="304">
        <f t="shared" si="1"/>
        <v>0</v>
      </c>
      <c r="BN62" s="304">
        <f t="shared" si="1"/>
        <v>278815</v>
      </c>
      <c r="BO62" s="304">
        <f t="shared" ref="BO62:CC62" si="2">ROUND(BO47+BO48,0)</f>
        <v>0</v>
      </c>
      <c r="BP62" s="304">
        <f t="shared" si="2"/>
        <v>8796</v>
      </c>
      <c r="BQ62" s="304">
        <f t="shared" si="2"/>
        <v>0</v>
      </c>
      <c r="BR62" s="304">
        <f t="shared" si="2"/>
        <v>50589</v>
      </c>
      <c r="BS62" s="304">
        <f t="shared" si="2"/>
        <v>0</v>
      </c>
      <c r="BT62" s="304">
        <f t="shared" si="2"/>
        <v>0</v>
      </c>
      <c r="BU62" s="304">
        <f t="shared" si="2"/>
        <v>0</v>
      </c>
      <c r="BV62" s="304">
        <f t="shared" si="2"/>
        <v>107162</v>
      </c>
      <c r="BW62" s="304">
        <f t="shared" si="2"/>
        <v>18878</v>
      </c>
      <c r="BX62" s="304">
        <f t="shared" si="2"/>
        <v>36881</v>
      </c>
      <c r="BY62" s="304">
        <f t="shared" si="2"/>
        <v>196294</v>
      </c>
      <c r="BZ62" s="304">
        <f t="shared" si="2"/>
        <v>0</v>
      </c>
      <c r="CA62" s="304">
        <f t="shared" si="2"/>
        <v>29909</v>
      </c>
      <c r="CB62" s="304">
        <f t="shared" si="2"/>
        <v>0</v>
      </c>
      <c r="CC62" s="304">
        <f t="shared" si="2"/>
        <v>0</v>
      </c>
      <c r="CD62" s="314" t="s">
        <v>221</v>
      </c>
      <c r="CE62" s="304">
        <f t="shared" si="0"/>
        <v>6548757</v>
      </c>
    </row>
    <row r="63" spans="1:83" ht="12.65" customHeight="1">
      <c r="A63" s="311" t="s">
        <v>236</v>
      </c>
      <c r="B63" s="304"/>
      <c r="C63" s="309">
        <f>535170</f>
        <v>535170</v>
      </c>
      <c r="D63" s="309"/>
      <c r="E63" s="309"/>
      <c r="F63" s="315"/>
      <c r="G63" s="309"/>
      <c r="H63" s="309"/>
      <c r="I63" s="315"/>
      <c r="J63" s="315">
        <f>503008</f>
        <v>503008</v>
      </c>
      <c r="K63" s="315"/>
      <c r="L63" s="315"/>
      <c r="M63" s="309"/>
      <c r="N63" s="309"/>
      <c r="O63" s="309">
        <f>84200</f>
        <v>84200</v>
      </c>
      <c r="P63" s="315">
        <f>201754</f>
        <v>201754</v>
      </c>
      <c r="Q63" s="315"/>
      <c r="R63" s="315">
        <v>1249867</v>
      </c>
      <c r="S63" s="315"/>
      <c r="T63" s="315"/>
      <c r="U63" s="315">
        <v>19107</v>
      </c>
      <c r="V63" s="315"/>
      <c r="W63" s="315"/>
      <c r="X63" s="315"/>
      <c r="Y63" s="315">
        <f>231000+12150+10875</f>
        <v>254025</v>
      </c>
      <c r="Z63" s="315"/>
      <c r="AA63" s="315"/>
      <c r="AB63" s="315"/>
      <c r="AC63" s="315">
        <f>32058</f>
        <v>32058</v>
      </c>
      <c r="AD63" s="315"/>
      <c r="AE63" s="315"/>
      <c r="AF63" s="315"/>
      <c r="AG63" s="315">
        <f>181723</f>
        <v>181723</v>
      </c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>
        <f>24868+35970+1584135</f>
        <v>1644973</v>
      </c>
      <c r="AW63" s="315"/>
      <c r="AX63" s="315"/>
      <c r="AY63" s="315"/>
      <c r="AZ63" s="315"/>
      <c r="BA63" s="315"/>
      <c r="BB63" s="315">
        <f>54996</f>
        <v>54996</v>
      </c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15"/>
      <c r="BU63" s="315"/>
      <c r="BV63" s="315"/>
      <c r="BW63" s="315"/>
      <c r="BX63" s="315">
        <v>44738</v>
      </c>
      <c r="BY63" s="315"/>
      <c r="BZ63" s="315"/>
      <c r="CA63" s="315"/>
      <c r="CB63" s="315"/>
      <c r="CC63" s="315"/>
      <c r="CD63" s="314" t="s">
        <v>221</v>
      </c>
      <c r="CE63" s="304">
        <f t="shared" si="0"/>
        <v>4805619</v>
      </c>
    </row>
    <row r="64" spans="1:83" ht="12.65" customHeight="1">
      <c r="A64" s="311" t="s">
        <v>237</v>
      </c>
      <c r="B64" s="304"/>
      <c r="C64" s="309">
        <f>326202+7457+6627</f>
        <v>340286</v>
      </c>
      <c r="D64" s="309"/>
      <c r="E64" s="315">
        <f>197712</f>
        <v>197712</v>
      </c>
      <c r="F64" s="315"/>
      <c r="G64" s="309"/>
      <c r="H64" s="309"/>
      <c r="I64" s="315"/>
      <c r="J64" s="315">
        <f>16202</f>
        <v>16202</v>
      </c>
      <c r="K64" s="315"/>
      <c r="L64" s="315"/>
      <c r="M64" s="309"/>
      <c r="N64" s="309"/>
      <c r="O64" s="309">
        <f>216663</f>
        <v>216663</v>
      </c>
      <c r="P64" s="315">
        <f>1222557</f>
        <v>1222557</v>
      </c>
      <c r="Q64" s="315">
        <f>19621</f>
        <v>19621</v>
      </c>
      <c r="R64" s="315">
        <v>63289</v>
      </c>
      <c r="S64" s="315">
        <f>335893</f>
        <v>335893</v>
      </c>
      <c r="T64" s="315"/>
      <c r="U64" s="315">
        <f>607141+513328</f>
        <v>1120469</v>
      </c>
      <c r="V64" s="315"/>
      <c r="W64" s="315">
        <v>4408</v>
      </c>
      <c r="X64" s="315">
        <f>39751+16909+103</f>
        <v>56763</v>
      </c>
      <c r="Y64" s="315">
        <f>-21217+116660+16627-37098+9842+153</f>
        <v>84967</v>
      </c>
      <c r="Z64" s="315">
        <f>28954</f>
        <v>28954</v>
      </c>
      <c r="AA64" s="315">
        <v>24978</v>
      </c>
      <c r="AB64" s="315">
        <f>1415016+1536</f>
        <v>1416552</v>
      </c>
      <c r="AC64" s="315">
        <f>1152+77162</f>
        <v>78314</v>
      </c>
      <c r="AD64" s="315"/>
      <c r="AE64" s="315">
        <f>6559</f>
        <v>6559</v>
      </c>
      <c r="AF64" s="315"/>
      <c r="AG64" s="315">
        <f>238513</f>
        <v>238513</v>
      </c>
      <c r="AH64" s="315"/>
      <c r="AI64" s="315">
        <f>211832+59159</f>
        <v>270991</v>
      </c>
      <c r="AJ64" s="315"/>
      <c r="AK64" s="315">
        <f>2478</f>
        <v>2478</v>
      </c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>
        <f>80135+189800</f>
        <v>269935</v>
      </c>
      <c r="AW64" s="315"/>
      <c r="AX64" s="315"/>
      <c r="AY64" s="315">
        <f>493968</f>
        <v>493968</v>
      </c>
      <c r="AZ64" s="315"/>
      <c r="BA64" s="315"/>
      <c r="BB64" s="315">
        <f>3621</f>
        <v>3621</v>
      </c>
      <c r="BC64" s="315"/>
      <c r="BD64" s="315">
        <f>5813042-28241+2461824-11339</f>
        <v>8235286</v>
      </c>
      <c r="BE64" s="315">
        <f>-8104+4298</f>
        <v>-3806</v>
      </c>
      <c r="BF64" s="315">
        <f>105702</f>
        <v>105702</v>
      </c>
      <c r="BG64" s="315">
        <f>7</f>
        <v>7</v>
      </c>
      <c r="BH64" s="315">
        <f>80722</f>
        <v>80722</v>
      </c>
      <c r="BI64" s="315"/>
      <c r="BJ64" s="315">
        <f>4516</f>
        <v>4516</v>
      </c>
      <c r="BK64" s="315"/>
      <c r="BL64" s="315">
        <f>20384</f>
        <v>20384</v>
      </c>
      <c r="BM64" s="315"/>
      <c r="BN64" s="315">
        <f>11170-94+759</f>
        <v>11835</v>
      </c>
      <c r="BO64" s="315"/>
      <c r="BP64" s="315">
        <f>13964</f>
        <v>13964</v>
      </c>
      <c r="BQ64" s="315"/>
      <c r="BR64" s="315">
        <f>9259</f>
        <v>9259</v>
      </c>
      <c r="BS64" s="315"/>
      <c r="BT64" s="315"/>
      <c r="BU64" s="315"/>
      <c r="BV64" s="315">
        <f>10278</f>
        <v>10278</v>
      </c>
      <c r="BW64" s="315">
        <f>1324</f>
        <v>1324</v>
      </c>
      <c r="BX64" s="315">
        <f>8820</f>
        <v>8820</v>
      </c>
      <c r="BY64" s="315">
        <f>162+2400</f>
        <v>2562</v>
      </c>
      <c r="BZ64" s="315"/>
      <c r="CA64" s="315">
        <f>431</f>
        <v>431</v>
      </c>
      <c r="CB64" s="315"/>
      <c r="CC64" s="315"/>
      <c r="CD64" s="314" t="s">
        <v>221</v>
      </c>
      <c r="CE64" s="304">
        <f t="shared" si="0"/>
        <v>15014977</v>
      </c>
    </row>
    <row r="65" spans="1:84" ht="12.65" customHeight="1">
      <c r="A65" s="311" t="s">
        <v>238</v>
      </c>
      <c r="B65" s="304"/>
      <c r="C65" s="309"/>
      <c r="D65" s="309"/>
      <c r="E65" s="309"/>
      <c r="F65" s="309"/>
      <c r="G65" s="309"/>
      <c r="H65" s="309"/>
      <c r="I65" s="315"/>
      <c r="J65" s="309"/>
      <c r="K65" s="315"/>
      <c r="L65" s="315"/>
      <c r="M65" s="309"/>
      <c r="N65" s="309"/>
      <c r="O65" s="309"/>
      <c r="P65" s="315"/>
      <c r="Q65" s="315"/>
      <c r="R65" s="315"/>
      <c r="S65" s="315">
        <v>26309</v>
      </c>
      <c r="T65" s="315"/>
      <c r="U65" s="315"/>
      <c r="V65" s="315"/>
      <c r="W65" s="315"/>
      <c r="X65" s="315">
        <f>8530</f>
        <v>8530</v>
      </c>
      <c r="Y65" s="315">
        <v>73</v>
      </c>
      <c r="Z65" s="315"/>
      <c r="AA65" s="315"/>
      <c r="AB65" s="315"/>
      <c r="AC65" s="315"/>
      <c r="AD65" s="315"/>
      <c r="AE65" s="315">
        <f>2686</f>
        <v>2686</v>
      </c>
      <c r="AF65" s="315"/>
      <c r="AG65" s="315"/>
      <c r="AH65" s="315"/>
      <c r="AI65" s="315"/>
      <c r="AJ65" s="315"/>
      <c r="AK65" s="315">
        <f>256</f>
        <v>256</v>
      </c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>
        <f>664</f>
        <v>664</v>
      </c>
      <c r="AW65" s="315"/>
      <c r="AX65" s="315"/>
      <c r="AY65" s="315"/>
      <c r="AZ65" s="315"/>
      <c r="BA65" s="315"/>
      <c r="BB65" s="315"/>
      <c r="BC65" s="315"/>
      <c r="BD65" s="315"/>
      <c r="BE65" s="315">
        <f>883171</f>
        <v>883171</v>
      </c>
      <c r="BF65" s="315"/>
      <c r="BG65" s="315">
        <f>235604</f>
        <v>235604</v>
      </c>
      <c r="BH65" s="315"/>
      <c r="BI65" s="315"/>
      <c r="BJ65" s="315"/>
      <c r="BK65" s="315"/>
      <c r="BL65" s="315"/>
      <c r="BM65" s="315"/>
      <c r="BN65" s="315">
        <v>405</v>
      </c>
      <c r="BO65" s="315"/>
      <c r="BP65" s="315"/>
      <c r="BQ65" s="315"/>
      <c r="BR65" s="315"/>
      <c r="BS65" s="315"/>
      <c r="BT65" s="315"/>
      <c r="BU65" s="315"/>
      <c r="BV65" s="315"/>
      <c r="BW65" s="315"/>
      <c r="BX65" s="315"/>
      <c r="BY65" s="315"/>
      <c r="BZ65" s="315"/>
      <c r="CA65" s="315"/>
      <c r="CB65" s="315"/>
      <c r="CC65" s="315"/>
      <c r="CD65" s="314" t="s">
        <v>221</v>
      </c>
      <c r="CE65" s="304">
        <f t="shared" si="0"/>
        <v>1157698</v>
      </c>
    </row>
    <row r="66" spans="1:84" ht="12.65" customHeight="1">
      <c r="A66" s="311" t="s">
        <v>239</v>
      </c>
      <c r="B66" s="304"/>
      <c r="C66" s="309">
        <f>35642</f>
        <v>35642</v>
      </c>
      <c r="D66" s="309"/>
      <c r="E66" s="309">
        <f>6013</f>
        <v>6013</v>
      </c>
      <c r="F66" s="309"/>
      <c r="G66" s="309"/>
      <c r="H66" s="309"/>
      <c r="I66" s="309"/>
      <c r="J66" s="309">
        <f>75817</f>
        <v>75817</v>
      </c>
      <c r="K66" s="315"/>
      <c r="L66" s="315"/>
      <c r="M66" s="309"/>
      <c r="N66" s="309"/>
      <c r="O66" s="315">
        <f>1167</f>
        <v>1167</v>
      </c>
      <c r="P66" s="315">
        <f>307696</f>
        <v>307696</v>
      </c>
      <c r="Q66" s="315">
        <v>2</v>
      </c>
      <c r="R66" s="315">
        <v>13</v>
      </c>
      <c r="S66" s="309">
        <v>533425</v>
      </c>
      <c r="T66" s="309"/>
      <c r="U66" s="315">
        <f>9765+475557+15741</f>
        <v>501063</v>
      </c>
      <c r="V66" s="315"/>
      <c r="W66" s="315"/>
      <c r="X66" s="315">
        <f>887+66181+409812</f>
        <v>476880</v>
      </c>
      <c r="Y66" s="315">
        <f>5094+1195+378+118+10</f>
        <v>6795</v>
      </c>
      <c r="Z66" s="315">
        <v>410002</v>
      </c>
      <c r="AA66" s="315">
        <f>995</f>
        <v>995</v>
      </c>
      <c r="AB66" s="315">
        <f>70666+80</f>
        <v>70746</v>
      </c>
      <c r="AC66" s="315">
        <f>4148</f>
        <v>4148</v>
      </c>
      <c r="AD66" s="315"/>
      <c r="AE66" s="315">
        <f>13707</f>
        <v>13707</v>
      </c>
      <c r="AF66" s="315"/>
      <c r="AG66" s="315">
        <v>47212</v>
      </c>
      <c r="AH66" s="315"/>
      <c r="AI66" s="315">
        <f>975+41</f>
        <v>1016</v>
      </c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>
        <f>1065927+374073+1459</f>
        <v>1441459</v>
      </c>
      <c r="AW66" s="315"/>
      <c r="AX66" s="315"/>
      <c r="AY66" s="315">
        <f>5021</f>
        <v>5021</v>
      </c>
      <c r="AZ66" s="315"/>
      <c r="BA66" s="315"/>
      <c r="BB66" s="315">
        <f>60333</f>
        <v>60333</v>
      </c>
      <c r="BC66" s="315"/>
      <c r="BD66" s="315">
        <f>17374</f>
        <v>17374</v>
      </c>
      <c r="BE66" s="315">
        <v>143530</v>
      </c>
      <c r="BF66" s="315">
        <f>191663+344457</f>
        <v>536120</v>
      </c>
      <c r="BG66" s="315">
        <f>3104</f>
        <v>3104</v>
      </c>
      <c r="BH66" s="315">
        <v>1828534</v>
      </c>
      <c r="BI66" s="315"/>
      <c r="BJ66" s="315">
        <f>5000</f>
        <v>5000</v>
      </c>
      <c r="BK66" s="315">
        <f>1769837</f>
        <v>1769837</v>
      </c>
      <c r="BL66" s="315">
        <f>48202</f>
        <v>48202</v>
      </c>
      <c r="BM66" s="315"/>
      <c r="BN66" s="315">
        <f>211704+390133</f>
        <v>601837</v>
      </c>
      <c r="BO66" s="315"/>
      <c r="BP66" s="315">
        <f>20803</f>
        <v>20803</v>
      </c>
      <c r="BQ66" s="315"/>
      <c r="BR66" s="315">
        <f>171037</f>
        <v>171037</v>
      </c>
      <c r="BS66" s="315"/>
      <c r="BT66" s="315"/>
      <c r="BU66" s="315"/>
      <c r="BV66" s="315">
        <f>4026+166040</f>
        <v>170066</v>
      </c>
      <c r="BW66" s="315">
        <f>67054</f>
        <v>67054</v>
      </c>
      <c r="BX66" s="315">
        <f>220833</f>
        <v>220833</v>
      </c>
      <c r="BY66" s="315">
        <f>450</f>
        <v>450</v>
      </c>
      <c r="BZ66" s="315"/>
      <c r="CA66" s="315"/>
      <c r="CB66" s="315"/>
      <c r="CC66" s="315"/>
      <c r="CD66" s="314" t="s">
        <v>221</v>
      </c>
      <c r="CE66" s="304">
        <f t="shared" si="0"/>
        <v>9602933</v>
      </c>
    </row>
    <row r="67" spans="1:84" ht="12.65" customHeight="1">
      <c r="A67" s="311" t="s">
        <v>6</v>
      </c>
      <c r="B67" s="304"/>
      <c r="C67" s="304">
        <f>ROUND(C51+C52,0)</f>
        <v>319328</v>
      </c>
      <c r="D67" s="304">
        <f>ROUND(D51+D52,0)</f>
        <v>0</v>
      </c>
      <c r="E67" s="304">
        <f t="shared" ref="E67:BP67" si="3">ROUND(E51+E52,0)</f>
        <v>453634</v>
      </c>
      <c r="F67" s="304">
        <f t="shared" si="3"/>
        <v>0</v>
      </c>
      <c r="G67" s="304">
        <f t="shared" si="3"/>
        <v>0</v>
      </c>
      <c r="H67" s="304">
        <f t="shared" si="3"/>
        <v>0</v>
      </c>
      <c r="I67" s="304">
        <f t="shared" si="3"/>
        <v>0</v>
      </c>
      <c r="J67" s="304">
        <f>ROUND(J51+J52,0)</f>
        <v>27066</v>
      </c>
      <c r="K67" s="304">
        <f t="shared" si="3"/>
        <v>0</v>
      </c>
      <c r="L67" s="304">
        <f t="shared" si="3"/>
        <v>0</v>
      </c>
      <c r="M67" s="304">
        <f t="shared" si="3"/>
        <v>0</v>
      </c>
      <c r="N67" s="304">
        <f t="shared" si="3"/>
        <v>0</v>
      </c>
      <c r="O67" s="304">
        <f t="shared" si="3"/>
        <v>856210</v>
      </c>
      <c r="P67" s="304">
        <f t="shared" si="3"/>
        <v>85754</v>
      </c>
      <c r="Q67" s="304">
        <f t="shared" si="3"/>
        <v>109024</v>
      </c>
      <c r="R67" s="304">
        <f t="shared" si="3"/>
        <v>13021</v>
      </c>
      <c r="S67" s="304">
        <f t="shared" si="3"/>
        <v>109593</v>
      </c>
      <c r="T67" s="304">
        <f t="shared" si="3"/>
        <v>0</v>
      </c>
      <c r="U67" s="304">
        <f t="shared" si="3"/>
        <v>104165</v>
      </c>
      <c r="V67" s="304">
        <f t="shared" si="3"/>
        <v>0</v>
      </c>
      <c r="W67" s="304">
        <f t="shared" si="3"/>
        <v>33482</v>
      </c>
      <c r="X67" s="304">
        <f t="shared" si="3"/>
        <v>227159</v>
      </c>
      <c r="Y67" s="304">
        <f t="shared" si="3"/>
        <v>533770</v>
      </c>
      <c r="Z67" s="304">
        <f t="shared" si="3"/>
        <v>191096</v>
      </c>
      <c r="AA67" s="304">
        <f t="shared" si="3"/>
        <v>13818</v>
      </c>
      <c r="AB67" s="304">
        <f t="shared" si="3"/>
        <v>47755</v>
      </c>
      <c r="AC67" s="304">
        <f t="shared" si="3"/>
        <v>160765</v>
      </c>
      <c r="AD67" s="304">
        <f t="shared" si="3"/>
        <v>0</v>
      </c>
      <c r="AE67" s="304">
        <f t="shared" si="3"/>
        <v>159930</v>
      </c>
      <c r="AF67" s="304">
        <f t="shared" si="3"/>
        <v>0</v>
      </c>
      <c r="AG67" s="304">
        <f t="shared" si="3"/>
        <v>161258</v>
      </c>
      <c r="AH67" s="304">
        <f t="shared" si="3"/>
        <v>0</v>
      </c>
      <c r="AI67" s="304">
        <f t="shared" si="3"/>
        <v>189008</v>
      </c>
      <c r="AJ67" s="304">
        <f t="shared" si="3"/>
        <v>0</v>
      </c>
      <c r="AK67" s="304">
        <f t="shared" si="3"/>
        <v>0</v>
      </c>
      <c r="AL67" s="304">
        <f t="shared" si="3"/>
        <v>0</v>
      </c>
      <c r="AM67" s="304">
        <f t="shared" si="3"/>
        <v>0</v>
      </c>
      <c r="AN67" s="304">
        <f t="shared" si="3"/>
        <v>0</v>
      </c>
      <c r="AO67" s="304">
        <f t="shared" si="3"/>
        <v>0</v>
      </c>
      <c r="AP67" s="304">
        <f t="shared" si="3"/>
        <v>0</v>
      </c>
      <c r="AQ67" s="304">
        <f t="shared" si="3"/>
        <v>0</v>
      </c>
      <c r="AR67" s="304">
        <f t="shared" si="3"/>
        <v>0</v>
      </c>
      <c r="AS67" s="304">
        <f t="shared" si="3"/>
        <v>0</v>
      </c>
      <c r="AT67" s="304">
        <f t="shared" si="3"/>
        <v>0</v>
      </c>
      <c r="AU67" s="304">
        <f t="shared" si="3"/>
        <v>0</v>
      </c>
      <c r="AV67" s="304">
        <f t="shared" si="3"/>
        <v>0</v>
      </c>
      <c r="AW67" s="304">
        <f t="shared" si="3"/>
        <v>0</v>
      </c>
      <c r="AX67" s="304">
        <f t="shared" si="3"/>
        <v>0</v>
      </c>
      <c r="AY67" s="304">
        <f t="shared" si="3"/>
        <v>207988</v>
      </c>
      <c r="AZ67" s="304">
        <f>ROUND(AZ51+AZ52,0)</f>
        <v>0</v>
      </c>
      <c r="BA67" s="304">
        <f>ROUND(BA51+BA52,0)</f>
        <v>0</v>
      </c>
      <c r="BB67" s="304">
        <f t="shared" si="3"/>
        <v>28091</v>
      </c>
      <c r="BC67" s="304">
        <f t="shared" si="3"/>
        <v>0</v>
      </c>
      <c r="BD67" s="304">
        <f t="shared" si="3"/>
        <v>97370</v>
      </c>
      <c r="BE67" s="304">
        <f t="shared" si="3"/>
        <v>1026390</v>
      </c>
      <c r="BF67" s="304">
        <f t="shared" si="3"/>
        <v>86893</v>
      </c>
      <c r="BG67" s="304">
        <f t="shared" si="3"/>
        <v>12793</v>
      </c>
      <c r="BH67" s="304">
        <f t="shared" si="3"/>
        <v>28547</v>
      </c>
      <c r="BI67" s="304">
        <f t="shared" si="3"/>
        <v>0</v>
      </c>
      <c r="BJ67" s="304">
        <f t="shared" si="3"/>
        <v>62066</v>
      </c>
      <c r="BK67" s="304">
        <f t="shared" si="3"/>
        <v>0</v>
      </c>
      <c r="BL67" s="304">
        <f t="shared" si="3"/>
        <v>68368</v>
      </c>
      <c r="BM67" s="304">
        <f t="shared" si="3"/>
        <v>0</v>
      </c>
      <c r="BN67" s="304">
        <f t="shared" si="3"/>
        <v>147099</v>
      </c>
      <c r="BO67" s="304">
        <f t="shared" si="3"/>
        <v>0</v>
      </c>
      <c r="BP67" s="304">
        <f t="shared" si="3"/>
        <v>27674</v>
      </c>
      <c r="BQ67" s="304">
        <f t="shared" ref="BQ67:CC67" si="4">ROUND(BQ51+BQ52,0)</f>
        <v>0</v>
      </c>
      <c r="BR67" s="304">
        <f t="shared" si="4"/>
        <v>38454</v>
      </c>
      <c r="BS67" s="304">
        <f t="shared" si="4"/>
        <v>10857</v>
      </c>
      <c r="BT67" s="304">
        <f t="shared" si="4"/>
        <v>0</v>
      </c>
      <c r="BU67" s="304">
        <f t="shared" si="4"/>
        <v>127359</v>
      </c>
      <c r="BV67" s="304">
        <f t="shared" si="4"/>
        <v>0</v>
      </c>
      <c r="BW67" s="304">
        <f t="shared" si="4"/>
        <v>0</v>
      </c>
      <c r="BX67" s="304">
        <f t="shared" si="4"/>
        <v>3151</v>
      </c>
      <c r="BY67" s="304">
        <f t="shared" si="4"/>
        <v>44225</v>
      </c>
      <c r="BZ67" s="304">
        <f t="shared" si="4"/>
        <v>0</v>
      </c>
      <c r="CA67" s="304">
        <f t="shared" si="4"/>
        <v>84995</v>
      </c>
      <c r="CB67" s="304">
        <f t="shared" si="4"/>
        <v>0</v>
      </c>
      <c r="CC67" s="304">
        <f t="shared" si="4"/>
        <v>0</v>
      </c>
      <c r="CD67" s="314" t="s">
        <v>221</v>
      </c>
      <c r="CE67" s="304">
        <f t="shared" si="0"/>
        <v>5898156</v>
      </c>
    </row>
    <row r="68" spans="1:84" ht="12.65" customHeight="1">
      <c r="A68" s="311" t="s">
        <v>240</v>
      </c>
      <c r="B68" s="304"/>
      <c r="C68" s="309">
        <f>68158</f>
        <v>68158</v>
      </c>
      <c r="D68" s="309"/>
      <c r="E68" s="309">
        <f>55036</f>
        <v>55036</v>
      </c>
      <c r="F68" s="309"/>
      <c r="G68" s="309"/>
      <c r="H68" s="309"/>
      <c r="I68" s="309"/>
      <c r="J68" s="309"/>
      <c r="K68" s="315"/>
      <c r="L68" s="315"/>
      <c r="M68" s="309"/>
      <c r="N68" s="309"/>
      <c r="O68" s="309">
        <f>133</f>
        <v>133</v>
      </c>
      <c r="P68" s="315">
        <f>330384</f>
        <v>330384</v>
      </c>
      <c r="Q68" s="315"/>
      <c r="R68" s="315">
        <f>123809</f>
        <v>123809</v>
      </c>
      <c r="S68" s="315">
        <v>813264</v>
      </c>
      <c r="T68" s="315"/>
      <c r="U68" s="315">
        <f>167418</f>
        <v>167418</v>
      </c>
      <c r="V68" s="315"/>
      <c r="W68" s="315"/>
      <c r="X68" s="315">
        <f>3826+621431</f>
        <v>625257</v>
      </c>
      <c r="Y68" s="315">
        <f>7816+106+2780+51+329</f>
        <v>11082</v>
      </c>
      <c r="Z68" s="315">
        <f>1369</f>
        <v>1369</v>
      </c>
      <c r="AA68" s="315"/>
      <c r="AB68" s="315">
        <f>238320</f>
        <v>238320</v>
      </c>
      <c r="AC68" s="315">
        <f>131065</f>
        <v>131065</v>
      </c>
      <c r="AD68" s="315"/>
      <c r="AE68" s="315">
        <f>89870</f>
        <v>89870</v>
      </c>
      <c r="AF68" s="315"/>
      <c r="AG68" s="315">
        <f>8009</f>
        <v>8009</v>
      </c>
      <c r="AH68" s="315"/>
      <c r="AI68" s="315">
        <v>2</v>
      </c>
      <c r="AJ68" s="315"/>
      <c r="AK68" s="315">
        <v>5</v>
      </c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>
        <f>11659+8</f>
        <v>11667</v>
      </c>
      <c r="AW68" s="315"/>
      <c r="AX68" s="315"/>
      <c r="AY68" s="315"/>
      <c r="AZ68" s="315"/>
      <c r="BA68" s="315"/>
      <c r="BB68" s="315">
        <f>53</f>
        <v>53</v>
      </c>
      <c r="BC68" s="315"/>
      <c r="BD68" s="315">
        <f>3027</f>
        <v>3027</v>
      </c>
      <c r="BE68" s="315">
        <f>1602</f>
        <v>1602</v>
      </c>
      <c r="BF68" s="315"/>
      <c r="BG68" s="315"/>
      <c r="BH68" s="315"/>
      <c r="BI68" s="315"/>
      <c r="BJ68" s="315">
        <v>30</v>
      </c>
      <c r="BK68" s="315"/>
      <c r="BL68" s="315"/>
      <c r="BM68" s="315"/>
      <c r="BN68" s="315">
        <f>340366+110421</f>
        <v>450787</v>
      </c>
      <c r="BO68" s="315"/>
      <c r="BP68" s="315"/>
      <c r="BQ68" s="315"/>
      <c r="BR68" s="315">
        <v>17</v>
      </c>
      <c r="BS68" s="315"/>
      <c r="BT68" s="315"/>
      <c r="BU68" s="315"/>
      <c r="BV68" s="315">
        <f>55510</f>
        <v>55510</v>
      </c>
      <c r="BW68" s="315">
        <f>506</f>
        <v>506</v>
      </c>
      <c r="BX68" s="315"/>
      <c r="BY68" s="315">
        <f>672</f>
        <v>672</v>
      </c>
      <c r="BZ68" s="315"/>
      <c r="CA68" s="315"/>
      <c r="CB68" s="315"/>
      <c r="CC68" s="315"/>
      <c r="CD68" s="314" t="s">
        <v>221</v>
      </c>
      <c r="CE68" s="304">
        <f t="shared" si="0"/>
        <v>3187052</v>
      </c>
    </row>
    <row r="69" spans="1:84" ht="12.65" customHeight="1">
      <c r="A69" s="311" t="s">
        <v>241</v>
      </c>
      <c r="B69" s="304"/>
      <c r="C69" s="309">
        <f>126216+44845+2931+1088+2278+20203</f>
        <v>197561</v>
      </c>
      <c r="D69" s="309"/>
      <c r="E69" s="315">
        <f>38794+12425+1517+152+118+1025</f>
        <v>54031</v>
      </c>
      <c r="F69" s="315"/>
      <c r="G69" s="309"/>
      <c r="H69" s="309"/>
      <c r="I69" s="315"/>
      <c r="J69" s="315">
        <f>739+514</f>
        <v>1253</v>
      </c>
      <c r="K69" s="315"/>
      <c r="L69" s="315"/>
      <c r="M69" s="309"/>
      <c r="N69" s="309"/>
      <c r="O69" s="309">
        <f>-2475+53037+627+750+552</f>
        <v>52491</v>
      </c>
      <c r="P69" s="315">
        <f>957036+5230+36935+3199+1635</f>
        <v>1004035</v>
      </c>
      <c r="Q69" s="315">
        <f>8626+15630</f>
        <v>24256</v>
      </c>
      <c r="R69" s="316">
        <f>7467+9737+547</f>
        <v>17751</v>
      </c>
      <c r="S69" s="315">
        <f>670148+484861+9760+59389+206+1277</f>
        <v>1225641</v>
      </c>
      <c r="T69" s="309"/>
      <c r="U69" s="315">
        <f>9214+87720+42863+675+1123+2291</f>
        <v>143886</v>
      </c>
      <c r="V69" s="315"/>
      <c r="W69" s="309">
        <f>1354+91412+32+2300</f>
        <v>95098</v>
      </c>
      <c r="X69" s="315">
        <f>79013+795+4957+24416+183256+537+32+2300-11987</f>
        <v>283319</v>
      </c>
      <c r="Y69" s="315">
        <f>76931+27+1440+85726+136078+203+34199+51+29853+82114+246261+531+435+2798+59044+34775+67+7771</f>
        <v>798304</v>
      </c>
      <c r="Z69" s="315">
        <f>276370+276+1546+16250+1595</f>
        <v>296037</v>
      </c>
      <c r="AA69" s="315">
        <f>19854-250+6211</f>
        <v>25815</v>
      </c>
      <c r="AB69" s="315">
        <f>31893+8664+299+17115+790</f>
        <v>58761</v>
      </c>
      <c r="AC69" s="315">
        <f>30337+17251+822+249</f>
        <v>48659</v>
      </c>
      <c r="AD69" s="315"/>
      <c r="AE69" s="315">
        <f>32590+2116+798+8690</f>
        <v>44194</v>
      </c>
      <c r="AF69" s="315"/>
      <c r="AG69" s="315">
        <f>100372+20245+2129+510+4240</f>
        <v>127496</v>
      </c>
      <c r="AH69" s="315"/>
      <c r="AI69" s="315">
        <f>5774+79+300+73119+146</f>
        <v>79418</v>
      </c>
      <c r="AJ69" s="315"/>
      <c r="AK69" s="315">
        <f>103</f>
        <v>103</v>
      </c>
      <c r="AL69" s="315">
        <f>56145</f>
        <v>56145</v>
      </c>
      <c r="AM69" s="315"/>
      <c r="AN69" s="315"/>
      <c r="AO69" s="309"/>
      <c r="AP69" s="315"/>
      <c r="AQ69" s="309"/>
      <c r="AR69" s="309"/>
      <c r="AS69" s="309"/>
      <c r="AT69" s="309"/>
      <c r="AU69" s="315"/>
      <c r="AV69" s="315">
        <f>2458+1546+2222+4425+21878+700</f>
        <v>33229</v>
      </c>
      <c r="AW69" s="315"/>
      <c r="AX69" s="315"/>
      <c r="AY69" s="315">
        <f>24360+18973+123+3827+10828+2062</f>
        <v>60173</v>
      </c>
      <c r="AZ69" s="315"/>
      <c r="BA69" s="315"/>
      <c r="BB69" s="315">
        <f>360+13+21100+21350+17126</f>
        <v>59949</v>
      </c>
      <c r="BC69" s="315"/>
      <c r="BD69" s="315">
        <f>4111+1272+10898+147315+3267+85</f>
        <v>166948</v>
      </c>
      <c r="BE69" s="315">
        <f>74433+361985+2563+26135+75+2925+356+68+587+75</f>
        <v>469202</v>
      </c>
      <c r="BF69" s="315">
        <f>4054+40+1508</f>
        <v>5602</v>
      </c>
      <c r="BG69" s="315"/>
      <c r="BH69" s="316">
        <f>151697+170+44192+117013</f>
        <v>313072</v>
      </c>
      <c r="BI69" s="315"/>
      <c r="BJ69" s="315">
        <f>63989+360+29+9961+2586</f>
        <v>76925</v>
      </c>
      <c r="BK69" s="315">
        <v>-2</v>
      </c>
      <c r="BL69" s="315">
        <f>234850+51493</f>
        <v>286343</v>
      </c>
      <c r="BM69" s="315"/>
      <c r="BN69" s="315">
        <f>158+680499+320041+5062+30485+83522+182091+1259115+27723+99-27+2482+560263</f>
        <v>3151513</v>
      </c>
      <c r="BO69" s="315"/>
      <c r="BP69" s="315">
        <f>116665+1737+1418+415+3285</f>
        <v>123520</v>
      </c>
      <c r="BQ69" s="315"/>
      <c r="BR69" s="315">
        <f>6721+386+114+18754+355+176255</f>
        <v>202585</v>
      </c>
      <c r="BS69" s="315"/>
      <c r="BT69" s="315"/>
      <c r="BU69" s="315"/>
      <c r="BV69" s="315">
        <f>13+3340+780</f>
        <v>4133</v>
      </c>
      <c r="BW69" s="315">
        <f>15+106+235+3645</f>
        <v>4001</v>
      </c>
      <c r="BX69" s="315">
        <f>385+101193</f>
        <v>101578</v>
      </c>
      <c r="BY69" s="315">
        <f>340+530+6316+3500</f>
        <v>10686</v>
      </c>
      <c r="BZ69" s="315"/>
      <c r="CA69" s="315">
        <f>270+1512</f>
        <v>1782</v>
      </c>
      <c r="CB69" s="315"/>
      <c r="CC69" s="315"/>
      <c r="CD69" s="323">
        <v>13483429</v>
      </c>
      <c r="CE69" s="304">
        <f t="shared" si="0"/>
        <v>23188922</v>
      </c>
    </row>
    <row r="70" spans="1:84" ht="12.65" customHeight="1">
      <c r="A70" s="311" t="s">
        <v>242</v>
      </c>
      <c r="B70" s="304"/>
      <c r="C70" s="309"/>
      <c r="D70" s="309"/>
      <c r="E70" s="309"/>
      <c r="F70" s="315"/>
      <c r="G70" s="309"/>
      <c r="H70" s="309"/>
      <c r="I70" s="309"/>
      <c r="J70" s="315"/>
      <c r="K70" s="315"/>
      <c r="L70" s="315"/>
      <c r="M70" s="309"/>
      <c r="N70" s="309"/>
      <c r="O70" s="309"/>
      <c r="P70" s="309"/>
      <c r="Q70" s="309"/>
      <c r="R70" s="309"/>
      <c r="S70" s="309"/>
      <c r="T70" s="309"/>
      <c r="U70" s="315"/>
      <c r="V70" s="309"/>
      <c r="W70" s="309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15"/>
      <c r="BZ70" s="315"/>
      <c r="CA70" s="315"/>
      <c r="CB70" s="315"/>
      <c r="CC70" s="315"/>
      <c r="CD70" s="323">
        <v>557924</v>
      </c>
      <c r="CE70" s="304">
        <f t="shared" si="0"/>
        <v>557924</v>
      </c>
    </row>
    <row r="71" spans="1:84" ht="12.65" customHeight="1">
      <c r="A71" s="311" t="s">
        <v>243</v>
      </c>
      <c r="B71" s="304"/>
      <c r="C71" s="304">
        <f>SUM(C61:C68)+C69-C70</f>
        <v>7711928</v>
      </c>
      <c r="D71" s="304">
        <f t="shared" ref="D71:AI71" si="5">SUM(D61:D69)-D70</f>
        <v>0</v>
      </c>
      <c r="E71" s="304">
        <f t="shared" si="5"/>
        <v>4165180</v>
      </c>
      <c r="F71" s="304">
        <f t="shared" si="5"/>
        <v>0</v>
      </c>
      <c r="G71" s="304">
        <f t="shared" si="5"/>
        <v>0</v>
      </c>
      <c r="H71" s="304">
        <f t="shared" si="5"/>
        <v>0</v>
      </c>
      <c r="I71" s="304">
        <f t="shared" si="5"/>
        <v>0</v>
      </c>
      <c r="J71" s="304">
        <f t="shared" si="5"/>
        <v>623346</v>
      </c>
      <c r="K71" s="304">
        <f t="shared" si="5"/>
        <v>0</v>
      </c>
      <c r="L71" s="304">
        <f t="shared" si="5"/>
        <v>0</v>
      </c>
      <c r="M71" s="304">
        <f t="shared" si="5"/>
        <v>0</v>
      </c>
      <c r="N71" s="304">
        <f t="shared" si="5"/>
        <v>0</v>
      </c>
      <c r="O71" s="304">
        <f t="shared" si="5"/>
        <v>4184496</v>
      </c>
      <c r="P71" s="304">
        <f t="shared" si="5"/>
        <v>4688337</v>
      </c>
      <c r="Q71" s="304">
        <f t="shared" si="5"/>
        <v>1028207</v>
      </c>
      <c r="R71" s="304">
        <f t="shared" si="5"/>
        <v>1628727</v>
      </c>
      <c r="S71" s="304">
        <f t="shared" si="5"/>
        <v>3499996</v>
      </c>
      <c r="T71" s="304">
        <f t="shared" si="5"/>
        <v>0</v>
      </c>
      <c r="U71" s="304">
        <f t="shared" si="5"/>
        <v>3814539</v>
      </c>
      <c r="V71" s="304">
        <f t="shared" si="5"/>
        <v>0</v>
      </c>
      <c r="W71" s="304">
        <f t="shared" si="5"/>
        <v>313185</v>
      </c>
      <c r="X71" s="304">
        <f t="shared" si="5"/>
        <v>2219255</v>
      </c>
      <c r="Y71" s="304">
        <f t="shared" si="5"/>
        <v>5111005</v>
      </c>
      <c r="Z71" s="304">
        <f t="shared" si="5"/>
        <v>1607376</v>
      </c>
      <c r="AA71" s="304">
        <f t="shared" si="5"/>
        <v>261244</v>
      </c>
      <c r="AB71" s="304">
        <f t="shared" si="5"/>
        <v>3299309</v>
      </c>
      <c r="AC71" s="304">
        <f t="shared" si="5"/>
        <v>1567309</v>
      </c>
      <c r="AD71" s="304">
        <f t="shared" si="5"/>
        <v>0</v>
      </c>
      <c r="AE71" s="304">
        <f t="shared" si="5"/>
        <v>1035869</v>
      </c>
      <c r="AF71" s="304">
        <f t="shared" si="5"/>
        <v>0</v>
      </c>
      <c r="AG71" s="304">
        <f t="shared" si="5"/>
        <v>3783637</v>
      </c>
      <c r="AH71" s="304">
        <f t="shared" si="5"/>
        <v>0</v>
      </c>
      <c r="AI71" s="304">
        <f t="shared" si="5"/>
        <v>2360083</v>
      </c>
      <c r="AJ71" s="304">
        <f t="shared" ref="AJ71:BO71" si="6">SUM(AJ61:AJ69)-AJ70</f>
        <v>0</v>
      </c>
      <c r="AK71" s="304">
        <f t="shared" si="6"/>
        <v>77433</v>
      </c>
      <c r="AL71" s="304">
        <f t="shared" si="6"/>
        <v>56145</v>
      </c>
      <c r="AM71" s="304">
        <f t="shared" si="6"/>
        <v>0</v>
      </c>
      <c r="AN71" s="304">
        <f t="shared" si="6"/>
        <v>0</v>
      </c>
      <c r="AO71" s="304">
        <f t="shared" si="6"/>
        <v>0</v>
      </c>
      <c r="AP71" s="304">
        <f t="shared" si="6"/>
        <v>0</v>
      </c>
      <c r="AQ71" s="304">
        <f t="shared" si="6"/>
        <v>0</v>
      </c>
      <c r="AR71" s="304">
        <f t="shared" si="6"/>
        <v>0</v>
      </c>
      <c r="AS71" s="304">
        <f t="shared" si="6"/>
        <v>0</v>
      </c>
      <c r="AT71" s="304">
        <f t="shared" si="6"/>
        <v>0</v>
      </c>
      <c r="AU71" s="304">
        <f t="shared" si="6"/>
        <v>0</v>
      </c>
      <c r="AV71" s="304">
        <f t="shared" si="6"/>
        <v>4745080</v>
      </c>
      <c r="AW71" s="304">
        <f t="shared" si="6"/>
        <v>0</v>
      </c>
      <c r="AX71" s="304">
        <f t="shared" si="6"/>
        <v>0</v>
      </c>
      <c r="AY71" s="304">
        <f t="shared" si="6"/>
        <v>1866429</v>
      </c>
      <c r="AZ71" s="304">
        <f t="shared" si="6"/>
        <v>0</v>
      </c>
      <c r="BA71" s="304">
        <f t="shared" si="6"/>
        <v>0</v>
      </c>
      <c r="BB71" s="304">
        <f t="shared" si="6"/>
        <v>1013545</v>
      </c>
      <c r="BC71" s="304">
        <f t="shared" si="6"/>
        <v>0</v>
      </c>
      <c r="BD71" s="304">
        <f t="shared" si="6"/>
        <v>9024005</v>
      </c>
      <c r="BE71" s="304">
        <f t="shared" si="6"/>
        <v>3454679</v>
      </c>
      <c r="BF71" s="304">
        <f t="shared" si="6"/>
        <v>1671530</v>
      </c>
      <c r="BG71" s="304">
        <f t="shared" si="6"/>
        <v>360372</v>
      </c>
      <c r="BH71" s="304">
        <f t="shared" si="6"/>
        <v>2747649</v>
      </c>
      <c r="BI71" s="304">
        <f t="shared" si="6"/>
        <v>0</v>
      </c>
      <c r="BJ71" s="304">
        <f t="shared" si="6"/>
        <v>416697</v>
      </c>
      <c r="BK71" s="304">
        <f t="shared" si="6"/>
        <v>1769835</v>
      </c>
      <c r="BL71" s="304">
        <f t="shared" si="6"/>
        <v>1506657</v>
      </c>
      <c r="BM71" s="304">
        <f t="shared" si="6"/>
        <v>0</v>
      </c>
      <c r="BN71" s="304">
        <f t="shared" si="6"/>
        <v>6890030</v>
      </c>
      <c r="BO71" s="304">
        <f t="shared" si="6"/>
        <v>0</v>
      </c>
      <c r="BP71" s="304">
        <f t="shared" ref="BP71:CC71" si="7">SUM(BP61:BP69)-BP70</f>
        <v>242923</v>
      </c>
      <c r="BQ71" s="304">
        <f t="shared" si="7"/>
        <v>0</v>
      </c>
      <c r="BR71" s="304">
        <f t="shared" si="7"/>
        <v>756427</v>
      </c>
      <c r="BS71" s="304">
        <f t="shared" si="7"/>
        <v>10857</v>
      </c>
      <c r="BT71" s="304">
        <f t="shared" si="7"/>
        <v>0</v>
      </c>
      <c r="BU71" s="304">
        <f t="shared" si="7"/>
        <v>127359</v>
      </c>
      <c r="BV71" s="304">
        <f t="shared" si="7"/>
        <v>952027</v>
      </c>
      <c r="BW71" s="304">
        <f t="shared" si="7"/>
        <v>195321</v>
      </c>
      <c r="BX71" s="304">
        <f t="shared" si="7"/>
        <v>621166</v>
      </c>
      <c r="BY71" s="304">
        <f t="shared" si="7"/>
        <v>1336688</v>
      </c>
      <c r="BZ71" s="304">
        <f t="shared" si="7"/>
        <v>0</v>
      </c>
      <c r="CA71" s="304">
        <f t="shared" si="7"/>
        <v>281686</v>
      </c>
      <c r="CB71" s="304">
        <f t="shared" si="7"/>
        <v>0</v>
      </c>
      <c r="CC71" s="304">
        <f t="shared" si="7"/>
        <v>0</v>
      </c>
      <c r="CD71" s="310">
        <f>CD69-CD70</f>
        <v>12925505</v>
      </c>
      <c r="CE71" s="304">
        <f>SUM(CE61:CE69)-CE70</f>
        <v>105953073</v>
      </c>
    </row>
    <row r="72" spans="1:84" ht="12.65" customHeight="1">
      <c r="A72" s="311" t="s">
        <v>244</v>
      </c>
      <c r="B72" s="304"/>
      <c r="C72" s="314" t="s">
        <v>221</v>
      </c>
      <c r="D72" s="314" t="s">
        <v>221</v>
      </c>
      <c r="E72" s="314" t="s">
        <v>221</v>
      </c>
      <c r="F72" s="314" t="s">
        <v>221</v>
      </c>
      <c r="G72" s="314" t="s">
        <v>221</v>
      </c>
      <c r="H72" s="314" t="s">
        <v>221</v>
      </c>
      <c r="I72" s="314" t="s">
        <v>221</v>
      </c>
      <c r="J72" s="314" t="s">
        <v>221</v>
      </c>
      <c r="K72" s="251" t="s">
        <v>221</v>
      </c>
      <c r="L72" s="314" t="s">
        <v>221</v>
      </c>
      <c r="M72" s="314" t="s">
        <v>221</v>
      </c>
      <c r="N72" s="314" t="s">
        <v>221</v>
      </c>
      <c r="O72" s="314" t="s">
        <v>221</v>
      </c>
      <c r="P72" s="314" t="s">
        <v>221</v>
      </c>
      <c r="Q72" s="314" t="s">
        <v>221</v>
      </c>
      <c r="R72" s="314" t="s">
        <v>221</v>
      </c>
      <c r="S72" s="314" t="s">
        <v>221</v>
      </c>
      <c r="T72" s="314" t="s">
        <v>221</v>
      </c>
      <c r="U72" s="314" t="s">
        <v>221</v>
      </c>
      <c r="V72" s="314" t="s">
        <v>221</v>
      </c>
      <c r="W72" s="314" t="s">
        <v>221</v>
      </c>
      <c r="X72" s="314" t="s">
        <v>221</v>
      </c>
      <c r="Y72" s="314" t="s">
        <v>221</v>
      </c>
      <c r="Z72" s="314" t="s">
        <v>221</v>
      </c>
      <c r="AA72" s="314" t="s">
        <v>221</v>
      </c>
      <c r="AB72" s="314" t="s">
        <v>221</v>
      </c>
      <c r="AC72" s="314" t="s">
        <v>221</v>
      </c>
      <c r="AD72" s="314" t="s">
        <v>221</v>
      </c>
      <c r="AE72" s="314" t="s">
        <v>221</v>
      </c>
      <c r="AF72" s="314" t="s">
        <v>221</v>
      </c>
      <c r="AG72" s="314" t="s">
        <v>221</v>
      </c>
      <c r="AH72" s="314" t="s">
        <v>221</v>
      </c>
      <c r="AI72" s="314" t="s">
        <v>221</v>
      </c>
      <c r="AJ72" s="314" t="s">
        <v>221</v>
      </c>
      <c r="AK72" s="314" t="s">
        <v>221</v>
      </c>
      <c r="AL72" s="314" t="s">
        <v>221</v>
      </c>
      <c r="AM72" s="314" t="s">
        <v>221</v>
      </c>
      <c r="AN72" s="314" t="s">
        <v>221</v>
      </c>
      <c r="AO72" s="314" t="s">
        <v>221</v>
      </c>
      <c r="AP72" s="314" t="s">
        <v>221</v>
      </c>
      <c r="AQ72" s="314" t="s">
        <v>221</v>
      </c>
      <c r="AR72" s="314" t="s">
        <v>221</v>
      </c>
      <c r="AS72" s="314" t="s">
        <v>221</v>
      </c>
      <c r="AT72" s="314" t="s">
        <v>221</v>
      </c>
      <c r="AU72" s="314" t="s">
        <v>221</v>
      </c>
      <c r="AV72" s="314" t="s">
        <v>221</v>
      </c>
      <c r="AW72" s="314" t="s">
        <v>221</v>
      </c>
      <c r="AX72" s="314" t="s">
        <v>221</v>
      </c>
      <c r="AY72" s="314" t="s">
        <v>221</v>
      </c>
      <c r="AZ72" s="314" t="s">
        <v>221</v>
      </c>
      <c r="BA72" s="314" t="s">
        <v>221</v>
      </c>
      <c r="BB72" s="314" t="s">
        <v>221</v>
      </c>
      <c r="BC72" s="314" t="s">
        <v>221</v>
      </c>
      <c r="BD72" s="314" t="s">
        <v>221</v>
      </c>
      <c r="BE72" s="314" t="s">
        <v>221</v>
      </c>
      <c r="BF72" s="314" t="s">
        <v>221</v>
      </c>
      <c r="BG72" s="314" t="s">
        <v>221</v>
      </c>
      <c r="BH72" s="314" t="s">
        <v>221</v>
      </c>
      <c r="BI72" s="314" t="s">
        <v>221</v>
      </c>
      <c r="BJ72" s="314" t="s">
        <v>221</v>
      </c>
      <c r="BK72" s="314" t="s">
        <v>221</v>
      </c>
      <c r="BL72" s="314" t="s">
        <v>221</v>
      </c>
      <c r="BM72" s="314" t="s">
        <v>221</v>
      </c>
      <c r="BN72" s="314" t="s">
        <v>221</v>
      </c>
      <c r="BO72" s="314" t="s">
        <v>221</v>
      </c>
      <c r="BP72" s="314" t="s">
        <v>221</v>
      </c>
      <c r="BQ72" s="314" t="s">
        <v>221</v>
      </c>
      <c r="BR72" s="314" t="s">
        <v>221</v>
      </c>
      <c r="BS72" s="314" t="s">
        <v>221</v>
      </c>
      <c r="BT72" s="314" t="s">
        <v>221</v>
      </c>
      <c r="BU72" s="314" t="s">
        <v>221</v>
      </c>
      <c r="BV72" s="314" t="s">
        <v>221</v>
      </c>
      <c r="BW72" s="314" t="s">
        <v>221</v>
      </c>
      <c r="BX72" s="314" t="s">
        <v>221</v>
      </c>
      <c r="BY72" s="314" t="s">
        <v>221</v>
      </c>
      <c r="BZ72" s="314" t="s">
        <v>221</v>
      </c>
      <c r="CA72" s="314" t="s">
        <v>221</v>
      </c>
      <c r="CB72" s="314" t="s">
        <v>221</v>
      </c>
      <c r="CC72" s="314" t="s">
        <v>221</v>
      </c>
      <c r="CD72" s="314" t="s">
        <v>221</v>
      </c>
      <c r="CE72" s="323"/>
    </row>
    <row r="73" spans="1:84" ht="12.65" customHeight="1">
      <c r="A73" s="311" t="s">
        <v>245</v>
      </c>
      <c r="B73" s="304"/>
      <c r="C73" s="309">
        <f>32700503</f>
        <v>32700503</v>
      </c>
      <c r="D73" s="309"/>
      <c r="E73" s="315">
        <f>12501707+209124</f>
        <v>12710831</v>
      </c>
      <c r="F73" s="315"/>
      <c r="G73" s="309"/>
      <c r="H73" s="309"/>
      <c r="I73" s="315"/>
      <c r="J73" s="315">
        <f>3631396+3820</f>
        <v>3635216</v>
      </c>
      <c r="K73" s="315"/>
      <c r="L73" s="315"/>
      <c r="M73" s="309"/>
      <c r="N73" s="309"/>
      <c r="O73" s="309">
        <f>20369337</f>
        <v>20369337</v>
      </c>
      <c r="P73" s="315">
        <f>22767555+18900249+9867145+894+145201</f>
        <v>51681044</v>
      </c>
      <c r="Q73" s="315">
        <f>5548716</f>
        <v>5548716</v>
      </c>
      <c r="R73" s="315">
        <v>3935103</v>
      </c>
      <c r="S73" s="315"/>
      <c r="T73" s="315"/>
      <c r="U73" s="315">
        <f>18463635+800360+1846857</f>
        <v>21110852</v>
      </c>
      <c r="V73" s="315"/>
      <c r="W73" s="315">
        <v>1706816</v>
      </c>
      <c r="X73" s="315">
        <f>11043444+77656</f>
        <v>11121100</v>
      </c>
      <c r="Y73" s="315">
        <f>1557283+6180776+5619+2324292+350+4175286+315612</f>
        <v>14559218</v>
      </c>
      <c r="Z73" s="315">
        <f>271768</f>
        <v>271768</v>
      </c>
      <c r="AA73" s="315">
        <f>689862</f>
        <v>689862</v>
      </c>
      <c r="AB73" s="315">
        <f>10274394+1554</f>
        <v>10275948</v>
      </c>
      <c r="AC73" s="315">
        <f>4455+3668+6246594</f>
        <v>6254717</v>
      </c>
      <c r="AD73" s="315"/>
      <c r="AE73" s="315">
        <f>1509470</f>
        <v>1509470</v>
      </c>
      <c r="AF73" s="315"/>
      <c r="AG73" s="315">
        <f>9600071</f>
        <v>9600071</v>
      </c>
      <c r="AH73" s="315"/>
      <c r="AI73" s="315">
        <f>182241+1076786</f>
        <v>1259027</v>
      </c>
      <c r="AJ73" s="315"/>
      <c r="AK73" s="315">
        <f>316968</f>
        <v>316968</v>
      </c>
      <c r="AL73" s="315">
        <f>139600</f>
        <v>139600</v>
      </c>
      <c r="AM73" s="315"/>
      <c r="AN73" s="315"/>
      <c r="AO73" s="315"/>
      <c r="AP73" s="315"/>
      <c r="AQ73" s="315"/>
      <c r="AR73" s="315"/>
      <c r="AS73" s="315"/>
      <c r="AT73" s="315"/>
      <c r="AU73" s="315"/>
      <c r="AV73" s="315">
        <f>6437</f>
        <v>6437</v>
      </c>
      <c r="AW73" s="314" t="s">
        <v>221</v>
      </c>
      <c r="AX73" s="314" t="s">
        <v>221</v>
      </c>
      <c r="AY73" s="314" t="s">
        <v>221</v>
      </c>
      <c r="AZ73" s="314" t="s">
        <v>221</v>
      </c>
      <c r="BA73" s="314" t="s">
        <v>221</v>
      </c>
      <c r="BB73" s="314" t="s">
        <v>221</v>
      </c>
      <c r="BC73" s="314" t="s">
        <v>221</v>
      </c>
      <c r="BD73" s="314" t="s">
        <v>221</v>
      </c>
      <c r="BE73" s="314" t="s">
        <v>221</v>
      </c>
      <c r="BF73" s="314" t="s">
        <v>221</v>
      </c>
      <c r="BG73" s="314" t="s">
        <v>221</v>
      </c>
      <c r="BH73" s="314" t="s">
        <v>221</v>
      </c>
      <c r="BI73" s="314" t="s">
        <v>221</v>
      </c>
      <c r="BJ73" s="314" t="s">
        <v>221</v>
      </c>
      <c r="BK73" s="314" t="s">
        <v>221</v>
      </c>
      <c r="BL73" s="314" t="s">
        <v>221</v>
      </c>
      <c r="BM73" s="314" t="s">
        <v>221</v>
      </c>
      <c r="BN73" s="314" t="s">
        <v>221</v>
      </c>
      <c r="BO73" s="314" t="s">
        <v>221</v>
      </c>
      <c r="BP73" s="314" t="s">
        <v>221</v>
      </c>
      <c r="BQ73" s="314" t="s">
        <v>221</v>
      </c>
      <c r="BR73" s="314" t="s">
        <v>221</v>
      </c>
      <c r="BS73" s="314" t="s">
        <v>221</v>
      </c>
      <c r="BT73" s="314" t="s">
        <v>221</v>
      </c>
      <c r="BU73" s="314" t="s">
        <v>221</v>
      </c>
      <c r="BV73" s="314" t="s">
        <v>221</v>
      </c>
      <c r="BW73" s="314" t="s">
        <v>221</v>
      </c>
      <c r="BX73" s="314" t="s">
        <v>221</v>
      </c>
      <c r="BY73" s="314" t="s">
        <v>221</v>
      </c>
      <c r="BZ73" s="314" t="s">
        <v>221</v>
      </c>
      <c r="CA73" s="314" t="s">
        <v>221</v>
      </c>
      <c r="CB73" s="314" t="s">
        <v>221</v>
      </c>
      <c r="CC73" s="314" t="s">
        <v>221</v>
      </c>
      <c r="CD73" s="314" t="s">
        <v>221</v>
      </c>
      <c r="CE73" s="304">
        <f t="shared" ref="CE73:CE80" si="8">SUM(C73:CD73)</f>
        <v>209402604</v>
      </c>
    </row>
    <row r="74" spans="1:84" ht="12.65" customHeight="1">
      <c r="A74" s="311" t="s">
        <v>246</v>
      </c>
      <c r="B74" s="304"/>
      <c r="C74" s="309">
        <v>1585886</v>
      </c>
      <c r="D74" s="309"/>
      <c r="E74" s="315">
        <f>1594664</f>
        <v>1594664</v>
      </c>
      <c r="F74" s="315"/>
      <c r="G74" s="309"/>
      <c r="H74" s="309"/>
      <c r="I74" s="309"/>
      <c r="J74" s="315">
        <v>2079</v>
      </c>
      <c r="K74" s="315"/>
      <c r="L74" s="315"/>
      <c r="M74" s="309"/>
      <c r="N74" s="309"/>
      <c r="O74" s="309">
        <f>1194188</f>
        <v>1194188</v>
      </c>
      <c r="P74" s="315">
        <f>35872780+13332839+8188186</f>
        <v>57393805</v>
      </c>
      <c r="Q74" s="315">
        <v>11258177</v>
      </c>
      <c r="R74" s="315">
        <v>6964154</v>
      </c>
      <c r="S74" s="315"/>
      <c r="T74" s="315"/>
      <c r="U74" s="315">
        <f>18256932+1565409+965017</f>
        <v>20787358</v>
      </c>
      <c r="V74" s="315"/>
      <c r="W74" s="315">
        <v>3718490</v>
      </c>
      <c r="X74" s="315">
        <f>33447463+24364160+5969744</f>
        <v>63781367</v>
      </c>
      <c r="Y74" s="315">
        <f>3843142+6478565+5560000+7137254+5449452+1657600</f>
        <v>30126013</v>
      </c>
      <c r="Z74" s="315">
        <f>42079429</f>
        <v>42079429</v>
      </c>
      <c r="AA74" s="315">
        <f>2136124</f>
        <v>2136124</v>
      </c>
      <c r="AB74" s="315">
        <f>7463498+829953</f>
        <v>8293451</v>
      </c>
      <c r="AC74" s="315">
        <f>520629+3193777</f>
        <v>3714406</v>
      </c>
      <c r="AD74" s="315"/>
      <c r="AE74" s="315">
        <f>2124245</f>
        <v>2124245</v>
      </c>
      <c r="AF74" s="315"/>
      <c r="AG74" s="315">
        <f>37299525</f>
        <v>37299525</v>
      </c>
      <c r="AH74" s="315"/>
      <c r="AI74" s="315">
        <f>4004660+2269212</f>
        <v>6273872</v>
      </c>
      <c r="AJ74" s="315"/>
      <c r="AK74" s="315">
        <f>266417</f>
        <v>266417</v>
      </c>
      <c r="AL74" s="315">
        <f>237022</f>
        <v>237022</v>
      </c>
      <c r="AM74" s="315"/>
      <c r="AN74" s="315"/>
      <c r="AO74" s="315"/>
      <c r="AP74" s="315"/>
      <c r="AQ74" s="315"/>
      <c r="AR74" s="315"/>
      <c r="AS74" s="315"/>
      <c r="AT74" s="315"/>
      <c r="AU74" s="315"/>
      <c r="AV74" s="315">
        <f>10932112</f>
        <v>10932112</v>
      </c>
      <c r="AW74" s="314" t="s">
        <v>221</v>
      </c>
      <c r="AX74" s="314" t="s">
        <v>221</v>
      </c>
      <c r="AY74" s="314" t="s">
        <v>221</v>
      </c>
      <c r="AZ74" s="314" t="s">
        <v>221</v>
      </c>
      <c r="BA74" s="314" t="s">
        <v>221</v>
      </c>
      <c r="BB74" s="314" t="s">
        <v>221</v>
      </c>
      <c r="BC74" s="314" t="s">
        <v>221</v>
      </c>
      <c r="BD74" s="314" t="s">
        <v>221</v>
      </c>
      <c r="BE74" s="314" t="s">
        <v>221</v>
      </c>
      <c r="BF74" s="314" t="s">
        <v>221</v>
      </c>
      <c r="BG74" s="314" t="s">
        <v>221</v>
      </c>
      <c r="BH74" s="314" t="s">
        <v>221</v>
      </c>
      <c r="BI74" s="314" t="s">
        <v>221</v>
      </c>
      <c r="BJ74" s="314" t="s">
        <v>221</v>
      </c>
      <c r="BK74" s="314" t="s">
        <v>221</v>
      </c>
      <c r="BL74" s="314" t="s">
        <v>221</v>
      </c>
      <c r="BM74" s="314" t="s">
        <v>221</v>
      </c>
      <c r="BN74" s="314" t="s">
        <v>221</v>
      </c>
      <c r="BO74" s="314" t="s">
        <v>221</v>
      </c>
      <c r="BP74" s="314" t="s">
        <v>221</v>
      </c>
      <c r="BQ74" s="314" t="s">
        <v>221</v>
      </c>
      <c r="BR74" s="314" t="s">
        <v>221</v>
      </c>
      <c r="BS74" s="314" t="s">
        <v>221</v>
      </c>
      <c r="BT74" s="314" t="s">
        <v>221</v>
      </c>
      <c r="BU74" s="314" t="s">
        <v>221</v>
      </c>
      <c r="BV74" s="314" t="s">
        <v>221</v>
      </c>
      <c r="BW74" s="314" t="s">
        <v>221</v>
      </c>
      <c r="BX74" s="314" t="s">
        <v>221</v>
      </c>
      <c r="BY74" s="314" t="s">
        <v>221</v>
      </c>
      <c r="BZ74" s="314" t="s">
        <v>221</v>
      </c>
      <c r="CA74" s="314" t="s">
        <v>221</v>
      </c>
      <c r="CB74" s="314" t="s">
        <v>221</v>
      </c>
      <c r="CC74" s="314" t="s">
        <v>221</v>
      </c>
      <c r="CD74" s="314" t="s">
        <v>221</v>
      </c>
      <c r="CE74" s="304">
        <f t="shared" si="8"/>
        <v>311762784</v>
      </c>
    </row>
    <row r="75" spans="1:84" ht="12.65" customHeight="1">
      <c r="A75" s="311" t="s">
        <v>247</v>
      </c>
      <c r="B75" s="304"/>
      <c r="C75" s="304">
        <f t="shared" ref="C75:AV75" si="9">SUM(C73:C74)</f>
        <v>34286389</v>
      </c>
      <c r="D75" s="304">
        <f t="shared" si="9"/>
        <v>0</v>
      </c>
      <c r="E75" s="304">
        <f t="shared" si="9"/>
        <v>14305495</v>
      </c>
      <c r="F75" s="304">
        <f t="shared" si="9"/>
        <v>0</v>
      </c>
      <c r="G75" s="304">
        <f t="shared" si="9"/>
        <v>0</v>
      </c>
      <c r="H75" s="304">
        <f t="shared" si="9"/>
        <v>0</v>
      </c>
      <c r="I75" s="304">
        <f t="shared" si="9"/>
        <v>0</v>
      </c>
      <c r="J75" s="304">
        <f t="shared" si="9"/>
        <v>3637295</v>
      </c>
      <c r="K75" s="304">
        <f t="shared" si="9"/>
        <v>0</v>
      </c>
      <c r="L75" s="304">
        <f t="shared" si="9"/>
        <v>0</v>
      </c>
      <c r="M75" s="304">
        <f t="shared" si="9"/>
        <v>0</v>
      </c>
      <c r="N75" s="304">
        <f t="shared" si="9"/>
        <v>0</v>
      </c>
      <c r="O75" s="304">
        <f t="shared" si="9"/>
        <v>21563525</v>
      </c>
      <c r="P75" s="304">
        <f t="shared" si="9"/>
        <v>109074849</v>
      </c>
      <c r="Q75" s="304">
        <f t="shared" si="9"/>
        <v>16806893</v>
      </c>
      <c r="R75" s="304">
        <f t="shared" si="9"/>
        <v>10899257</v>
      </c>
      <c r="S75" s="304">
        <f t="shared" si="9"/>
        <v>0</v>
      </c>
      <c r="T75" s="304">
        <f t="shared" si="9"/>
        <v>0</v>
      </c>
      <c r="U75" s="304">
        <f t="shared" si="9"/>
        <v>41898210</v>
      </c>
      <c r="V75" s="304">
        <f t="shared" si="9"/>
        <v>0</v>
      </c>
      <c r="W75" s="304">
        <f t="shared" si="9"/>
        <v>5425306</v>
      </c>
      <c r="X75" s="304">
        <f t="shared" si="9"/>
        <v>74902467</v>
      </c>
      <c r="Y75" s="304">
        <f t="shared" si="9"/>
        <v>44685231</v>
      </c>
      <c r="Z75" s="304">
        <f t="shared" si="9"/>
        <v>42351197</v>
      </c>
      <c r="AA75" s="304">
        <f t="shared" si="9"/>
        <v>2825986</v>
      </c>
      <c r="AB75" s="304">
        <f t="shared" si="9"/>
        <v>18569399</v>
      </c>
      <c r="AC75" s="304">
        <f t="shared" si="9"/>
        <v>9969123</v>
      </c>
      <c r="AD75" s="304">
        <f t="shared" si="9"/>
        <v>0</v>
      </c>
      <c r="AE75" s="304">
        <f t="shared" si="9"/>
        <v>3633715</v>
      </c>
      <c r="AF75" s="304">
        <f t="shared" si="9"/>
        <v>0</v>
      </c>
      <c r="AG75" s="304">
        <f t="shared" si="9"/>
        <v>46899596</v>
      </c>
      <c r="AH75" s="304">
        <f t="shared" si="9"/>
        <v>0</v>
      </c>
      <c r="AI75" s="304">
        <f t="shared" si="9"/>
        <v>7532899</v>
      </c>
      <c r="AJ75" s="304">
        <f t="shared" si="9"/>
        <v>0</v>
      </c>
      <c r="AK75" s="304">
        <f t="shared" si="9"/>
        <v>583385</v>
      </c>
      <c r="AL75" s="304">
        <f t="shared" si="9"/>
        <v>376622</v>
      </c>
      <c r="AM75" s="304">
        <f t="shared" si="9"/>
        <v>0</v>
      </c>
      <c r="AN75" s="304">
        <f t="shared" si="9"/>
        <v>0</v>
      </c>
      <c r="AO75" s="304">
        <f t="shared" si="9"/>
        <v>0</v>
      </c>
      <c r="AP75" s="304">
        <f t="shared" si="9"/>
        <v>0</v>
      </c>
      <c r="AQ75" s="304">
        <f t="shared" si="9"/>
        <v>0</v>
      </c>
      <c r="AR75" s="304">
        <f t="shared" si="9"/>
        <v>0</v>
      </c>
      <c r="AS75" s="304">
        <f t="shared" si="9"/>
        <v>0</v>
      </c>
      <c r="AT75" s="304">
        <f t="shared" si="9"/>
        <v>0</v>
      </c>
      <c r="AU75" s="304">
        <f t="shared" si="9"/>
        <v>0</v>
      </c>
      <c r="AV75" s="304">
        <f t="shared" si="9"/>
        <v>10938549</v>
      </c>
      <c r="AW75" s="314" t="s">
        <v>221</v>
      </c>
      <c r="AX75" s="314" t="s">
        <v>221</v>
      </c>
      <c r="AY75" s="314" t="s">
        <v>221</v>
      </c>
      <c r="AZ75" s="314" t="s">
        <v>221</v>
      </c>
      <c r="BA75" s="314" t="s">
        <v>221</v>
      </c>
      <c r="BB75" s="314" t="s">
        <v>221</v>
      </c>
      <c r="BC75" s="314" t="s">
        <v>221</v>
      </c>
      <c r="BD75" s="314" t="s">
        <v>221</v>
      </c>
      <c r="BE75" s="314" t="s">
        <v>221</v>
      </c>
      <c r="BF75" s="314" t="s">
        <v>221</v>
      </c>
      <c r="BG75" s="314" t="s">
        <v>221</v>
      </c>
      <c r="BH75" s="314" t="s">
        <v>221</v>
      </c>
      <c r="BI75" s="314" t="s">
        <v>221</v>
      </c>
      <c r="BJ75" s="314" t="s">
        <v>221</v>
      </c>
      <c r="BK75" s="314" t="s">
        <v>221</v>
      </c>
      <c r="BL75" s="314" t="s">
        <v>221</v>
      </c>
      <c r="BM75" s="314" t="s">
        <v>221</v>
      </c>
      <c r="BN75" s="314" t="s">
        <v>221</v>
      </c>
      <c r="BO75" s="314" t="s">
        <v>221</v>
      </c>
      <c r="BP75" s="314" t="s">
        <v>221</v>
      </c>
      <c r="BQ75" s="314" t="s">
        <v>221</v>
      </c>
      <c r="BR75" s="314" t="s">
        <v>221</v>
      </c>
      <c r="BS75" s="314" t="s">
        <v>221</v>
      </c>
      <c r="BT75" s="314" t="s">
        <v>221</v>
      </c>
      <c r="BU75" s="314" t="s">
        <v>221</v>
      </c>
      <c r="BV75" s="314" t="s">
        <v>221</v>
      </c>
      <c r="BW75" s="314" t="s">
        <v>221</v>
      </c>
      <c r="BX75" s="314" t="s">
        <v>221</v>
      </c>
      <c r="BY75" s="314" t="s">
        <v>221</v>
      </c>
      <c r="BZ75" s="314" t="s">
        <v>221</v>
      </c>
      <c r="CA75" s="314" t="s">
        <v>221</v>
      </c>
      <c r="CB75" s="314" t="s">
        <v>221</v>
      </c>
      <c r="CC75" s="314" t="s">
        <v>221</v>
      </c>
      <c r="CD75" s="314" t="s">
        <v>221</v>
      </c>
      <c r="CE75" s="304">
        <f t="shared" si="8"/>
        <v>521165388</v>
      </c>
    </row>
    <row r="76" spans="1:84" ht="12.65" customHeight="1">
      <c r="A76" s="311" t="s">
        <v>248</v>
      </c>
      <c r="B76" s="304"/>
      <c r="C76" s="309">
        <v>8412</v>
      </c>
      <c r="D76" s="309"/>
      <c r="E76" s="315">
        <v>11950</v>
      </c>
      <c r="F76" s="315"/>
      <c r="G76" s="309"/>
      <c r="H76" s="309"/>
      <c r="I76" s="315"/>
      <c r="J76" s="315">
        <v>713</v>
      </c>
      <c r="K76" s="315"/>
      <c r="L76" s="315"/>
      <c r="M76" s="315"/>
      <c r="N76" s="315"/>
      <c r="O76" s="315">
        <v>22555</v>
      </c>
      <c r="P76" s="315">
        <v>2259</v>
      </c>
      <c r="Q76" s="315">
        <v>2872</v>
      </c>
      <c r="R76" s="315">
        <v>343</v>
      </c>
      <c r="S76" s="315">
        <v>2887</v>
      </c>
      <c r="T76" s="315"/>
      <c r="U76" s="315">
        <v>2744</v>
      </c>
      <c r="V76" s="315"/>
      <c r="W76" s="315">
        <v>882</v>
      </c>
      <c r="X76" s="315">
        <v>5984</v>
      </c>
      <c r="Y76" s="315">
        <v>14061</v>
      </c>
      <c r="Z76" s="315">
        <v>5034</v>
      </c>
      <c r="AA76" s="315">
        <v>364</v>
      </c>
      <c r="AB76" s="315">
        <v>1258</v>
      </c>
      <c r="AC76" s="315">
        <v>4235</v>
      </c>
      <c r="AD76" s="315"/>
      <c r="AE76" s="315">
        <v>4213</v>
      </c>
      <c r="AF76" s="315"/>
      <c r="AG76" s="315">
        <v>4248</v>
      </c>
      <c r="AH76" s="315"/>
      <c r="AI76" s="315">
        <v>4979</v>
      </c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>
        <v>5479</v>
      </c>
      <c r="AZ76" s="315"/>
      <c r="BA76" s="315"/>
      <c r="BB76" s="315">
        <v>740</v>
      </c>
      <c r="BC76" s="315"/>
      <c r="BD76" s="315">
        <v>2565</v>
      </c>
      <c r="BE76" s="315">
        <v>27038</v>
      </c>
      <c r="BF76" s="315">
        <v>2289</v>
      </c>
      <c r="BG76" s="315">
        <v>337</v>
      </c>
      <c r="BH76" s="315">
        <v>752</v>
      </c>
      <c r="BI76" s="315"/>
      <c r="BJ76" s="315">
        <v>1635</v>
      </c>
      <c r="BK76" s="315"/>
      <c r="BL76" s="315">
        <v>1801</v>
      </c>
      <c r="BM76" s="315"/>
      <c r="BN76" s="315">
        <v>3875</v>
      </c>
      <c r="BO76" s="315"/>
      <c r="BP76" s="315">
        <v>729</v>
      </c>
      <c r="BQ76" s="315"/>
      <c r="BR76" s="315">
        <v>1013</v>
      </c>
      <c r="BS76" s="315">
        <v>286</v>
      </c>
      <c r="BT76" s="315"/>
      <c r="BU76" s="315">
        <v>3355</v>
      </c>
      <c r="BV76" s="315"/>
      <c r="BW76" s="315"/>
      <c r="BX76" s="315">
        <v>83</v>
      </c>
      <c r="BY76" s="315">
        <v>1165</v>
      </c>
      <c r="BZ76" s="315"/>
      <c r="CA76" s="315">
        <v>2239</v>
      </c>
      <c r="CB76" s="315"/>
      <c r="CC76" s="315"/>
      <c r="CD76" s="314" t="s">
        <v>221</v>
      </c>
      <c r="CE76" s="304">
        <f t="shared" si="8"/>
        <v>155374</v>
      </c>
      <c r="CF76" s="304">
        <f>BE59-CE76</f>
        <v>0</v>
      </c>
    </row>
    <row r="77" spans="1:84" ht="12.65" customHeight="1">
      <c r="A77" s="311" t="s">
        <v>249</v>
      </c>
      <c r="B77" s="304"/>
      <c r="C77" s="309">
        <v>18359.55</v>
      </c>
      <c r="D77" s="309"/>
      <c r="E77" s="309">
        <v>14556.97</v>
      </c>
      <c r="F77" s="309"/>
      <c r="G77" s="309"/>
      <c r="H77" s="309"/>
      <c r="I77" s="309"/>
      <c r="J77" s="309">
        <v>3040.86</v>
      </c>
      <c r="K77" s="309"/>
      <c r="L77" s="309"/>
      <c r="M77" s="309"/>
      <c r="N77" s="309"/>
      <c r="O77" s="309">
        <v>3817.63</v>
      </c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14" t="s">
        <v>221</v>
      </c>
      <c r="AY77" s="314" t="s">
        <v>221</v>
      </c>
      <c r="AZ77" s="309"/>
      <c r="BA77" s="309"/>
      <c r="BB77" s="309"/>
      <c r="BC77" s="309"/>
      <c r="BD77" s="314" t="s">
        <v>221</v>
      </c>
      <c r="BE77" s="314" t="s">
        <v>221</v>
      </c>
      <c r="BF77" s="309"/>
      <c r="BG77" s="314" t="s">
        <v>221</v>
      </c>
      <c r="BH77" s="309"/>
      <c r="BI77" s="309"/>
      <c r="BJ77" s="314" t="s">
        <v>221</v>
      </c>
      <c r="BK77" s="309"/>
      <c r="BL77" s="309"/>
      <c r="BM77" s="309"/>
      <c r="BN77" s="314" t="s">
        <v>221</v>
      </c>
      <c r="BO77" s="314" t="s">
        <v>221</v>
      </c>
      <c r="BP77" s="314" t="s">
        <v>221</v>
      </c>
      <c r="BQ77" s="314" t="s">
        <v>221</v>
      </c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14" t="s">
        <v>221</v>
      </c>
      <c r="CD77" s="314" t="s">
        <v>221</v>
      </c>
      <c r="CE77" s="304">
        <f>SUM(C77:CD77)</f>
        <v>39775.009999999995</v>
      </c>
      <c r="CF77" s="304">
        <f>AY59-CE77</f>
        <v>-9.9999999947613105E-3</v>
      </c>
    </row>
    <row r="78" spans="1:84" ht="12.65" customHeight="1">
      <c r="A78" s="311" t="s">
        <v>250</v>
      </c>
      <c r="B78" s="304"/>
      <c r="C78" s="309">
        <v>2144</v>
      </c>
      <c r="D78" s="309"/>
      <c r="E78" s="309">
        <v>3046</v>
      </c>
      <c r="F78" s="309"/>
      <c r="G78" s="309"/>
      <c r="H78" s="309"/>
      <c r="I78" s="309"/>
      <c r="J78" s="309">
        <v>182</v>
      </c>
      <c r="K78" s="309"/>
      <c r="L78" s="309"/>
      <c r="M78" s="309"/>
      <c r="N78" s="309"/>
      <c r="O78" s="309">
        <v>5749</v>
      </c>
      <c r="P78" s="309">
        <v>576</v>
      </c>
      <c r="Q78" s="309">
        <v>732</v>
      </c>
      <c r="R78" s="309">
        <v>87</v>
      </c>
      <c r="S78" s="309">
        <v>736</v>
      </c>
      <c r="T78" s="309"/>
      <c r="U78" s="309">
        <v>699</v>
      </c>
      <c r="V78" s="309"/>
      <c r="W78" s="309">
        <v>225</v>
      </c>
      <c r="X78" s="309">
        <v>1525</v>
      </c>
      <c r="Y78" s="309">
        <v>3584</v>
      </c>
      <c r="Z78" s="309">
        <v>1283</v>
      </c>
      <c r="AA78" s="309">
        <v>93</v>
      </c>
      <c r="AB78" s="309">
        <v>321</v>
      </c>
      <c r="AC78" s="309">
        <v>1079</v>
      </c>
      <c r="AD78" s="309"/>
      <c r="AE78" s="309">
        <v>1074</v>
      </c>
      <c r="AF78" s="309"/>
      <c r="AG78" s="309">
        <v>1083</v>
      </c>
      <c r="AH78" s="309"/>
      <c r="AI78" s="309">
        <v>1269</v>
      </c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>
        <f>1397+654+6892+584+86+417+988+186+258-2</f>
        <v>11460</v>
      </c>
      <c r="AW78" s="309"/>
      <c r="AX78" s="314" t="s">
        <v>221</v>
      </c>
      <c r="AY78" s="314" t="s">
        <v>221</v>
      </c>
      <c r="AZ78" s="314" t="s">
        <v>221</v>
      </c>
      <c r="BA78" s="309"/>
      <c r="BB78" s="309">
        <v>189</v>
      </c>
      <c r="BC78" s="309"/>
      <c r="BD78" s="314" t="s">
        <v>221</v>
      </c>
      <c r="BE78" s="314" t="s">
        <v>221</v>
      </c>
      <c r="BF78" s="314" t="s">
        <v>221</v>
      </c>
      <c r="BG78" s="314" t="s">
        <v>221</v>
      </c>
      <c r="BH78" s="309">
        <v>192</v>
      </c>
      <c r="BI78" s="309"/>
      <c r="BJ78" s="314" t="s">
        <v>221</v>
      </c>
      <c r="BK78" s="309"/>
      <c r="BL78" s="309">
        <v>459</v>
      </c>
      <c r="BM78" s="309"/>
      <c r="BN78" s="314" t="s">
        <v>221</v>
      </c>
      <c r="BO78" s="314" t="s">
        <v>221</v>
      </c>
      <c r="BP78" s="314" t="s">
        <v>221</v>
      </c>
      <c r="BQ78" s="314" t="s">
        <v>221</v>
      </c>
      <c r="BR78" s="314" t="s">
        <v>221</v>
      </c>
      <c r="BS78" s="309">
        <v>73</v>
      </c>
      <c r="BT78" s="309"/>
      <c r="BU78" s="309"/>
      <c r="BV78" s="309">
        <v>855</v>
      </c>
      <c r="BW78" s="309"/>
      <c r="BX78" s="309">
        <v>21</v>
      </c>
      <c r="BY78" s="309">
        <v>297</v>
      </c>
      <c r="BZ78" s="309"/>
      <c r="CA78" s="309">
        <v>571</v>
      </c>
      <c r="CB78" s="309"/>
      <c r="CC78" s="314" t="s">
        <v>221</v>
      </c>
      <c r="CD78" s="314" t="s">
        <v>221</v>
      </c>
      <c r="CE78" s="304">
        <f t="shared" si="8"/>
        <v>39604</v>
      </c>
      <c r="CF78" s="304"/>
    </row>
    <row r="79" spans="1:84" ht="12.65" customHeight="1">
      <c r="A79" s="311" t="s">
        <v>251</v>
      </c>
      <c r="B79" s="304"/>
      <c r="C79" s="324">
        <v>65369</v>
      </c>
      <c r="D79" s="324"/>
      <c r="E79" s="309">
        <v>120703</v>
      </c>
      <c r="F79" s="309"/>
      <c r="G79" s="309"/>
      <c r="H79" s="309"/>
      <c r="I79" s="309"/>
      <c r="J79" s="309">
        <v>431</v>
      </c>
      <c r="K79" s="309"/>
      <c r="L79" s="309"/>
      <c r="M79" s="309"/>
      <c r="N79" s="309"/>
      <c r="O79" s="309">
        <v>53326</v>
      </c>
      <c r="P79" s="309">
        <v>76291</v>
      </c>
      <c r="Q79" s="309"/>
      <c r="R79" s="309"/>
      <c r="S79" s="309"/>
      <c r="T79" s="309"/>
      <c r="U79" s="309">
        <v>2404</v>
      </c>
      <c r="V79" s="309"/>
      <c r="W79" s="309">
        <v>3934</v>
      </c>
      <c r="X79" s="309">
        <v>5910</v>
      </c>
      <c r="Y79" s="309">
        <v>34642</v>
      </c>
      <c r="Z79" s="309"/>
      <c r="AA79" s="309">
        <v>1164</v>
      </c>
      <c r="AB79" s="309">
        <v>10670</v>
      </c>
      <c r="AC79" s="309">
        <v>2389</v>
      </c>
      <c r="AD79" s="309"/>
      <c r="AE79" s="309">
        <v>5177</v>
      </c>
      <c r="AF79" s="309"/>
      <c r="AG79" s="309">
        <v>43803</v>
      </c>
      <c r="AH79" s="309"/>
      <c r="AI79" s="309">
        <v>31081</v>
      </c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>
        <f>1277+2</f>
        <v>1279</v>
      </c>
      <c r="AW79" s="309"/>
      <c r="AX79" s="314" t="s">
        <v>221</v>
      </c>
      <c r="AY79" s="314" t="s">
        <v>221</v>
      </c>
      <c r="AZ79" s="314" t="s">
        <v>221</v>
      </c>
      <c r="BA79" s="314" t="s">
        <v>221</v>
      </c>
      <c r="BB79" s="309"/>
      <c r="BC79" s="309"/>
      <c r="BD79" s="314" t="s">
        <v>221</v>
      </c>
      <c r="BE79" s="314" t="s">
        <v>221</v>
      </c>
      <c r="BF79" s="314" t="s">
        <v>221</v>
      </c>
      <c r="BG79" s="314" t="s">
        <v>221</v>
      </c>
      <c r="BH79" s="309"/>
      <c r="BI79" s="309"/>
      <c r="BJ79" s="314" t="s">
        <v>221</v>
      </c>
      <c r="BK79" s="309"/>
      <c r="BL79" s="309"/>
      <c r="BM79" s="309"/>
      <c r="BN79" s="314" t="s">
        <v>221</v>
      </c>
      <c r="BO79" s="314" t="s">
        <v>221</v>
      </c>
      <c r="BP79" s="314" t="s">
        <v>221</v>
      </c>
      <c r="BQ79" s="314" t="s">
        <v>221</v>
      </c>
      <c r="BR79" s="314" t="s">
        <v>221</v>
      </c>
      <c r="BS79" s="309"/>
      <c r="BT79" s="309"/>
      <c r="BU79" s="309"/>
      <c r="BV79" s="309"/>
      <c r="BW79" s="309"/>
      <c r="BX79" s="309"/>
      <c r="BY79" s="309"/>
      <c r="BZ79" s="309"/>
      <c r="CA79" s="309"/>
      <c r="CB79" s="309"/>
      <c r="CC79" s="314" t="s">
        <v>221</v>
      </c>
      <c r="CD79" s="314" t="s">
        <v>221</v>
      </c>
      <c r="CE79" s="304">
        <f t="shared" si="8"/>
        <v>458573</v>
      </c>
      <c r="CF79" s="304">
        <f>BA59</f>
        <v>0</v>
      </c>
    </row>
    <row r="80" spans="1:84" ht="21" customHeight="1">
      <c r="A80" s="311" t="s">
        <v>252</v>
      </c>
      <c r="B80" s="304"/>
      <c r="C80" s="319">
        <v>47.9</v>
      </c>
      <c r="D80" s="319"/>
      <c r="E80" s="319">
        <v>27.9</v>
      </c>
      <c r="F80" s="319"/>
      <c r="G80" s="319"/>
      <c r="H80" s="319"/>
      <c r="I80" s="319"/>
      <c r="J80" s="319"/>
      <c r="K80" s="319"/>
      <c r="L80" s="319"/>
      <c r="M80" s="319"/>
      <c r="N80" s="319">
        <v>2.62</v>
      </c>
      <c r="O80" s="319">
        <v>19.46</v>
      </c>
      <c r="P80" s="319">
        <v>12.11</v>
      </c>
      <c r="Q80" s="319">
        <v>4.1100000000000003</v>
      </c>
      <c r="R80" s="319">
        <v>1.29</v>
      </c>
      <c r="S80" s="319">
        <v>5.96</v>
      </c>
      <c r="T80" s="319"/>
      <c r="U80" s="319">
        <v>17.350000000000001</v>
      </c>
      <c r="V80" s="319"/>
      <c r="W80" s="319">
        <v>1.08</v>
      </c>
      <c r="X80" s="319">
        <v>4.7300000000000004</v>
      </c>
      <c r="Y80" s="319">
        <v>23.48</v>
      </c>
      <c r="Z80" s="319">
        <v>5</v>
      </c>
      <c r="AA80" s="319">
        <v>1.05</v>
      </c>
      <c r="AB80" s="319">
        <v>10.58</v>
      </c>
      <c r="AC80" s="319">
        <v>9.3800000000000008</v>
      </c>
      <c r="AD80" s="319"/>
      <c r="AE80" s="319">
        <v>6.23</v>
      </c>
      <c r="AF80" s="319"/>
      <c r="AG80" s="319">
        <v>19.37</v>
      </c>
      <c r="AH80" s="319"/>
      <c r="AI80" s="319">
        <v>13.65</v>
      </c>
      <c r="AJ80" s="319"/>
      <c r="AK80" s="319">
        <v>0.54</v>
      </c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>
        <f>14.02+110.69</f>
        <v>124.71</v>
      </c>
      <c r="AW80" s="314" t="s">
        <v>221</v>
      </c>
      <c r="AX80" s="314" t="s">
        <v>221</v>
      </c>
      <c r="AY80" s="314" t="s">
        <v>221</v>
      </c>
      <c r="AZ80" s="314" t="s">
        <v>221</v>
      </c>
      <c r="BA80" s="314" t="s">
        <v>221</v>
      </c>
      <c r="BB80" s="314" t="s">
        <v>221</v>
      </c>
      <c r="BC80" s="314" t="s">
        <v>221</v>
      </c>
      <c r="BD80" s="314" t="s">
        <v>221</v>
      </c>
      <c r="BE80" s="314" t="s">
        <v>221</v>
      </c>
      <c r="BF80" s="314" t="s">
        <v>221</v>
      </c>
      <c r="BG80" s="314" t="s">
        <v>221</v>
      </c>
      <c r="BH80" s="314" t="s">
        <v>221</v>
      </c>
      <c r="BI80" s="314" t="s">
        <v>221</v>
      </c>
      <c r="BJ80" s="314" t="s">
        <v>221</v>
      </c>
      <c r="BK80" s="314" t="s">
        <v>221</v>
      </c>
      <c r="BL80" s="314" t="s">
        <v>221</v>
      </c>
      <c r="BM80" s="314" t="s">
        <v>221</v>
      </c>
      <c r="BN80" s="314" t="s">
        <v>221</v>
      </c>
      <c r="BO80" s="314" t="s">
        <v>221</v>
      </c>
      <c r="BP80" s="314" t="s">
        <v>221</v>
      </c>
      <c r="BQ80" s="314" t="s">
        <v>221</v>
      </c>
      <c r="BR80" s="314" t="s">
        <v>221</v>
      </c>
      <c r="BS80" s="314" t="s">
        <v>221</v>
      </c>
      <c r="BT80" s="314" t="s">
        <v>221</v>
      </c>
      <c r="BU80" s="325"/>
      <c r="BV80" s="325"/>
      <c r="BW80" s="325"/>
      <c r="BX80" s="325"/>
      <c r="BY80" s="325"/>
      <c r="BZ80" s="325"/>
      <c r="CA80" s="325"/>
      <c r="CB80" s="325"/>
      <c r="CC80" s="314" t="s">
        <v>221</v>
      </c>
      <c r="CD80" s="314" t="s">
        <v>221</v>
      </c>
      <c r="CE80" s="326">
        <f t="shared" si="8"/>
        <v>358.5</v>
      </c>
      <c r="CF80" s="326"/>
    </row>
    <row r="81" spans="1:5" ht="12.65" customHeight="1">
      <c r="A81" s="327" t="s">
        <v>253</v>
      </c>
      <c r="B81" s="327"/>
      <c r="C81" s="327"/>
      <c r="D81" s="327"/>
      <c r="E81" s="327"/>
    </row>
    <row r="82" spans="1:5" ht="12.65" customHeight="1">
      <c r="A82" s="311" t="s">
        <v>254</v>
      </c>
      <c r="B82" s="328"/>
      <c r="C82" s="329" t="s">
        <v>1270</v>
      </c>
      <c r="D82" s="330"/>
      <c r="E82" s="304"/>
    </row>
    <row r="83" spans="1:5" ht="12.65" customHeight="1">
      <c r="A83" s="304" t="s">
        <v>255</v>
      </c>
      <c r="B83" s="328" t="s">
        <v>256</v>
      </c>
      <c r="C83" s="331" t="s">
        <v>1271</v>
      </c>
      <c r="D83" s="330"/>
      <c r="E83" s="304"/>
    </row>
    <row r="84" spans="1:5" ht="12.65" customHeight="1">
      <c r="A84" s="304" t="s">
        <v>257</v>
      </c>
      <c r="B84" s="328" t="s">
        <v>256</v>
      </c>
      <c r="C84" s="228" t="s">
        <v>1272</v>
      </c>
      <c r="D84" s="332"/>
      <c r="E84" s="204"/>
    </row>
    <row r="85" spans="1:5" ht="12.65" customHeight="1">
      <c r="A85" s="304" t="s">
        <v>1251</v>
      </c>
      <c r="B85" s="328"/>
      <c r="C85" s="268" t="s">
        <v>1273</v>
      </c>
      <c r="D85" s="332"/>
      <c r="E85" s="204"/>
    </row>
    <row r="86" spans="1:5" ht="12.65" customHeight="1">
      <c r="A86" s="304" t="s">
        <v>1252</v>
      </c>
      <c r="B86" s="328" t="s">
        <v>256</v>
      </c>
      <c r="C86" s="229"/>
      <c r="D86" s="332"/>
      <c r="E86" s="204"/>
    </row>
    <row r="87" spans="1:5" ht="12.65" customHeight="1">
      <c r="A87" s="304" t="s">
        <v>258</v>
      </c>
      <c r="B87" s="328" t="s">
        <v>256</v>
      </c>
      <c r="C87" s="228" t="s">
        <v>1274</v>
      </c>
      <c r="D87" s="332"/>
      <c r="E87" s="204"/>
    </row>
    <row r="88" spans="1:5" ht="12.65" customHeight="1">
      <c r="A88" s="304" t="s">
        <v>259</v>
      </c>
      <c r="B88" s="328" t="s">
        <v>256</v>
      </c>
      <c r="C88" s="228" t="s">
        <v>1275</v>
      </c>
      <c r="D88" s="332"/>
      <c r="E88" s="204"/>
    </row>
    <row r="89" spans="1:5" ht="12.65" customHeight="1">
      <c r="A89" s="304" t="s">
        <v>260</v>
      </c>
      <c r="B89" s="328" t="s">
        <v>256</v>
      </c>
      <c r="C89" s="228"/>
      <c r="D89" s="332"/>
      <c r="E89" s="204"/>
    </row>
    <row r="90" spans="1:5" ht="12.65" customHeight="1">
      <c r="A90" s="304" t="s">
        <v>261</v>
      </c>
      <c r="B90" s="328" t="s">
        <v>256</v>
      </c>
      <c r="C90" s="228" t="s">
        <v>1276</v>
      </c>
      <c r="D90" s="332"/>
      <c r="E90" s="204"/>
    </row>
    <row r="91" spans="1:5" ht="12.65" customHeight="1">
      <c r="A91" s="304" t="s">
        <v>262</v>
      </c>
      <c r="B91" s="328" t="s">
        <v>256</v>
      </c>
      <c r="C91" s="228" t="s">
        <v>1277</v>
      </c>
      <c r="D91" s="332"/>
      <c r="E91" s="204"/>
    </row>
    <row r="92" spans="1:5" ht="12.65" customHeight="1">
      <c r="A92" s="304" t="s">
        <v>263</v>
      </c>
      <c r="B92" s="328" t="s">
        <v>256</v>
      </c>
      <c r="C92" s="333" t="s">
        <v>1278</v>
      </c>
      <c r="D92" s="330"/>
      <c r="E92" s="304"/>
    </row>
    <row r="93" spans="1:5" ht="12.65" customHeight="1">
      <c r="A93" s="304" t="s">
        <v>264</v>
      </c>
      <c r="B93" s="328" t="s">
        <v>256</v>
      </c>
      <c r="C93" s="334" t="s">
        <v>1279</v>
      </c>
      <c r="D93" s="330"/>
      <c r="E93" s="304"/>
    </row>
    <row r="94" spans="1:5" ht="12.65" customHeight="1">
      <c r="A94" s="304"/>
      <c r="B94" s="304"/>
      <c r="C94" s="312"/>
      <c r="D94" s="304"/>
      <c r="E94" s="304"/>
    </row>
    <row r="95" spans="1:5" ht="12.65" customHeight="1">
      <c r="A95" s="327" t="s">
        <v>265</v>
      </c>
      <c r="B95" s="327"/>
      <c r="C95" s="327"/>
      <c r="D95" s="327"/>
      <c r="E95" s="327"/>
    </row>
    <row r="96" spans="1:5" ht="12.65" customHeight="1">
      <c r="A96" s="335" t="s">
        <v>266</v>
      </c>
      <c r="B96" s="335"/>
      <c r="C96" s="335"/>
      <c r="D96" s="335"/>
      <c r="E96" s="335"/>
    </row>
    <row r="97" spans="1:5" ht="12.65" customHeight="1">
      <c r="A97" s="304" t="s">
        <v>267</v>
      </c>
      <c r="B97" s="328" t="s">
        <v>256</v>
      </c>
      <c r="C97" s="336">
        <v>0</v>
      </c>
      <c r="D97" s="304"/>
      <c r="E97" s="304"/>
    </row>
    <row r="98" spans="1:5" ht="12.65" customHeight="1">
      <c r="A98" s="304" t="s">
        <v>259</v>
      </c>
      <c r="B98" s="328" t="s">
        <v>256</v>
      </c>
      <c r="C98" s="336">
        <v>0</v>
      </c>
      <c r="D98" s="304"/>
      <c r="E98" s="304"/>
    </row>
    <row r="99" spans="1:5" ht="12.65" customHeight="1">
      <c r="A99" s="304" t="s">
        <v>268</v>
      </c>
      <c r="B99" s="328" t="s">
        <v>256</v>
      </c>
      <c r="C99" s="336">
        <v>0</v>
      </c>
      <c r="D99" s="304"/>
      <c r="E99" s="304"/>
    </row>
    <row r="100" spans="1:5" ht="12.65" customHeight="1">
      <c r="A100" s="335" t="s">
        <v>269</v>
      </c>
      <c r="B100" s="335"/>
      <c r="C100" s="335"/>
      <c r="D100" s="335"/>
      <c r="E100" s="335"/>
    </row>
    <row r="101" spans="1:5" ht="12.65" customHeight="1">
      <c r="A101" s="304" t="s">
        <v>270</v>
      </c>
      <c r="B101" s="328" t="s">
        <v>256</v>
      </c>
      <c r="C101" s="336">
        <v>0</v>
      </c>
      <c r="D101" s="304"/>
      <c r="E101" s="304"/>
    </row>
    <row r="102" spans="1:5" ht="12.65" customHeight="1">
      <c r="A102" s="304" t="s">
        <v>132</v>
      </c>
      <c r="B102" s="328" t="s">
        <v>256</v>
      </c>
      <c r="C102" s="337">
        <v>0</v>
      </c>
      <c r="D102" s="304"/>
      <c r="E102" s="304"/>
    </row>
    <row r="103" spans="1:5" ht="12.65" customHeight="1">
      <c r="A103" s="335" t="s">
        <v>271</v>
      </c>
      <c r="B103" s="335"/>
      <c r="C103" s="335"/>
      <c r="D103" s="335"/>
      <c r="E103" s="335"/>
    </row>
    <row r="104" spans="1:5" ht="12.65" customHeight="1">
      <c r="A104" s="304" t="s">
        <v>272</v>
      </c>
      <c r="B104" s="328" t="s">
        <v>256</v>
      </c>
      <c r="C104" s="336">
        <v>0</v>
      </c>
      <c r="D104" s="304"/>
      <c r="E104" s="304"/>
    </row>
    <row r="105" spans="1:5" ht="12.65" customHeight="1">
      <c r="A105" s="304" t="s">
        <v>273</v>
      </c>
      <c r="B105" s="328" t="s">
        <v>256</v>
      </c>
      <c r="C105" s="336">
        <v>0</v>
      </c>
      <c r="D105" s="304"/>
      <c r="E105" s="304"/>
    </row>
    <row r="106" spans="1:5" ht="12.65" customHeight="1">
      <c r="A106" s="304" t="s">
        <v>274</v>
      </c>
      <c r="B106" s="328" t="s">
        <v>256</v>
      </c>
      <c r="C106" s="336">
        <v>0</v>
      </c>
      <c r="D106" s="304"/>
      <c r="E106" s="304"/>
    </row>
    <row r="107" spans="1:5" ht="21.75" customHeight="1">
      <c r="A107" s="304"/>
      <c r="B107" s="328"/>
      <c r="C107" s="338"/>
      <c r="D107" s="304"/>
      <c r="E107" s="304"/>
    </row>
    <row r="108" spans="1:5" ht="13.5" customHeight="1">
      <c r="A108" s="339" t="s">
        <v>275</v>
      </c>
      <c r="B108" s="327"/>
      <c r="C108" s="327"/>
      <c r="D108" s="327"/>
      <c r="E108" s="327"/>
    </row>
    <row r="109" spans="1:5" ht="13.5" customHeight="1">
      <c r="A109" s="304"/>
      <c r="B109" s="328"/>
      <c r="C109" s="338"/>
      <c r="D109" s="304"/>
      <c r="E109" s="304"/>
    </row>
    <row r="110" spans="1:5" ht="12.65" customHeight="1">
      <c r="A110" s="311" t="s">
        <v>276</v>
      </c>
      <c r="B110" s="304"/>
      <c r="C110" s="305" t="s">
        <v>277</v>
      </c>
      <c r="D110" s="306" t="s">
        <v>215</v>
      </c>
      <c r="E110" s="304"/>
    </row>
    <row r="111" spans="1:5" ht="12.65" customHeight="1">
      <c r="A111" s="304" t="s">
        <v>278</v>
      </c>
      <c r="B111" s="328" t="s">
        <v>256</v>
      </c>
      <c r="C111" s="336">
        <v>3464</v>
      </c>
      <c r="D111" s="340">
        <v>12201</v>
      </c>
      <c r="E111" s="304"/>
    </row>
    <row r="112" spans="1:5" ht="12.65" customHeight="1">
      <c r="A112" s="304" t="s">
        <v>279</v>
      </c>
      <c r="B112" s="328" t="s">
        <v>256</v>
      </c>
      <c r="C112" s="336">
        <v>0</v>
      </c>
      <c r="D112" s="340">
        <v>0</v>
      </c>
      <c r="E112" s="304"/>
    </row>
    <row r="113" spans="1:5" ht="12.65" customHeight="1">
      <c r="A113" s="304" t="s">
        <v>280</v>
      </c>
      <c r="B113" s="328" t="s">
        <v>256</v>
      </c>
      <c r="C113" s="336">
        <v>0</v>
      </c>
      <c r="D113" s="340">
        <v>0</v>
      </c>
      <c r="E113" s="304"/>
    </row>
    <row r="114" spans="1:5" ht="12.65" customHeight="1">
      <c r="A114" s="304" t="s">
        <v>281</v>
      </c>
      <c r="B114" s="328" t="s">
        <v>256</v>
      </c>
      <c r="C114" s="336">
        <v>647</v>
      </c>
      <c r="D114" s="340">
        <v>1010</v>
      </c>
      <c r="E114" s="304"/>
    </row>
    <row r="115" spans="1:5" ht="12.65" customHeight="1">
      <c r="A115" s="311" t="s">
        <v>282</v>
      </c>
      <c r="B115" s="304"/>
      <c r="C115" s="305" t="s">
        <v>167</v>
      </c>
      <c r="D115" s="304"/>
      <c r="E115" s="304"/>
    </row>
    <row r="116" spans="1:5" ht="12.65" customHeight="1">
      <c r="A116" s="304" t="s">
        <v>283</v>
      </c>
      <c r="B116" s="328" t="s">
        <v>256</v>
      </c>
      <c r="C116" s="336">
        <v>10</v>
      </c>
      <c r="D116" s="304"/>
      <c r="E116" s="304"/>
    </row>
    <row r="117" spans="1:5" ht="12.65" customHeight="1">
      <c r="A117" s="304" t="s">
        <v>284</v>
      </c>
      <c r="B117" s="328" t="s">
        <v>256</v>
      </c>
      <c r="C117" s="336">
        <v>22</v>
      </c>
      <c r="D117" s="304"/>
      <c r="E117" s="304"/>
    </row>
    <row r="118" spans="1:5" ht="12.65" customHeight="1">
      <c r="A118" s="304" t="s">
        <v>1239</v>
      </c>
      <c r="B118" s="328" t="s">
        <v>256</v>
      </c>
      <c r="C118" s="336">
        <v>41</v>
      </c>
      <c r="D118" s="304"/>
      <c r="E118" s="304"/>
    </row>
    <row r="119" spans="1:5" ht="12.65" customHeight="1">
      <c r="A119" s="304" t="s">
        <v>285</v>
      </c>
      <c r="B119" s="328" t="s">
        <v>256</v>
      </c>
      <c r="C119" s="336">
        <v>0</v>
      </c>
      <c r="D119" s="304"/>
      <c r="E119" s="304"/>
    </row>
    <row r="120" spans="1:5" ht="12.65" customHeight="1">
      <c r="A120" s="304" t="s">
        <v>286</v>
      </c>
      <c r="B120" s="328" t="s">
        <v>256</v>
      </c>
      <c r="C120" s="336">
        <v>15</v>
      </c>
      <c r="D120" s="304"/>
      <c r="E120" s="304"/>
    </row>
    <row r="121" spans="1:5" ht="12.65" customHeight="1">
      <c r="A121" s="304" t="s">
        <v>287</v>
      </c>
      <c r="B121" s="328" t="s">
        <v>256</v>
      </c>
      <c r="C121" s="336">
        <v>0</v>
      </c>
      <c r="D121" s="304"/>
      <c r="E121" s="304"/>
    </row>
    <row r="122" spans="1:5" ht="12.65" customHeight="1">
      <c r="A122" s="304" t="s">
        <v>97</v>
      </c>
      <c r="B122" s="328" t="s">
        <v>256</v>
      </c>
      <c r="C122" s="336">
        <v>0</v>
      </c>
      <c r="D122" s="304"/>
      <c r="E122" s="304"/>
    </row>
    <row r="123" spans="1:5" ht="12.65" customHeight="1">
      <c r="A123" s="304" t="s">
        <v>288</v>
      </c>
      <c r="B123" s="328" t="s">
        <v>256</v>
      </c>
      <c r="C123" s="336">
        <v>0</v>
      </c>
      <c r="D123" s="304"/>
      <c r="E123" s="304"/>
    </row>
    <row r="124" spans="1:5" ht="12.65" customHeight="1">
      <c r="A124" s="304" t="s">
        <v>289</v>
      </c>
      <c r="B124" s="328"/>
      <c r="C124" s="336">
        <v>0</v>
      </c>
      <c r="D124" s="304"/>
      <c r="E124" s="304"/>
    </row>
    <row r="125" spans="1:5" ht="12.65" customHeight="1">
      <c r="A125" s="304" t="s">
        <v>280</v>
      </c>
      <c r="B125" s="328" t="s">
        <v>256</v>
      </c>
      <c r="C125" s="336">
        <v>0</v>
      </c>
      <c r="D125" s="304"/>
      <c r="E125" s="304"/>
    </row>
    <row r="126" spans="1:5" ht="12.65" customHeight="1">
      <c r="A126" s="304" t="s">
        <v>290</v>
      </c>
      <c r="B126" s="328" t="s">
        <v>256</v>
      </c>
      <c r="C126" s="336">
        <v>0</v>
      </c>
      <c r="D126" s="304"/>
      <c r="E126" s="304"/>
    </row>
    <row r="127" spans="1:5" ht="12.65" customHeight="1">
      <c r="A127" s="304" t="s">
        <v>291</v>
      </c>
      <c r="B127" s="304"/>
      <c r="C127" s="312"/>
      <c r="D127" s="304"/>
      <c r="E127" s="304">
        <f>SUM(C116:C126)</f>
        <v>88</v>
      </c>
    </row>
    <row r="128" spans="1:5" ht="12.65" customHeight="1">
      <c r="A128" s="304" t="s">
        <v>292</v>
      </c>
      <c r="B128" s="328" t="s">
        <v>256</v>
      </c>
      <c r="C128" s="336">
        <v>107</v>
      </c>
      <c r="D128" s="304"/>
      <c r="E128" s="304"/>
    </row>
    <row r="129" spans="1:6" ht="12.65" customHeight="1">
      <c r="A129" s="304" t="s">
        <v>293</v>
      </c>
      <c r="B129" s="328" t="s">
        <v>256</v>
      </c>
      <c r="C129" s="336">
        <v>7</v>
      </c>
      <c r="D129" s="304"/>
      <c r="E129" s="304"/>
    </row>
    <row r="130" spans="1:6" ht="12.65" customHeight="1">
      <c r="A130" s="304"/>
      <c r="B130" s="304"/>
      <c r="C130" s="312"/>
      <c r="D130" s="304"/>
      <c r="E130" s="304"/>
    </row>
    <row r="131" spans="1:6" ht="12.65" customHeight="1">
      <c r="A131" s="304" t="s">
        <v>294</v>
      </c>
      <c r="B131" s="328" t="s">
        <v>256</v>
      </c>
      <c r="C131" s="336">
        <v>0</v>
      </c>
      <c r="D131" s="304"/>
      <c r="E131" s="304"/>
    </row>
    <row r="132" spans="1:6" ht="12.65" customHeight="1">
      <c r="A132" s="304"/>
      <c r="B132" s="304"/>
      <c r="C132" s="312"/>
      <c r="D132" s="304"/>
      <c r="E132" s="304"/>
    </row>
    <row r="133" spans="1:6" ht="12.65" customHeight="1">
      <c r="A133" s="304"/>
      <c r="B133" s="304"/>
      <c r="C133" s="312"/>
      <c r="D133" s="304"/>
      <c r="E133" s="304"/>
    </row>
    <row r="134" spans="1:6" ht="12.65" customHeight="1">
      <c r="A134" s="304"/>
      <c r="B134" s="304"/>
      <c r="C134" s="312"/>
      <c r="D134" s="304"/>
      <c r="E134" s="304"/>
    </row>
    <row r="135" spans="1:6" ht="18" customHeight="1">
      <c r="A135" s="304"/>
      <c r="B135" s="304"/>
      <c r="C135" s="312"/>
      <c r="D135" s="304"/>
      <c r="E135" s="304"/>
    </row>
    <row r="136" spans="1:6" ht="12.65" customHeight="1">
      <c r="A136" s="327" t="s">
        <v>1240</v>
      </c>
      <c r="B136" s="339"/>
      <c r="C136" s="339"/>
      <c r="D136" s="339"/>
      <c r="E136" s="339"/>
    </row>
    <row r="137" spans="1:6" ht="12.65" customHeight="1">
      <c r="A137" s="341" t="s">
        <v>295</v>
      </c>
      <c r="B137" s="342" t="s">
        <v>296</v>
      </c>
      <c r="C137" s="343" t="s">
        <v>297</v>
      </c>
      <c r="D137" s="342" t="s">
        <v>132</v>
      </c>
      <c r="E137" s="342" t="s">
        <v>203</v>
      </c>
    </row>
    <row r="138" spans="1:6" ht="12.65" customHeight="1">
      <c r="A138" s="304" t="s">
        <v>277</v>
      </c>
      <c r="B138" s="340">
        <v>1173</v>
      </c>
      <c r="C138" s="336">
        <v>89</v>
      </c>
      <c r="D138" s="340">
        <f>3464-C138-B138</f>
        <v>2202</v>
      </c>
      <c r="E138" s="304">
        <f>SUM(B138:D138)</f>
        <v>3464</v>
      </c>
    </row>
    <row r="139" spans="1:6" ht="12.65" customHeight="1">
      <c r="A139" s="304" t="s">
        <v>215</v>
      </c>
      <c r="B139" s="340">
        <v>5003</v>
      </c>
      <c r="C139" s="336">
        <v>233</v>
      </c>
      <c r="D139" s="340">
        <f>12201-C139-B139</f>
        <v>6965</v>
      </c>
      <c r="E139" s="304">
        <f>SUM(B139:D139)</f>
        <v>12201</v>
      </c>
    </row>
    <row r="140" spans="1:6" ht="12.65" customHeight="1">
      <c r="A140" s="304" t="s">
        <v>298</v>
      </c>
      <c r="B140" s="340">
        <v>20073</v>
      </c>
      <c r="C140" s="340">
        <v>737</v>
      </c>
      <c r="D140" s="340">
        <f>61900-C140-B140</f>
        <v>41090</v>
      </c>
      <c r="E140" s="304">
        <f>SUM(B140:D140)</f>
        <v>61900</v>
      </c>
    </row>
    <row r="141" spans="1:6" ht="12.65" customHeight="1">
      <c r="A141" s="304" t="s">
        <v>245</v>
      </c>
      <c r="B141" s="340">
        <v>81850848</v>
      </c>
      <c r="C141" s="336">
        <v>3666972</v>
      </c>
      <c r="D141" s="340">
        <f>209402602-C141-B141</f>
        <v>123884782</v>
      </c>
      <c r="E141" s="304">
        <f>SUM(B141:D141)</f>
        <v>209402602</v>
      </c>
      <c r="F141" s="290"/>
    </row>
    <row r="142" spans="1:6" ht="12.65" customHeight="1">
      <c r="A142" s="304" t="s">
        <v>246</v>
      </c>
      <c r="B142" s="340">
        <v>100321065</v>
      </c>
      <c r="C142" s="336">
        <v>4065600</v>
      </c>
      <c r="D142" s="340">
        <f>311784612-C142-B142</f>
        <v>207397947</v>
      </c>
      <c r="E142" s="304">
        <f>SUM(B142:D142)</f>
        <v>311784612</v>
      </c>
      <c r="F142" s="290"/>
    </row>
    <row r="143" spans="1:6" ht="12.65" customHeight="1">
      <c r="A143" s="341" t="s">
        <v>299</v>
      </c>
      <c r="B143" s="342" t="s">
        <v>296</v>
      </c>
      <c r="C143" s="343" t="s">
        <v>297</v>
      </c>
      <c r="D143" s="342" t="s">
        <v>132</v>
      </c>
      <c r="E143" s="342" t="s">
        <v>203</v>
      </c>
    </row>
    <row r="144" spans="1:6" ht="12.65" customHeight="1">
      <c r="A144" s="304" t="s">
        <v>277</v>
      </c>
      <c r="B144" s="340">
        <v>0</v>
      </c>
      <c r="C144" s="336">
        <v>0</v>
      </c>
      <c r="D144" s="340">
        <v>0</v>
      </c>
      <c r="E144" s="304">
        <f>SUM(B144:D144)</f>
        <v>0</v>
      </c>
    </row>
    <row r="145" spans="1:5" ht="12.65" customHeight="1">
      <c r="A145" s="304" t="s">
        <v>215</v>
      </c>
      <c r="B145" s="340">
        <v>0</v>
      </c>
      <c r="C145" s="336">
        <v>0</v>
      </c>
      <c r="D145" s="340">
        <v>0</v>
      </c>
      <c r="E145" s="304">
        <f>SUM(B145:D145)</f>
        <v>0</v>
      </c>
    </row>
    <row r="146" spans="1:5" ht="12.65" customHeight="1">
      <c r="A146" s="304" t="s">
        <v>298</v>
      </c>
      <c r="B146" s="340">
        <v>0</v>
      </c>
      <c r="C146" s="336">
        <v>0</v>
      </c>
      <c r="D146" s="340">
        <v>0</v>
      </c>
      <c r="E146" s="304">
        <f>SUM(B146:D146)</f>
        <v>0</v>
      </c>
    </row>
    <row r="147" spans="1:5" ht="12.65" customHeight="1">
      <c r="A147" s="304" t="s">
        <v>245</v>
      </c>
      <c r="B147" s="340">
        <v>0</v>
      </c>
      <c r="C147" s="336">
        <v>0</v>
      </c>
      <c r="D147" s="340">
        <v>0</v>
      </c>
      <c r="E147" s="304">
        <f>SUM(B147:D147)</f>
        <v>0</v>
      </c>
    </row>
    <row r="148" spans="1:5" ht="12.65" customHeight="1">
      <c r="A148" s="304" t="s">
        <v>246</v>
      </c>
      <c r="B148" s="340">
        <v>0</v>
      </c>
      <c r="C148" s="336">
        <v>0</v>
      </c>
      <c r="D148" s="340">
        <v>0</v>
      </c>
      <c r="E148" s="304">
        <f>SUM(B148:D148)</f>
        <v>0</v>
      </c>
    </row>
    <row r="149" spans="1:5" ht="12.65" customHeight="1">
      <c r="A149" s="341" t="s">
        <v>300</v>
      </c>
      <c r="B149" s="342" t="s">
        <v>296</v>
      </c>
      <c r="C149" s="343" t="s">
        <v>297</v>
      </c>
      <c r="D149" s="342" t="s">
        <v>132</v>
      </c>
      <c r="E149" s="342" t="s">
        <v>203</v>
      </c>
    </row>
    <row r="150" spans="1:5" ht="12.65" customHeight="1">
      <c r="A150" s="304" t="s">
        <v>277</v>
      </c>
      <c r="B150" s="340">
        <v>0</v>
      </c>
      <c r="C150" s="336">
        <v>0</v>
      </c>
      <c r="D150" s="340">
        <v>0</v>
      </c>
      <c r="E150" s="304">
        <f>SUM(B150:D150)</f>
        <v>0</v>
      </c>
    </row>
    <row r="151" spans="1:5" ht="12.65" customHeight="1">
      <c r="A151" s="304" t="s">
        <v>215</v>
      </c>
      <c r="B151" s="340">
        <v>0</v>
      </c>
      <c r="C151" s="336">
        <v>0</v>
      </c>
      <c r="D151" s="340">
        <v>0</v>
      </c>
      <c r="E151" s="304">
        <f>SUM(B151:D151)</f>
        <v>0</v>
      </c>
    </row>
    <row r="152" spans="1:5" ht="12.65" customHeight="1">
      <c r="A152" s="304" t="s">
        <v>298</v>
      </c>
      <c r="B152" s="340">
        <v>0</v>
      </c>
      <c r="C152" s="336">
        <v>0</v>
      </c>
      <c r="D152" s="340">
        <v>0</v>
      </c>
      <c r="E152" s="304">
        <f>SUM(B152:D152)</f>
        <v>0</v>
      </c>
    </row>
    <row r="153" spans="1:5" ht="12.65" customHeight="1">
      <c r="A153" s="304" t="s">
        <v>245</v>
      </c>
      <c r="B153" s="340">
        <v>0</v>
      </c>
      <c r="C153" s="336">
        <v>0</v>
      </c>
      <c r="D153" s="340">
        <v>0</v>
      </c>
      <c r="E153" s="304">
        <f>SUM(B153:D153)</f>
        <v>0</v>
      </c>
    </row>
    <row r="154" spans="1:5" ht="12.65" customHeight="1">
      <c r="A154" s="304" t="s">
        <v>246</v>
      </c>
      <c r="B154" s="340">
        <v>0</v>
      </c>
      <c r="C154" s="336">
        <v>0</v>
      </c>
      <c r="D154" s="340">
        <v>0</v>
      </c>
      <c r="E154" s="304">
        <f>SUM(B154:D154)</f>
        <v>0</v>
      </c>
    </row>
    <row r="155" spans="1:5" ht="12.65" customHeight="1">
      <c r="A155" s="310"/>
      <c r="B155" s="310"/>
      <c r="C155" s="344"/>
      <c r="D155" s="345"/>
      <c r="E155" s="304"/>
    </row>
    <row r="156" spans="1:5" ht="12.65" customHeight="1">
      <c r="A156" s="341" t="s">
        <v>301</v>
      </c>
      <c r="B156" s="342" t="s">
        <v>302</v>
      </c>
      <c r="C156" s="343" t="s">
        <v>303</v>
      </c>
      <c r="D156" s="304"/>
      <c r="E156" s="304"/>
    </row>
    <row r="157" spans="1:5" ht="12.65" customHeight="1">
      <c r="A157" s="310" t="s">
        <v>304</v>
      </c>
      <c r="B157" s="340">
        <v>0</v>
      </c>
      <c r="C157" s="340">
        <v>0</v>
      </c>
      <c r="D157" s="304"/>
      <c r="E157" s="304"/>
    </row>
    <row r="158" spans="1:5" ht="12.65" customHeight="1">
      <c r="A158" s="310"/>
      <c r="B158" s="345"/>
      <c r="C158" s="344"/>
      <c r="D158" s="304"/>
      <c r="E158" s="304"/>
    </row>
    <row r="159" spans="1:5" ht="12.65" customHeight="1">
      <c r="A159" s="310"/>
      <c r="B159" s="310"/>
      <c r="C159" s="344"/>
      <c r="D159" s="345"/>
      <c r="E159" s="304"/>
    </row>
    <row r="160" spans="1:5" ht="12.65" customHeight="1">
      <c r="A160" s="310"/>
      <c r="B160" s="310"/>
      <c r="C160" s="344"/>
      <c r="D160" s="345"/>
      <c r="E160" s="304"/>
    </row>
    <row r="161" spans="1:5" ht="12.65" customHeight="1">
      <c r="A161" s="310"/>
      <c r="B161" s="310"/>
      <c r="C161" s="344"/>
      <c r="D161" s="345"/>
      <c r="E161" s="304"/>
    </row>
    <row r="162" spans="1:5" ht="21.75" customHeight="1">
      <c r="A162" s="310"/>
      <c r="B162" s="310"/>
      <c r="C162" s="344"/>
      <c r="D162" s="345"/>
      <c r="E162" s="304"/>
    </row>
    <row r="163" spans="1:5" ht="11.5" customHeight="1">
      <c r="A163" s="339" t="s">
        <v>305</v>
      </c>
      <c r="B163" s="327"/>
      <c r="C163" s="327"/>
      <c r="D163" s="327"/>
      <c r="E163" s="327"/>
    </row>
    <row r="164" spans="1:5" ht="11.5" customHeight="1">
      <c r="A164" s="335" t="s">
        <v>306</v>
      </c>
      <c r="B164" s="335"/>
      <c r="C164" s="335"/>
      <c r="D164" s="335"/>
      <c r="E164" s="335"/>
    </row>
    <row r="165" spans="1:5" ht="11.5" customHeight="1">
      <c r="A165" s="304" t="s">
        <v>307</v>
      </c>
      <c r="B165" s="328" t="s">
        <v>256</v>
      </c>
      <c r="C165" s="336">
        <f>2729895-34515-145885</f>
        <v>2549495</v>
      </c>
      <c r="D165" s="304"/>
      <c r="E165" s="304"/>
    </row>
    <row r="166" spans="1:5" ht="11.5" customHeight="1">
      <c r="A166" s="304" t="s">
        <v>308</v>
      </c>
      <c r="B166" s="328" t="s">
        <v>256</v>
      </c>
      <c r="C166" s="336">
        <f>34515+145885</f>
        <v>180400</v>
      </c>
      <c r="D166" s="304"/>
      <c r="E166" s="304"/>
    </row>
    <row r="167" spans="1:5" ht="11.5" customHeight="1">
      <c r="A167" s="310" t="s">
        <v>309</v>
      </c>
      <c r="B167" s="328" t="s">
        <v>256</v>
      </c>
      <c r="C167" s="336">
        <v>389751</v>
      </c>
      <c r="D167" s="304"/>
      <c r="E167" s="304"/>
    </row>
    <row r="168" spans="1:5" ht="11.5" customHeight="1">
      <c r="A168" s="304" t="s">
        <v>310</v>
      </c>
      <c r="B168" s="328" t="s">
        <v>256</v>
      </c>
      <c r="C168" s="336">
        <f>48962+2947195</f>
        <v>2996157</v>
      </c>
      <c r="D168" s="304"/>
      <c r="E168" s="304"/>
    </row>
    <row r="169" spans="1:5" ht="11.5" customHeight="1">
      <c r="A169" s="304" t="s">
        <v>311</v>
      </c>
      <c r="B169" s="328" t="s">
        <v>256</v>
      </c>
      <c r="C169" s="336">
        <f>-6427-3221</f>
        <v>-9648</v>
      </c>
      <c r="D169" s="304"/>
      <c r="E169" s="304"/>
    </row>
    <row r="170" spans="1:5" ht="11.5" customHeight="1">
      <c r="A170" s="304" t="s">
        <v>312</v>
      </c>
      <c r="B170" s="328" t="s">
        <v>256</v>
      </c>
      <c r="C170" s="336">
        <v>0</v>
      </c>
      <c r="D170" s="304"/>
      <c r="E170" s="304"/>
    </row>
    <row r="171" spans="1:5" ht="11.5" customHeight="1">
      <c r="A171" s="304" t="s">
        <v>313</v>
      </c>
      <c r="B171" s="328" t="s">
        <v>256</v>
      </c>
      <c r="C171" s="336">
        <v>0</v>
      </c>
      <c r="D171" s="304"/>
      <c r="E171" s="304"/>
    </row>
    <row r="172" spans="1:5" ht="11.5" customHeight="1">
      <c r="A172" s="304" t="s">
        <v>313</v>
      </c>
      <c r="B172" s="328" t="s">
        <v>256</v>
      </c>
      <c r="C172" s="336">
        <f>-984+39864+42441-1205+25-51798+13754+403008-2500</f>
        <v>442605</v>
      </c>
      <c r="D172" s="304"/>
      <c r="E172" s="304"/>
    </row>
    <row r="173" spans="1:5" ht="11.5" customHeight="1">
      <c r="A173" s="304" t="s">
        <v>203</v>
      </c>
      <c r="B173" s="304"/>
      <c r="C173" s="312"/>
      <c r="D173" s="304">
        <f>SUM(C165:C172)</f>
        <v>6548760</v>
      </c>
      <c r="E173" s="304"/>
    </row>
    <row r="174" spans="1:5" ht="11.5" customHeight="1">
      <c r="A174" s="335" t="s">
        <v>314</v>
      </c>
      <c r="B174" s="335"/>
      <c r="C174" s="335"/>
      <c r="D174" s="335"/>
      <c r="E174" s="335"/>
    </row>
    <row r="175" spans="1:5" ht="11.5" customHeight="1">
      <c r="A175" s="304" t="s">
        <v>315</v>
      </c>
      <c r="B175" s="328" t="s">
        <v>256</v>
      </c>
      <c r="C175" s="336">
        <f>88970+616952</f>
        <v>705922</v>
      </c>
      <c r="D175" s="304"/>
      <c r="E175" s="304"/>
    </row>
    <row r="176" spans="1:5" ht="11.5" customHeight="1">
      <c r="A176" s="304" t="s">
        <v>316</v>
      </c>
      <c r="B176" s="328" t="s">
        <v>256</v>
      </c>
      <c r="C176" s="336">
        <f>3187050-C175</f>
        <v>2481128</v>
      </c>
      <c r="D176" s="304"/>
      <c r="E176" s="304"/>
    </row>
    <row r="177" spans="1:5" ht="11.5" customHeight="1">
      <c r="A177" s="304" t="s">
        <v>203</v>
      </c>
      <c r="B177" s="304"/>
      <c r="C177" s="312"/>
      <c r="D177" s="304">
        <f>SUM(C175:C176)</f>
        <v>3187050</v>
      </c>
      <c r="E177" s="304"/>
    </row>
    <row r="178" spans="1:5" ht="11.5" customHeight="1">
      <c r="A178" s="335" t="s">
        <v>317</v>
      </c>
      <c r="B178" s="335"/>
      <c r="C178" s="335"/>
      <c r="D178" s="335"/>
      <c r="E178" s="335"/>
    </row>
    <row r="179" spans="1:5" ht="11.5" customHeight="1">
      <c r="A179" s="304" t="s">
        <v>318</v>
      </c>
      <c r="B179" s="328" t="s">
        <v>256</v>
      </c>
      <c r="C179" s="336">
        <v>587533</v>
      </c>
      <c r="D179" s="304"/>
      <c r="E179" s="304"/>
    </row>
    <row r="180" spans="1:5" ht="11.5" customHeight="1">
      <c r="A180" s="304" t="s">
        <v>319</v>
      </c>
      <c r="B180" s="328" t="s">
        <v>256</v>
      </c>
      <c r="C180" s="336">
        <v>92966</v>
      </c>
      <c r="D180" s="304"/>
      <c r="E180" s="304"/>
    </row>
    <row r="181" spans="1:5" ht="11.5" customHeight="1">
      <c r="A181" s="304" t="s">
        <v>203</v>
      </c>
      <c r="B181" s="304"/>
      <c r="C181" s="312"/>
      <c r="D181" s="304">
        <f>SUM(C179:C180)</f>
        <v>680499</v>
      </c>
      <c r="E181" s="304"/>
    </row>
    <row r="182" spans="1:5" ht="11.5" customHeight="1">
      <c r="A182" s="335" t="s">
        <v>320</v>
      </c>
      <c r="B182" s="335"/>
      <c r="C182" s="335"/>
      <c r="D182" s="335"/>
      <c r="E182" s="335"/>
    </row>
    <row r="183" spans="1:5" ht="11.5" customHeight="1">
      <c r="A183" s="304" t="s">
        <v>321</v>
      </c>
      <c r="B183" s="328" t="s">
        <v>256</v>
      </c>
      <c r="C183" s="336">
        <v>0</v>
      </c>
      <c r="D183" s="304"/>
      <c r="E183" s="304"/>
    </row>
    <row r="184" spans="1:5" ht="11.5" customHeight="1">
      <c r="A184" s="304" t="s">
        <v>322</v>
      </c>
      <c r="B184" s="328" t="s">
        <v>256</v>
      </c>
      <c r="C184" s="336">
        <v>685198.48</v>
      </c>
      <c r="D184" s="304"/>
      <c r="E184" s="304"/>
    </row>
    <row r="185" spans="1:5" ht="11.5" customHeight="1">
      <c r="A185" s="304" t="s">
        <v>132</v>
      </c>
      <c r="B185" s="328" t="s">
        <v>256</v>
      </c>
      <c r="C185" s="336">
        <v>3841514.13</v>
      </c>
      <c r="D185" s="304"/>
      <c r="E185" s="304"/>
    </row>
    <row r="186" spans="1:5" ht="11.5" customHeight="1">
      <c r="A186" s="304" t="s">
        <v>203</v>
      </c>
      <c r="B186" s="304"/>
      <c r="C186" s="312"/>
      <c r="D186" s="304">
        <f>SUM(C183:C185)</f>
        <v>4526712.6099999994</v>
      </c>
      <c r="E186" s="304"/>
    </row>
    <row r="187" spans="1:5" ht="11.5" customHeight="1">
      <c r="A187" s="335" t="s">
        <v>323</v>
      </c>
      <c r="B187" s="335"/>
      <c r="C187" s="335"/>
      <c r="D187" s="335"/>
      <c r="E187" s="335"/>
    </row>
    <row r="188" spans="1:5" ht="11.5" customHeight="1">
      <c r="A188" s="304" t="s">
        <v>324</v>
      </c>
      <c r="B188" s="328" t="s">
        <v>256</v>
      </c>
      <c r="C188" s="336">
        <v>0</v>
      </c>
      <c r="D188" s="304"/>
      <c r="E188" s="304"/>
    </row>
    <row r="189" spans="1:5" ht="11.5" customHeight="1">
      <c r="A189" s="304" t="s">
        <v>325</v>
      </c>
      <c r="B189" s="328" t="s">
        <v>256</v>
      </c>
      <c r="C189" s="336">
        <v>9985577</v>
      </c>
      <c r="D189" s="304"/>
      <c r="E189" s="304"/>
    </row>
    <row r="190" spans="1:5" ht="11.5" customHeight="1">
      <c r="A190" s="304" t="s">
        <v>203</v>
      </c>
      <c r="B190" s="304"/>
      <c r="C190" s="312"/>
      <c r="D190" s="304">
        <f>SUM(C188:C189)</f>
        <v>9985577</v>
      </c>
      <c r="E190" s="304"/>
    </row>
    <row r="191" spans="1:5" ht="18" customHeight="1">
      <c r="A191" s="304"/>
      <c r="B191" s="304"/>
      <c r="C191" s="312"/>
      <c r="D191" s="304"/>
      <c r="E191" s="304"/>
    </row>
    <row r="192" spans="1:5" ht="12.65" customHeight="1">
      <c r="A192" s="327" t="s">
        <v>326</v>
      </c>
      <c r="B192" s="327"/>
      <c r="C192" s="327"/>
      <c r="D192" s="327"/>
      <c r="E192" s="327"/>
    </row>
    <row r="193" spans="1:8" ht="12.65" customHeight="1">
      <c r="A193" s="339" t="s">
        <v>327</v>
      </c>
      <c r="B193" s="327"/>
      <c r="C193" s="327"/>
      <c r="D193" s="327"/>
      <c r="E193" s="327"/>
    </row>
    <row r="194" spans="1:8" ht="12.65" customHeight="1">
      <c r="A194" s="311"/>
      <c r="B194" s="306" t="s">
        <v>328</v>
      </c>
      <c r="C194" s="305" t="s">
        <v>329</v>
      </c>
      <c r="D194" s="306" t="s">
        <v>330</v>
      </c>
      <c r="E194" s="306" t="s">
        <v>331</v>
      </c>
    </row>
    <row r="195" spans="1:8" ht="12.65" customHeight="1">
      <c r="A195" s="304" t="s">
        <v>332</v>
      </c>
      <c r="B195" s="340">
        <v>3160000</v>
      </c>
      <c r="C195" s="336">
        <v>0</v>
      </c>
      <c r="D195" s="340">
        <v>0</v>
      </c>
      <c r="E195" s="304">
        <f t="shared" ref="E195:E203" si="10">SUM(B195:C195)-D195</f>
        <v>3160000</v>
      </c>
    </row>
    <row r="196" spans="1:8" ht="12.65" customHeight="1">
      <c r="A196" s="304" t="s">
        <v>333</v>
      </c>
      <c r="B196" s="340">
        <v>710000</v>
      </c>
      <c r="C196" s="336">
        <v>0</v>
      </c>
      <c r="D196" s="340">
        <v>0</v>
      </c>
      <c r="E196" s="304">
        <f t="shared" si="10"/>
        <v>710000</v>
      </c>
    </row>
    <row r="197" spans="1:8" ht="12.65" customHeight="1">
      <c r="A197" s="304" t="s">
        <v>334</v>
      </c>
      <c r="B197" s="340">
        <v>38437221</v>
      </c>
      <c r="C197" s="336">
        <v>0</v>
      </c>
      <c r="D197" s="340">
        <v>0</v>
      </c>
      <c r="E197" s="304">
        <f t="shared" si="10"/>
        <v>38437221</v>
      </c>
    </row>
    <row r="198" spans="1:8" ht="12.65" customHeight="1">
      <c r="A198" s="304" t="s">
        <v>335</v>
      </c>
      <c r="B198" s="340">
        <v>0</v>
      </c>
      <c r="C198" s="336">
        <v>0</v>
      </c>
      <c r="D198" s="340">
        <v>0</v>
      </c>
      <c r="E198" s="304">
        <f t="shared" si="10"/>
        <v>0</v>
      </c>
    </row>
    <row r="199" spans="1:8" ht="12.65" customHeight="1">
      <c r="A199" s="304" t="s">
        <v>336</v>
      </c>
      <c r="B199" s="340">
        <v>21106338</v>
      </c>
      <c r="C199" s="336">
        <f>198687</f>
        <v>198687</v>
      </c>
      <c r="D199" s="340">
        <v>0</v>
      </c>
      <c r="E199" s="304">
        <f t="shared" si="10"/>
        <v>21305025</v>
      </c>
    </row>
    <row r="200" spans="1:8" ht="12.65" customHeight="1">
      <c r="A200" s="304" t="s">
        <v>337</v>
      </c>
      <c r="B200" s="340">
        <v>13488264</v>
      </c>
      <c r="C200" s="336">
        <f>334980+32788-9245+640745</f>
        <v>999268</v>
      </c>
      <c r="D200" s="340">
        <v>0</v>
      </c>
      <c r="E200" s="304">
        <f t="shared" si="10"/>
        <v>14487532</v>
      </c>
    </row>
    <row r="201" spans="1:8" ht="12.65" customHeight="1">
      <c r="A201" s="304" t="s">
        <v>338</v>
      </c>
      <c r="B201" s="340">
        <v>7501032</v>
      </c>
      <c r="C201" s="336">
        <f>3195+56805+140439+30758+1481+5</f>
        <v>232683</v>
      </c>
      <c r="D201" s="340">
        <v>0</v>
      </c>
      <c r="E201" s="304">
        <f t="shared" si="10"/>
        <v>7733715</v>
      </c>
    </row>
    <row r="202" spans="1:8" ht="12.65" customHeight="1">
      <c r="A202" s="304" t="s">
        <v>339</v>
      </c>
      <c r="B202" s="340">
        <v>4521546</v>
      </c>
      <c r="C202" s="336">
        <v>0</v>
      </c>
      <c r="D202" s="340">
        <v>0</v>
      </c>
      <c r="E202" s="304">
        <f t="shared" si="10"/>
        <v>4521546</v>
      </c>
    </row>
    <row r="203" spans="1:8" ht="12.65" customHeight="1">
      <c r="A203" s="304" t="s">
        <v>340</v>
      </c>
      <c r="B203" s="340">
        <v>716299</v>
      </c>
      <c r="C203" s="336">
        <v>-224321</v>
      </c>
      <c r="D203" s="340">
        <v>0</v>
      </c>
      <c r="E203" s="304">
        <f t="shared" si="10"/>
        <v>491978</v>
      </c>
    </row>
    <row r="204" spans="1:8" ht="12.65" customHeight="1">
      <c r="A204" s="304" t="s">
        <v>203</v>
      </c>
      <c r="B204" s="304">
        <f>SUM(B195:B203)</f>
        <v>89640700</v>
      </c>
      <c r="C204" s="312">
        <f>SUM(C195:C203)</f>
        <v>1206317</v>
      </c>
      <c r="D204" s="304">
        <f>SUM(D195:D203)</f>
        <v>0</v>
      </c>
      <c r="E204" s="304">
        <f>SUM(E195:E203)</f>
        <v>90847017</v>
      </c>
    </row>
    <row r="205" spans="1:8" ht="12.65" customHeight="1">
      <c r="A205" s="304"/>
      <c r="B205" s="304"/>
      <c r="C205" s="312"/>
      <c r="D205" s="304"/>
      <c r="E205" s="304"/>
    </row>
    <row r="206" spans="1:8" ht="12.65" customHeight="1">
      <c r="A206" s="339" t="s">
        <v>341</v>
      </c>
      <c r="B206" s="339"/>
      <c r="C206" s="339"/>
      <c r="D206" s="339"/>
      <c r="E206" s="339"/>
    </row>
    <row r="207" spans="1:8" ht="12.65" customHeight="1">
      <c r="A207" s="311"/>
      <c r="B207" s="306" t="s">
        <v>328</v>
      </c>
      <c r="C207" s="305" t="s">
        <v>329</v>
      </c>
      <c r="D207" s="306" t="s">
        <v>330</v>
      </c>
      <c r="E207" s="306" t="s">
        <v>331</v>
      </c>
      <c r="H207"/>
    </row>
    <row r="208" spans="1:8" ht="12.65" customHeight="1">
      <c r="A208" s="304" t="s">
        <v>332</v>
      </c>
      <c r="B208" s="345"/>
      <c r="C208" s="344"/>
      <c r="D208" s="345"/>
      <c r="E208" s="304"/>
      <c r="H208"/>
    </row>
    <row r="209" spans="1:8" ht="12.65" customHeight="1">
      <c r="A209" s="304" t="s">
        <v>333</v>
      </c>
      <c r="B209" s="340">
        <v>325415.67000000004</v>
      </c>
      <c r="C209" s="336">
        <v>88750</v>
      </c>
      <c r="D209" s="340">
        <v>0</v>
      </c>
      <c r="E209" s="304">
        <f t="shared" ref="E209:E216" si="11">SUM(B209:C209)-D209</f>
        <v>414165.67000000004</v>
      </c>
      <c r="H209"/>
    </row>
    <row r="210" spans="1:8" ht="12.65" customHeight="1">
      <c r="A210" s="304" t="s">
        <v>334</v>
      </c>
      <c r="B210" s="340">
        <v>5982709.0199999996</v>
      </c>
      <c r="C210" s="336">
        <f>1629481+107000</f>
        <v>1736481</v>
      </c>
      <c r="D210" s="340">
        <v>0</v>
      </c>
      <c r="E210" s="304">
        <f t="shared" si="11"/>
        <v>7719190.0199999996</v>
      </c>
      <c r="H210"/>
    </row>
    <row r="211" spans="1:8" ht="12.65" customHeight="1">
      <c r="A211" s="304" t="s">
        <v>335</v>
      </c>
      <c r="B211" s="340">
        <v>0</v>
      </c>
      <c r="C211" s="336">
        <v>0</v>
      </c>
      <c r="D211" s="340">
        <v>0</v>
      </c>
      <c r="E211" s="304">
        <f t="shared" si="11"/>
        <v>0</v>
      </c>
      <c r="H211"/>
    </row>
    <row r="212" spans="1:8" ht="12.65" customHeight="1">
      <c r="A212" s="304" t="s">
        <v>336</v>
      </c>
      <c r="B212" s="340">
        <v>2492505</v>
      </c>
      <c r="C212" s="336">
        <f>1040073+7213</f>
        <v>1047286</v>
      </c>
      <c r="D212" s="340">
        <v>0</v>
      </c>
      <c r="E212" s="304">
        <f t="shared" si="11"/>
        <v>3539791</v>
      </c>
      <c r="H212"/>
    </row>
    <row r="213" spans="1:8" ht="12.65" customHeight="1">
      <c r="A213" s="304" t="s">
        <v>337</v>
      </c>
      <c r="B213" s="340">
        <v>5953968.6699999999</v>
      </c>
      <c r="C213" s="336">
        <f>15320+3213+772601+679780+296325+42735</f>
        <v>1809974</v>
      </c>
      <c r="D213" s="340">
        <v>0</v>
      </c>
      <c r="E213" s="304">
        <f t="shared" si="11"/>
        <v>7763942.6699999999</v>
      </c>
      <c r="H213"/>
    </row>
    <row r="214" spans="1:8" ht="12.65" customHeight="1">
      <c r="A214" s="304" t="s">
        <v>338</v>
      </c>
      <c r="B214" s="340">
        <v>2240201</v>
      </c>
      <c r="C214" s="336">
        <f>38+75662+44632+367522+165081+231199+5991+8</f>
        <v>890133</v>
      </c>
      <c r="D214" s="340">
        <v>0</v>
      </c>
      <c r="E214" s="304">
        <f t="shared" si="11"/>
        <v>3130334</v>
      </c>
      <c r="H214"/>
    </row>
    <row r="215" spans="1:8" ht="12.65" customHeight="1">
      <c r="A215" s="304" t="s">
        <v>339</v>
      </c>
      <c r="B215" s="340">
        <v>1238528</v>
      </c>
      <c r="C215" s="336">
        <f>42554+272000</f>
        <v>314554</v>
      </c>
      <c r="D215" s="340">
        <v>0</v>
      </c>
      <c r="E215" s="304">
        <f t="shared" si="11"/>
        <v>1553082</v>
      </c>
      <c r="H215"/>
    </row>
    <row r="216" spans="1:8" ht="12.65" customHeight="1">
      <c r="A216" s="304" t="s">
        <v>340</v>
      </c>
      <c r="B216" s="340">
        <v>0</v>
      </c>
      <c r="C216" s="336">
        <v>0</v>
      </c>
      <c r="D216" s="340">
        <v>0</v>
      </c>
      <c r="E216" s="304">
        <f t="shared" si="11"/>
        <v>0</v>
      </c>
      <c r="H216"/>
    </row>
    <row r="217" spans="1:8" ht="12.65" customHeight="1">
      <c r="A217" s="304" t="s">
        <v>203</v>
      </c>
      <c r="B217" s="304">
        <f>SUM(B208:B216)</f>
        <v>18233327.359999999</v>
      </c>
      <c r="C217" s="312">
        <f>SUM(C208:C216)</f>
        <v>5887178</v>
      </c>
      <c r="D217" s="304">
        <f>SUM(D208:D216)</f>
        <v>0</v>
      </c>
      <c r="E217" s="304">
        <f>SUM(E208:E216)</f>
        <v>24120505.359999999</v>
      </c>
    </row>
    <row r="218" spans="1:8" ht="21.75" customHeight="1">
      <c r="A218" s="304"/>
      <c r="B218" s="304"/>
      <c r="C218" s="312"/>
      <c r="D218" s="304"/>
      <c r="E218" s="304"/>
    </row>
    <row r="219" spans="1:8" ht="12.65" customHeight="1">
      <c r="A219" s="327" t="s">
        <v>342</v>
      </c>
      <c r="B219" s="327"/>
      <c r="C219" s="327"/>
      <c r="D219" s="327"/>
      <c r="E219" s="327"/>
    </row>
    <row r="220" spans="1:8" ht="12.65" customHeight="1">
      <c r="A220" s="327"/>
      <c r="B220" s="390" t="s">
        <v>1255</v>
      </c>
      <c r="C220" s="390"/>
      <c r="D220" s="327"/>
      <c r="E220" s="327"/>
    </row>
    <row r="221" spans="1:8" ht="12.65" customHeight="1">
      <c r="A221" s="346" t="s">
        <v>1255</v>
      </c>
      <c r="B221" s="327"/>
      <c r="C221" s="336">
        <v>3177120</v>
      </c>
      <c r="D221" s="328">
        <f>C221</f>
        <v>3177120</v>
      </c>
      <c r="E221" s="327"/>
    </row>
    <row r="222" spans="1:8" ht="12.65" customHeight="1">
      <c r="A222" s="335" t="s">
        <v>343</v>
      </c>
      <c r="B222" s="335"/>
      <c r="C222" s="335"/>
      <c r="D222" s="335"/>
      <c r="E222" s="335"/>
    </row>
    <row r="223" spans="1:8" ht="12.65" customHeight="1">
      <c r="A223" s="304" t="s">
        <v>344</v>
      </c>
      <c r="B223" s="328" t="s">
        <v>256</v>
      </c>
      <c r="C223" s="336">
        <v>156904983</v>
      </c>
      <c r="D223" s="304"/>
      <c r="E223" s="304"/>
    </row>
    <row r="224" spans="1:8" ht="12.65" customHeight="1">
      <c r="A224" s="304" t="s">
        <v>345</v>
      </c>
      <c r="B224" s="328" t="s">
        <v>256</v>
      </c>
      <c r="C224" s="336">
        <v>3855869</v>
      </c>
      <c r="D224" s="304"/>
      <c r="E224" s="304"/>
    </row>
    <row r="225" spans="1:5" ht="12.65" customHeight="1">
      <c r="A225" s="304" t="s">
        <v>346</v>
      </c>
      <c r="B225" s="328" t="s">
        <v>256</v>
      </c>
      <c r="C225" s="336">
        <v>4771351.76</v>
      </c>
      <c r="D225" s="304"/>
      <c r="E225" s="304"/>
    </row>
    <row r="226" spans="1:5" ht="12.65" customHeight="1">
      <c r="A226" s="304" t="s">
        <v>347</v>
      </c>
      <c r="B226" s="328" t="s">
        <v>256</v>
      </c>
      <c r="C226" s="336">
        <v>14519253.59</v>
      </c>
      <c r="D226" s="304"/>
      <c r="E226" s="304"/>
    </row>
    <row r="227" spans="1:5" ht="12.65" customHeight="1">
      <c r="A227" s="304" t="s">
        <v>348</v>
      </c>
      <c r="B227" s="328" t="s">
        <v>256</v>
      </c>
      <c r="C227" s="336">
        <v>0</v>
      </c>
      <c r="D227" s="304"/>
      <c r="E227" s="304"/>
    </row>
    <row r="228" spans="1:5" ht="12.65" customHeight="1">
      <c r="A228" s="304" t="s">
        <v>349</v>
      </c>
      <c r="B228" s="328" t="s">
        <v>256</v>
      </c>
      <c r="C228" s="336">
        <f>704694.72+227453.4+2529374.43+5173981-65774+240242840+45577.96-2</f>
        <v>248858145.51000002</v>
      </c>
      <c r="D228" s="304"/>
      <c r="E228" s="304"/>
    </row>
    <row r="229" spans="1:5" ht="12.65" customHeight="1">
      <c r="A229" s="304" t="s">
        <v>350</v>
      </c>
      <c r="B229" s="304"/>
      <c r="C229" s="312"/>
      <c r="D229" s="304">
        <f>SUM(C223:C228)</f>
        <v>428909602.86000001</v>
      </c>
      <c r="E229" s="304"/>
    </row>
    <row r="230" spans="1:5" ht="12.65" customHeight="1">
      <c r="A230" s="335" t="s">
        <v>351</v>
      </c>
      <c r="B230" s="335"/>
      <c r="C230" s="335"/>
      <c r="D230" s="335"/>
      <c r="E230" s="335"/>
    </row>
    <row r="231" spans="1:5" ht="12.65" customHeight="1">
      <c r="A231" s="311" t="s">
        <v>352</v>
      </c>
      <c r="B231" s="328" t="s">
        <v>256</v>
      </c>
      <c r="C231" s="336">
        <v>0</v>
      </c>
      <c r="D231" s="304"/>
      <c r="E231" s="304"/>
    </row>
    <row r="232" spans="1:5" ht="12.65" customHeight="1">
      <c r="A232" s="311"/>
      <c r="B232" s="328"/>
      <c r="C232" s="312"/>
      <c r="D232" s="304"/>
      <c r="E232" s="304"/>
    </row>
    <row r="233" spans="1:5" ht="12.65" customHeight="1">
      <c r="A233" s="311" t="s">
        <v>353</v>
      </c>
      <c r="B233" s="328" t="s">
        <v>256</v>
      </c>
      <c r="C233" s="336">
        <f>121727.15+1313783.64+53060.35+62368.42+18373.6-52496</f>
        <v>1516817.16</v>
      </c>
      <c r="D233" s="304"/>
      <c r="E233" s="304"/>
    </row>
    <row r="234" spans="1:5" ht="12.65" customHeight="1">
      <c r="A234" s="311" t="s">
        <v>354</v>
      </c>
      <c r="B234" s="328" t="s">
        <v>256</v>
      </c>
      <c r="C234" s="336">
        <f>541437.01+1402291.09+529.46+252769.67+142003.76+131552.35-64848+22697.14</f>
        <v>2428432.4800000004</v>
      </c>
      <c r="D234" s="304"/>
      <c r="E234" s="304"/>
    </row>
    <row r="235" spans="1:5" ht="12.65" customHeight="1">
      <c r="A235" s="304"/>
      <c r="B235" s="304"/>
      <c r="C235" s="312"/>
      <c r="D235" s="304"/>
      <c r="E235" s="304"/>
    </row>
    <row r="236" spans="1:5" ht="12.65" customHeight="1">
      <c r="A236" s="311" t="s">
        <v>355</v>
      </c>
      <c r="B236" s="304"/>
      <c r="C236" s="312"/>
      <c r="D236" s="304">
        <f>SUM(C233:C235)</f>
        <v>3945249.6400000006</v>
      </c>
      <c r="E236" s="304"/>
    </row>
    <row r="237" spans="1:5" ht="12.65" customHeight="1">
      <c r="A237" s="335" t="s">
        <v>356</v>
      </c>
      <c r="B237" s="335"/>
      <c r="C237" s="335"/>
      <c r="D237" s="335"/>
      <c r="E237" s="335"/>
    </row>
    <row r="238" spans="1:5" ht="12.65" customHeight="1">
      <c r="A238" s="304" t="s">
        <v>357</v>
      </c>
      <c r="B238" s="328" t="s">
        <v>256</v>
      </c>
      <c r="C238" s="336">
        <v>0</v>
      </c>
      <c r="D238" s="304"/>
      <c r="E238" s="304"/>
    </row>
    <row r="239" spans="1:5" ht="12.65" customHeight="1">
      <c r="A239" s="304" t="s">
        <v>356</v>
      </c>
      <c r="B239" s="328" t="s">
        <v>256</v>
      </c>
      <c r="C239" s="336">
        <v>0</v>
      </c>
      <c r="D239" s="304"/>
      <c r="E239" s="304"/>
    </row>
    <row r="240" spans="1:5" ht="12.65" customHeight="1">
      <c r="A240" s="304" t="s">
        <v>358</v>
      </c>
      <c r="B240" s="304"/>
      <c r="C240" s="312"/>
      <c r="D240" s="304">
        <f>SUM(C238:C239)</f>
        <v>0</v>
      </c>
      <c r="E240" s="304"/>
    </row>
    <row r="241" spans="1:5" ht="12.65" customHeight="1">
      <c r="A241" s="304"/>
      <c r="B241" s="304"/>
      <c r="C241" s="312"/>
      <c r="D241" s="304"/>
      <c r="E241" s="304"/>
    </row>
    <row r="242" spans="1:5" ht="12.65" customHeight="1">
      <c r="A242" s="304" t="s">
        <v>359</v>
      </c>
      <c r="B242" s="304"/>
      <c r="C242" s="312"/>
      <c r="D242" s="304">
        <f>D221+D229+D236+D240</f>
        <v>436031972.5</v>
      </c>
      <c r="E242" s="304"/>
    </row>
    <row r="243" spans="1:5" ht="12.65" customHeight="1">
      <c r="A243" s="304"/>
      <c r="B243" s="304"/>
      <c r="C243" s="312"/>
      <c r="D243" s="304"/>
      <c r="E243" s="304"/>
    </row>
    <row r="244" spans="1:5" ht="12.65" customHeight="1">
      <c r="A244" s="304"/>
      <c r="B244" s="304"/>
      <c r="C244" s="312"/>
      <c r="D244" s="304"/>
      <c r="E244" s="304"/>
    </row>
    <row r="245" spans="1:5" ht="12.65" customHeight="1">
      <c r="A245" s="304"/>
      <c r="B245" s="304"/>
      <c r="C245" s="312"/>
      <c r="D245" s="304"/>
      <c r="E245" s="304"/>
    </row>
    <row r="246" spans="1:5" ht="12.65" customHeight="1">
      <c r="A246" s="304"/>
      <c r="B246" s="304"/>
      <c r="C246" s="312"/>
      <c r="D246" s="304"/>
      <c r="E246" s="304"/>
    </row>
    <row r="247" spans="1:5" ht="21.75" customHeight="1">
      <c r="A247" s="304"/>
      <c r="B247" s="304"/>
      <c r="C247" s="312"/>
      <c r="D247" s="304"/>
      <c r="E247" s="304"/>
    </row>
    <row r="248" spans="1:5" ht="12.65" customHeight="1">
      <c r="A248" s="327" t="s">
        <v>360</v>
      </c>
      <c r="B248" s="327"/>
      <c r="C248" s="327"/>
      <c r="D248" s="327"/>
      <c r="E248" s="327"/>
    </row>
    <row r="249" spans="1:5" ht="11.25" customHeight="1">
      <c r="A249" s="335" t="s">
        <v>361</v>
      </c>
      <c r="B249" s="335"/>
      <c r="C249" s="335"/>
      <c r="D249" s="335"/>
      <c r="E249" s="335"/>
    </row>
    <row r="250" spans="1:5" ht="12.65" customHeight="1">
      <c r="A250" s="304" t="s">
        <v>362</v>
      </c>
      <c r="B250" s="328" t="s">
        <v>256</v>
      </c>
      <c r="C250" s="336">
        <v>-887603</v>
      </c>
      <c r="D250" s="304"/>
      <c r="E250" s="304"/>
    </row>
    <row r="251" spans="1:5" ht="12.65" customHeight="1">
      <c r="A251" s="304" t="s">
        <v>363</v>
      </c>
      <c r="B251" s="328" t="s">
        <v>256</v>
      </c>
      <c r="C251" s="336">
        <v>0</v>
      </c>
      <c r="D251" s="304"/>
      <c r="E251" s="304"/>
    </row>
    <row r="252" spans="1:5" ht="12.65" customHeight="1">
      <c r="A252" s="304" t="s">
        <v>364</v>
      </c>
      <c r="B252" s="328" t="s">
        <v>256</v>
      </c>
      <c r="C252" s="336">
        <v>17529900</v>
      </c>
      <c r="D252" s="304"/>
      <c r="E252" s="304"/>
    </row>
    <row r="253" spans="1:5" ht="12.65" customHeight="1">
      <c r="A253" s="304" t="s">
        <v>365</v>
      </c>
      <c r="B253" s="328" t="s">
        <v>256</v>
      </c>
      <c r="C253" s="336">
        <v>7172725</v>
      </c>
      <c r="D253" s="304"/>
      <c r="E253" s="304"/>
    </row>
    <row r="254" spans="1:5" ht="12.65" customHeight="1">
      <c r="A254" s="304" t="s">
        <v>1241</v>
      </c>
      <c r="B254" s="328" t="s">
        <v>256</v>
      </c>
      <c r="C254" s="336">
        <v>0</v>
      </c>
      <c r="D254" s="304"/>
      <c r="E254" s="304"/>
    </row>
    <row r="255" spans="1:5" ht="12.65" customHeight="1">
      <c r="A255" s="304" t="s">
        <v>366</v>
      </c>
      <c r="B255" s="328" t="s">
        <v>256</v>
      </c>
      <c r="C255" s="336">
        <v>900763</v>
      </c>
      <c r="D255" s="304"/>
      <c r="E255" s="304"/>
    </row>
    <row r="256" spans="1:5" ht="12.65" customHeight="1">
      <c r="A256" s="304" t="s">
        <v>367</v>
      </c>
      <c r="B256" s="328" t="s">
        <v>256</v>
      </c>
      <c r="C256" s="336">
        <v>102062</v>
      </c>
      <c r="D256" s="304"/>
      <c r="E256" s="304"/>
    </row>
    <row r="257" spans="1:5" ht="12.65" customHeight="1">
      <c r="A257" s="304" t="s">
        <v>368</v>
      </c>
      <c r="B257" s="328" t="s">
        <v>256</v>
      </c>
      <c r="C257" s="336">
        <v>3763243</v>
      </c>
      <c r="D257" s="304"/>
      <c r="E257" s="304"/>
    </row>
    <row r="258" spans="1:5" ht="12.65" customHeight="1">
      <c r="A258" s="304" t="s">
        <v>369</v>
      </c>
      <c r="B258" s="328" t="s">
        <v>256</v>
      </c>
      <c r="C258" s="336">
        <v>941621</v>
      </c>
      <c r="D258" s="304"/>
      <c r="E258" s="304"/>
    </row>
    <row r="259" spans="1:5" ht="12.65" customHeight="1">
      <c r="A259" s="304" t="s">
        <v>370</v>
      </c>
      <c r="B259" s="328" t="s">
        <v>256</v>
      </c>
      <c r="C259" s="336">
        <v>0</v>
      </c>
      <c r="D259" s="304"/>
      <c r="E259" s="304"/>
    </row>
    <row r="260" spans="1:5" ht="12.65" customHeight="1">
      <c r="A260" s="304" t="s">
        <v>371</v>
      </c>
      <c r="B260" s="304"/>
      <c r="C260" s="312"/>
      <c r="D260" s="304">
        <f>SUM(C250:C252)-C253+SUM(C254:C259)</f>
        <v>15177261</v>
      </c>
      <c r="E260" s="304"/>
    </row>
    <row r="261" spans="1:5" ht="11.25" customHeight="1">
      <c r="A261" s="335" t="s">
        <v>372</v>
      </c>
      <c r="B261" s="335"/>
      <c r="C261" s="335"/>
      <c r="D261" s="335"/>
      <c r="E261" s="335"/>
    </row>
    <row r="262" spans="1:5" ht="12.65" customHeight="1">
      <c r="A262" s="304" t="s">
        <v>362</v>
      </c>
      <c r="B262" s="328" t="s">
        <v>256</v>
      </c>
      <c r="C262" s="336">
        <v>0</v>
      </c>
      <c r="D262" s="304"/>
      <c r="E262" s="304"/>
    </row>
    <row r="263" spans="1:5" ht="12.65" customHeight="1">
      <c r="A263" s="304" t="s">
        <v>363</v>
      </c>
      <c r="B263" s="328" t="s">
        <v>256</v>
      </c>
      <c r="C263" s="336">
        <v>0</v>
      </c>
      <c r="D263" s="304"/>
      <c r="E263" s="304"/>
    </row>
    <row r="264" spans="1:5" ht="12.65" customHeight="1">
      <c r="A264" s="304" t="s">
        <v>373</v>
      </c>
      <c r="B264" s="328" t="s">
        <v>256</v>
      </c>
      <c r="C264" s="336">
        <v>0</v>
      </c>
      <c r="D264" s="304"/>
      <c r="E264" s="304"/>
    </row>
    <row r="265" spans="1:5" ht="12.65" customHeight="1">
      <c r="A265" s="304" t="s">
        <v>374</v>
      </c>
      <c r="B265" s="304"/>
      <c r="C265" s="312"/>
      <c r="D265" s="304">
        <f>SUM(C262:C264)</f>
        <v>0</v>
      </c>
      <c r="E265" s="304"/>
    </row>
    <row r="266" spans="1:5" ht="11.25" customHeight="1">
      <c r="A266" s="335" t="s">
        <v>375</v>
      </c>
      <c r="B266" s="335"/>
      <c r="C266" s="335"/>
      <c r="D266" s="335"/>
      <c r="E266" s="335"/>
    </row>
    <row r="267" spans="1:5" ht="12.65" customHeight="1">
      <c r="A267" s="304" t="s">
        <v>332</v>
      </c>
      <c r="B267" s="328" t="s">
        <v>256</v>
      </c>
      <c r="C267" s="336">
        <v>3160000</v>
      </c>
      <c r="D267" s="304"/>
      <c r="E267" s="304"/>
    </row>
    <row r="268" spans="1:5" ht="12.65" customHeight="1">
      <c r="A268" s="304" t="s">
        <v>333</v>
      </c>
      <c r="B268" s="328" t="s">
        <v>256</v>
      </c>
      <c r="C268" s="336">
        <v>710000</v>
      </c>
      <c r="D268" s="304"/>
      <c r="E268" s="304"/>
    </row>
    <row r="269" spans="1:5" ht="12.65" customHeight="1">
      <c r="A269" s="304" t="s">
        <v>334</v>
      </c>
      <c r="B269" s="328" t="s">
        <v>256</v>
      </c>
      <c r="C269" s="336">
        <f>40740000+1070000+409590+2720000+5300+1</f>
        <v>44944891</v>
      </c>
      <c r="D269" s="304"/>
      <c r="E269" s="304"/>
    </row>
    <row r="270" spans="1:5" ht="12.65" customHeight="1">
      <c r="A270" s="304" t="s">
        <v>376</v>
      </c>
      <c r="B270" s="328" t="s">
        <v>256</v>
      </c>
      <c r="C270" s="336">
        <f>21174815+78911+51300</f>
        <v>21305026</v>
      </c>
      <c r="D270" s="304"/>
      <c r="E270" s="304"/>
    </row>
    <row r="271" spans="1:5" ht="12.65" customHeight="1">
      <c r="A271" s="304" t="s">
        <v>377</v>
      </c>
      <c r="B271" s="328" t="s">
        <v>256</v>
      </c>
      <c r="C271" s="336">
        <v>0</v>
      </c>
      <c r="D271" s="304"/>
      <c r="E271" s="304"/>
    </row>
    <row r="272" spans="1:5" ht="12.65" customHeight="1">
      <c r="A272" s="304" t="s">
        <v>378</v>
      </c>
      <c r="B272" s="328" t="s">
        <v>256</v>
      </c>
      <c r="C272" s="336">
        <f>640745+6171556+5592526+1980373+214923+20400-133000+3195+738595+306462+2169919+1379247+1121632+28545+4</f>
        <v>20235122</v>
      </c>
      <c r="D272" s="304"/>
      <c r="E272" s="304"/>
    </row>
    <row r="273" spans="1:5" ht="12.65" customHeight="1">
      <c r="A273" s="304" t="s">
        <v>339</v>
      </c>
      <c r="B273" s="328" t="s">
        <v>256</v>
      </c>
      <c r="C273" s="336">
        <v>0</v>
      </c>
      <c r="D273" s="304"/>
      <c r="E273" s="304"/>
    </row>
    <row r="274" spans="1:5" ht="12.65" customHeight="1">
      <c r="A274" s="304" t="s">
        <v>340</v>
      </c>
      <c r="B274" s="328" t="s">
        <v>256</v>
      </c>
      <c r="C274" s="336">
        <v>491978</v>
      </c>
      <c r="D274" s="304"/>
      <c r="E274" s="304"/>
    </row>
    <row r="275" spans="1:5" ht="12.65" customHeight="1">
      <c r="A275" s="304" t="s">
        <v>379</v>
      </c>
      <c r="B275" s="304"/>
      <c r="C275" s="312"/>
      <c r="D275" s="304">
        <f>SUM(C267:C274)</f>
        <v>90847017</v>
      </c>
      <c r="E275" s="304"/>
    </row>
    <row r="276" spans="1:5" ht="12.65" customHeight="1">
      <c r="A276" s="304" t="s">
        <v>380</v>
      </c>
      <c r="B276" s="328" t="s">
        <v>256</v>
      </c>
      <c r="C276" s="336">
        <v>24120505</v>
      </c>
      <c r="D276" s="304"/>
      <c r="E276" s="304"/>
    </row>
    <row r="277" spans="1:5" ht="12.65" customHeight="1">
      <c r="A277" s="304" t="s">
        <v>381</v>
      </c>
      <c r="B277" s="304"/>
      <c r="C277" s="312"/>
      <c r="D277" s="304">
        <f>D275-C276</f>
        <v>66726512</v>
      </c>
      <c r="E277" s="304"/>
    </row>
    <row r="278" spans="1:5" ht="12.65" customHeight="1">
      <c r="A278" s="335" t="s">
        <v>382</v>
      </c>
      <c r="B278" s="335"/>
      <c r="C278" s="335"/>
      <c r="D278" s="335"/>
      <c r="E278" s="335"/>
    </row>
    <row r="279" spans="1:5" ht="12.65" customHeight="1">
      <c r="A279" s="304" t="s">
        <v>383</v>
      </c>
      <c r="B279" s="328" t="s">
        <v>256</v>
      </c>
      <c r="C279" s="336">
        <v>0</v>
      </c>
      <c r="D279" s="304"/>
      <c r="E279" s="304"/>
    </row>
    <row r="280" spans="1:5" ht="12.65" customHeight="1">
      <c r="A280" s="304" t="s">
        <v>384</v>
      </c>
      <c r="B280" s="328" t="s">
        <v>256</v>
      </c>
      <c r="C280" s="336">
        <v>0</v>
      </c>
      <c r="D280" s="304"/>
      <c r="E280" s="304"/>
    </row>
    <row r="281" spans="1:5" ht="12.65" customHeight="1">
      <c r="A281" s="304" t="s">
        <v>385</v>
      </c>
      <c r="B281" s="328" t="s">
        <v>256</v>
      </c>
      <c r="C281" s="336">
        <v>448809.32</v>
      </c>
      <c r="D281" s="304"/>
      <c r="E281" s="304"/>
    </row>
    <row r="282" spans="1:5" ht="12.65" customHeight="1">
      <c r="A282" s="304" t="s">
        <v>373</v>
      </c>
      <c r="B282" s="328" t="s">
        <v>256</v>
      </c>
      <c r="C282" s="336">
        <v>1871025.39</v>
      </c>
      <c r="D282" s="304"/>
      <c r="E282" s="304"/>
    </row>
    <row r="283" spans="1:5" ht="12.65" customHeight="1">
      <c r="A283" s="304" t="s">
        <v>386</v>
      </c>
      <c r="B283" s="304"/>
      <c r="C283" s="312"/>
      <c r="D283" s="304">
        <f>C279-C280+C281+C282</f>
        <v>2319834.71</v>
      </c>
      <c r="E283" s="304"/>
    </row>
    <row r="284" spans="1:5" ht="12.65" customHeight="1">
      <c r="A284" s="304"/>
      <c r="B284" s="304"/>
      <c r="C284" s="312"/>
      <c r="D284" s="304"/>
      <c r="E284" s="304"/>
    </row>
    <row r="285" spans="1:5" ht="12.65" customHeight="1">
      <c r="A285" s="335" t="s">
        <v>387</v>
      </c>
      <c r="B285" s="335"/>
      <c r="C285" s="335"/>
      <c r="D285" s="335"/>
      <c r="E285" s="335"/>
    </row>
    <row r="286" spans="1:5" ht="12.65" customHeight="1">
      <c r="A286" s="304" t="s">
        <v>388</v>
      </c>
      <c r="B286" s="328" t="s">
        <v>256</v>
      </c>
      <c r="C286" s="336">
        <v>0</v>
      </c>
      <c r="D286" s="304"/>
      <c r="E286" s="304"/>
    </row>
    <row r="287" spans="1:5" ht="12.65" customHeight="1">
      <c r="A287" s="304" t="s">
        <v>389</v>
      </c>
      <c r="B287" s="328" t="s">
        <v>256</v>
      </c>
      <c r="C287" s="336">
        <v>0</v>
      </c>
      <c r="D287" s="304"/>
      <c r="E287" s="304"/>
    </row>
    <row r="288" spans="1:5" ht="12.65" customHeight="1">
      <c r="A288" s="304" t="s">
        <v>390</v>
      </c>
      <c r="B288" s="328" t="s">
        <v>256</v>
      </c>
      <c r="C288" s="336">
        <v>0</v>
      </c>
      <c r="D288" s="304"/>
      <c r="E288" s="304"/>
    </row>
    <row r="289" spans="1:5" ht="12.65" customHeight="1">
      <c r="A289" s="304" t="s">
        <v>391</v>
      </c>
      <c r="B289" s="328" t="s">
        <v>256</v>
      </c>
      <c r="C289" s="336">
        <v>270898</v>
      </c>
      <c r="D289" s="304"/>
      <c r="E289" s="304"/>
    </row>
    <row r="290" spans="1:5" ht="12.65" customHeight="1">
      <c r="A290" s="304" t="s">
        <v>392</v>
      </c>
      <c r="B290" s="304"/>
      <c r="C290" s="312"/>
      <c r="D290" s="304">
        <f>SUM(C286:C289)</f>
        <v>270898</v>
      </c>
      <c r="E290" s="304"/>
    </row>
    <row r="291" spans="1:5" ht="12.65" customHeight="1">
      <c r="A291" s="304"/>
      <c r="B291" s="304"/>
      <c r="C291" s="312"/>
      <c r="D291" s="304"/>
      <c r="E291" s="304"/>
    </row>
    <row r="292" spans="1:5" ht="12.65" customHeight="1">
      <c r="A292" s="304" t="s">
        <v>393</v>
      </c>
      <c r="B292" s="304"/>
      <c r="C292" s="312"/>
      <c r="D292" s="304">
        <f>D260+D265+D277+D283+D290</f>
        <v>84494505.709999993</v>
      </c>
      <c r="E292" s="304"/>
    </row>
    <row r="293" spans="1:5" ht="12.65" customHeight="1">
      <c r="A293" s="304"/>
      <c r="B293" s="304"/>
      <c r="C293" s="312"/>
      <c r="D293" s="304"/>
      <c r="E293" s="304"/>
    </row>
    <row r="294" spans="1:5" ht="12.65" customHeight="1">
      <c r="A294" s="304"/>
      <c r="B294" s="304"/>
      <c r="C294" s="312"/>
      <c r="D294" s="304"/>
      <c r="E294" s="304"/>
    </row>
    <row r="295" spans="1:5" ht="12.65" customHeight="1">
      <c r="A295" s="304"/>
      <c r="B295" s="304"/>
      <c r="C295" s="312"/>
      <c r="D295" s="304"/>
      <c r="E295" s="304"/>
    </row>
    <row r="296" spans="1:5" ht="12.65" customHeight="1">
      <c r="A296" s="304"/>
      <c r="B296" s="304"/>
      <c r="C296" s="312"/>
      <c r="D296" s="304"/>
      <c r="E296" s="304"/>
    </row>
    <row r="297" spans="1:5" ht="12.65" customHeight="1">
      <c r="A297" s="304"/>
      <c r="B297" s="304"/>
      <c r="C297" s="312"/>
      <c r="D297" s="304"/>
      <c r="E297" s="304"/>
    </row>
    <row r="298" spans="1:5" ht="12.65" customHeight="1">
      <c r="A298" s="304"/>
      <c r="B298" s="304"/>
      <c r="C298" s="312"/>
      <c r="D298" s="304"/>
      <c r="E298" s="304"/>
    </row>
    <row r="299" spans="1:5" ht="12.65" customHeight="1">
      <c r="A299" s="304"/>
      <c r="B299" s="304"/>
      <c r="C299" s="312"/>
      <c r="D299" s="304"/>
      <c r="E299" s="304"/>
    </row>
    <row r="300" spans="1:5" ht="12.65" customHeight="1">
      <c r="A300" s="304"/>
      <c r="B300" s="304"/>
      <c r="C300" s="312"/>
      <c r="D300" s="304"/>
      <c r="E300" s="304"/>
    </row>
    <row r="301" spans="1:5" ht="20.25" customHeight="1">
      <c r="A301" s="304"/>
      <c r="B301" s="304"/>
      <c r="C301" s="312"/>
      <c r="D301" s="304"/>
      <c r="E301" s="304"/>
    </row>
    <row r="302" spans="1:5" ht="12.65" customHeight="1">
      <c r="A302" s="327" t="s">
        <v>394</v>
      </c>
      <c r="B302" s="327"/>
      <c r="C302" s="327"/>
      <c r="D302" s="327"/>
      <c r="E302" s="327"/>
    </row>
    <row r="303" spans="1:5" ht="14.25" customHeight="1">
      <c r="A303" s="335" t="s">
        <v>395</v>
      </c>
      <c r="B303" s="335"/>
      <c r="C303" s="335"/>
      <c r="D303" s="335"/>
      <c r="E303" s="335"/>
    </row>
    <row r="304" spans="1:5" ht="12.65" customHeight="1">
      <c r="A304" s="304" t="s">
        <v>396</v>
      </c>
      <c r="B304" s="328" t="s">
        <v>256</v>
      </c>
      <c r="C304" s="336">
        <v>0</v>
      </c>
      <c r="D304" s="304"/>
      <c r="E304" s="304"/>
    </row>
    <row r="305" spans="1:5" ht="12.65" customHeight="1">
      <c r="A305" s="304" t="s">
        <v>397</v>
      </c>
      <c r="B305" s="328" t="s">
        <v>256</v>
      </c>
      <c r="C305" s="336">
        <v>4661498</v>
      </c>
      <c r="D305" s="304"/>
      <c r="E305" s="304"/>
    </row>
    <row r="306" spans="1:5" ht="12.65" customHeight="1">
      <c r="A306" s="304" t="s">
        <v>398</v>
      </c>
      <c r="B306" s="328" t="s">
        <v>256</v>
      </c>
      <c r="C306" s="336">
        <v>3656642</v>
      </c>
      <c r="D306" s="304"/>
      <c r="E306" s="304"/>
    </row>
    <row r="307" spans="1:5" ht="12.65" customHeight="1">
      <c r="A307" s="304" t="s">
        <v>399</v>
      </c>
      <c r="B307" s="328" t="s">
        <v>256</v>
      </c>
      <c r="C307" s="336">
        <v>994289</v>
      </c>
      <c r="D307" s="304"/>
      <c r="E307" s="304"/>
    </row>
    <row r="308" spans="1:5" ht="12.65" customHeight="1">
      <c r="A308" s="304" t="s">
        <v>400</v>
      </c>
      <c r="B308" s="328" t="s">
        <v>256</v>
      </c>
      <c r="C308" s="336">
        <v>0</v>
      </c>
      <c r="D308" s="304"/>
      <c r="E308" s="304"/>
    </row>
    <row r="309" spans="1:5" ht="12.65" customHeight="1">
      <c r="A309" s="304" t="s">
        <v>1242</v>
      </c>
      <c r="B309" s="328" t="s">
        <v>256</v>
      </c>
      <c r="C309" s="336">
        <v>0</v>
      </c>
      <c r="D309" s="304"/>
      <c r="E309" s="304"/>
    </row>
    <row r="310" spans="1:5" ht="12.65" customHeight="1">
      <c r="A310" s="304" t="s">
        <v>401</v>
      </c>
      <c r="B310" s="328" t="s">
        <v>256</v>
      </c>
      <c r="C310" s="336">
        <v>0</v>
      </c>
      <c r="D310" s="304"/>
      <c r="E310" s="304"/>
    </row>
    <row r="311" spans="1:5" ht="12.65" customHeight="1">
      <c r="A311" s="304" t="s">
        <v>402</v>
      </c>
      <c r="B311" s="328" t="s">
        <v>256</v>
      </c>
      <c r="C311" s="336">
        <v>0</v>
      </c>
      <c r="D311" s="304"/>
      <c r="E311" s="304"/>
    </row>
    <row r="312" spans="1:5" ht="12.65" customHeight="1">
      <c r="A312" s="304" t="s">
        <v>403</v>
      </c>
      <c r="B312" s="328" t="s">
        <v>256</v>
      </c>
      <c r="C312" s="336">
        <f>455922+19420985</f>
        <v>19876907</v>
      </c>
      <c r="D312" s="304"/>
      <c r="E312" s="304"/>
    </row>
    <row r="313" spans="1:5" ht="12.65" customHeight="1">
      <c r="A313" s="304" t="s">
        <v>404</v>
      </c>
      <c r="B313" s="328" t="s">
        <v>256</v>
      </c>
      <c r="C313" s="336"/>
      <c r="D313" s="304"/>
      <c r="E313" s="304"/>
    </row>
    <row r="314" spans="1:5" ht="12.65" customHeight="1">
      <c r="A314" s="304" t="s">
        <v>405</v>
      </c>
      <c r="B314" s="304"/>
      <c r="C314" s="312"/>
      <c r="D314" s="304">
        <f>SUM(C304:C313)</f>
        <v>29189336</v>
      </c>
      <c r="E314" s="304"/>
    </row>
    <row r="315" spans="1:5" ht="12.65" customHeight="1">
      <c r="A315" s="335" t="s">
        <v>406</v>
      </c>
      <c r="B315" s="335"/>
      <c r="C315" s="335"/>
      <c r="D315" s="335"/>
      <c r="E315" s="335"/>
    </row>
    <row r="316" spans="1:5" ht="12.65" customHeight="1">
      <c r="A316" s="304" t="s">
        <v>407</v>
      </c>
      <c r="B316" s="328" t="s">
        <v>256</v>
      </c>
      <c r="C316" s="336">
        <v>0</v>
      </c>
      <c r="D316" s="304"/>
      <c r="E316" s="304"/>
    </row>
    <row r="317" spans="1:5" ht="12.65" customHeight="1">
      <c r="A317" s="304" t="s">
        <v>408</v>
      </c>
      <c r="B317" s="328" t="s">
        <v>256</v>
      </c>
      <c r="C317" s="336">
        <v>0</v>
      </c>
      <c r="D317" s="304"/>
      <c r="E317" s="304"/>
    </row>
    <row r="318" spans="1:5" ht="12.65" customHeight="1">
      <c r="A318" s="304" t="s">
        <v>409</v>
      </c>
      <c r="B318" s="328" t="s">
        <v>256</v>
      </c>
      <c r="C318" s="336">
        <v>2118185</v>
      </c>
      <c r="D318" s="304"/>
      <c r="E318" s="304"/>
    </row>
    <row r="319" spans="1:5" ht="12.65" customHeight="1">
      <c r="A319" s="304" t="s">
        <v>410</v>
      </c>
      <c r="B319" s="304"/>
      <c r="C319" s="312"/>
      <c r="D319" s="304">
        <f>SUM(C316:C318)</f>
        <v>2118185</v>
      </c>
      <c r="E319" s="304"/>
    </row>
    <row r="320" spans="1:5" ht="12.65" customHeight="1">
      <c r="A320" s="335" t="s">
        <v>411</v>
      </c>
      <c r="B320" s="335"/>
      <c r="C320" s="335"/>
      <c r="D320" s="335"/>
      <c r="E320" s="335"/>
    </row>
    <row r="321" spans="1:5" ht="12.65" customHeight="1">
      <c r="A321" s="304" t="s">
        <v>412</v>
      </c>
      <c r="B321" s="328" t="s">
        <v>256</v>
      </c>
      <c r="C321" s="336">
        <v>0</v>
      </c>
      <c r="D321" s="304"/>
      <c r="E321" s="304"/>
    </row>
    <row r="322" spans="1:5" ht="12.65" customHeight="1">
      <c r="A322" s="304" t="s">
        <v>413</v>
      </c>
      <c r="B322" s="328" t="s">
        <v>256</v>
      </c>
      <c r="C322" s="336">
        <v>0</v>
      </c>
      <c r="D322" s="304"/>
      <c r="E322" s="304"/>
    </row>
    <row r="323" spans="1:5" ht="12.65" customHeight="1">
      <c r="A323" s="304" t="s">
        <v>414</v>
      </c>
      <c r="B323" s="328" t="s">
        <v>256</v>
      </c>
      <c r="C323" s="336">
        <v>0</v>
      </c>
      <c r="D323" s="304"/>
      <c r="E323" s="304"/>
    </row>
    <row r="324" spans="1:5" ht="12.65" customHeight="1">
      <c r="A324" s="311" t="s">
        <v>415</v>
      </c>
      <c r="B324" s="328" t="s">
        <v>256</v>
      </c>
      <c r="C324" s="336">
        <v>112469652</v>
      </c>
      <c r="D324" s="304"/>
      <c r="E324" s="304"/>
    </row>
    <row r="325" spans="1:5" ht="12.65" customHeight="1">
      <c r="A325" s="304" t="s">
        <v>416</v>
      </c>
      <c r="B325" s="328" t="s">
        <v>256</v>
      </c>
      <c r="C325" s="336">
        <v>0</v>
      </c>
      <c r="D325" s="304"/>
      <c r="E325" s="304"/>
    </row>
    <row r="326" spans="1:5" ht="12.65" customHeight="1">
      <c r="A326" s="311" t="s">
        <v>417</v>
      </c>
      <c r="B326" s="328" t="s">
        <v>256</v>
      </c>
      <c r="C326" s="336">
        <v>-52661580</v>
      </c>
      <c r="D326" s="304"/>
      <c r="E326" s="304"/>
    </row>
    <row r="327" spans="1:5" ht="12.65" customHeight="1">
      <c r="A327" s="304" t="s">
        <v>418</v>
      </c>
      <c r="B327" s="328" t="s">
        <v>256</v>
      </c>
      <c r="C327" s="336">
        <v>0</v>
      </c>
      <c r="D327" s="304"/>
      <c r="E327" s="304"/>
    </row>
    <row r="328" spans="1:5" ht="19.5" customHeight="1">
      <c r="A328" s="304" t="s">
        <v>203</v>
      </c>
      <c r="B328" s="304"/>
      <c r="C328" s="312"/>
      <c r="D328" s="304">
        <f>SUM(C321:C327)</f>
        <v>59808072</v>
      </c>
      <c r="E328" s="304"/>
    </row>
    <row r="329" spans="1:5" ht="12.65" customHeight="1">
      <c r="A329" s="304" t="s">
        <v>419</v>
      </c>
      <c r="B329" s="304"/>
      <c r="C329" s="312"/>
      <c r="D329" s="304">
        <f>C313</f>
        <v>0</v>
      </c>
      <c r="E329" s="304"/>
    </row>
    <row r="330" spans="1:5" ht="12.65" customHeight="1">
      <c r="A330" s="304" t="s">
        <v>420</v>
      </c>
      <c r="B330" s="304"/>
      <c r="C330" s="312"/>
      <c r="D330" s="304">
        <f>D328-D329</f>
        <v>59808072</v>
      </c>
      <c r="E330" s="304"/>
    </row>
    <row r="331" spans="1:5" ht="12.65" customHeight="1">
      <c r="A331" s="304"/>
      <c r="B331" s="304"/>
      <c r="C331" s="312"/>
      <c r="D331" s="304"/>
      <c r="E331" s="304"/>
    </row>
    <row r="332" spans="1:5" ht="12.65" customHeight="1">
      <c r="A332" s="304" t="s">
        <v>421</v>
      </c>
      <c r="B332" s="328" t="s">
        <v>256</v>
      </c>
      <c r="C332" s="337">
        <v>0</v>
      </c>
      <c r="D332" s="304"/>
      <c r="E332" s="304"/>
    </row>
    <row r="333" spans="1:5" ht="12.65" customHeight="1">
      <c r="A333" s="304"/>
      <c r="B333" s="328"/>
      <c r="C333" s="347"/>
      <c r="D333" s="304"/>
      <c r="E333" s="304"/>
    </row>
    <row r="334" spans="1:5" ht="12.65" customHeight="1">
      <c r="A334" s="304" t="s">
        <v>1142</v>
      </c>
      <c r="B334" s="328" t="s">
        <v>256</v>
      </c>
      <c r="C334" s="337">
        <v>0</v>
      </c>
      <c r="D334" s="304"/>
      <c r="E334" s="304"/>
    </row>
    <row r="335" spans="1:5" ht="12.65" customHeight="1">
      <c r="A335" s="304" t="s">
        <v>1143</v>
      </c>
      <c r="B335" s="328" t="s">
        <v>256</v>
      </c>
      <c r="C335" s="337">
        <v>0</v>
      </c>
      <c r="D335" s="304"/>
      <c r="E335" s="304"/>
    </row>
    <row r="336" spans="1:5" ht="12.65" customHeight="1">
      <c r="A336" s="304" t="s">
        <v>423</v>
      </c>
      <c r="B336" s="328" t="s">
        <v>256</v>
      </c>
      <c r="C336" s="337">
        <v>0</v>
      </c>
      <c r="D336" s="304"/>
      <c r="E336" s="304"/>
    </row>
    <row r="337" spans="1:5" ht="12.65" customHeight="1">
      <c r="A337" s="304" t="s">
        <v>422</v>
      </c>
      <c r="B337" s="328" t="s">
        <v>256</v>
      </c>
      <c r="C337" s="336">
        <f>12484609-19105696</f>
        <v>-6621087</v>
      </c>
      <c r="D337" s="304"/>
      <c r="E337" s="304"/>
    </row>
    <row r="338" spans="1:5" ht="12.65" customHeight="1">
      <c r="A338" s="304" t="s">
        <v>1253</v>
      </c>
      <c r="B338" s="328" t="s">
        <v>256</v>
      </c>
      <c r="C338" s="336"/>
      <c r="D338" s="304"/>
      <c r="E338" s="304"/>
    </row>
    <row r="339" spans="1:5" ht="12.65" customHeight="1">
      <c r="A339" s="304" t="s">
        <v>424</v>
      </c>
      <c r="B339" s="304"/>
      <c r="C339" s="312"/>
      <c r="D339" s="304">
        <f>D314+D319+D330+C332+C336+C337</f>
        <v>84494506</v>
      </c>
      <c r="E339" s="304"/>
    </row>
    <row r="340" spans="1:5" ht="12.65" customHeight="1">
      <c r="A340" s="304"/>
      <c r="B340" s="304"/>
      <c r="C340" s="312"/>
      <c r="D340" s="304"/>
      <c r="E340" s="304"/>
    </row>
    <row r="341" spans="1:5" ht="12.65" customHeight="1">
      <c r="A341" s="304" t="s">
        <v>425</v>
      </c>
      <c r="B341" s="304"/>
      <c r="C341" s="312"/>
      <c r="D341" s="304">
        <f>D292</f>
        <v>84494505.709999993</v>
      </c>
      <c r="E341" s="304"/>
    </row>
    <row r="342" spans="1:5" ht="12.65" customHeight="1">
      <c r="A342" s="304"/>
      <c r="B342" s="304"/>
      <c r="C342" s="312"/>
      <c r="D342" s="304"/>
      <c r="E342" s="304"/>
    </row>
    <row r="343" spans="1:5" ht="12.65" customHeight="1">
      <c r="A343" s="304"/>
      <c r="B343" s="304"/>
      <c r="C343" s="312"/>
      <c r="D343" s="304"/>
      <c r="E343" s="304"/>
    </row>
    <row r="344" spans="1:5" ht="12.65" customHeight="1">
      <c r="A344" s="304"/>
      <c r="B344" s="304"/>
      <c r="C344" s="312"/>
      <c r="D344" s="304"/>
      <c r="E344" s="304"/>
    </row>
    <row r="345" spans="1:5" ht="12.65" customHeight="1">
      <c r="A345" s="304"/>
      <c r="B345" s="304"/>
      <c r="C345" s="312"/>
      <c r="D345" s="304"/>
      <c r="E345" s="304"/>
    </row>
    <row r="346" spans="1:5" ht="12.65" customHeight="1">
      <c r="A346" s="304"/>
      <c r="B346" s="304"/>
      <c r="C346" s="312"/>
      <c r="D346" s="304"/>
      <c r="E346" s="304"/>
    </row>
    <row r="347" spans="1:5" ht="12.65" customHeight="1">
      <c r="A347" s="304"/>
      <c r="B347" s="304"/>
      <c r="C347" s="312"/>
      <c r="D347" s="304"/>
      <c r="E347" s="304"/>
    </row>
    <row r="348" spans="1:5" ht="12.65" customHeight="1">
      <c r="A348" s="304"/>
      <c r="B348" s="304"/>
      <c r="C348" s="312"/>
      <c r="D348" s="304"/>
      <c r="E348" s="304"/>
    </row>
    <row r="349" spans="1:5" ht="12.65" customHeight="1">
      <c r="A349" s="304"/>
      <c r="B349" s="304"/>
      <c r="C349" s="312"/>
      <c r="D349" s="304"/>
      <c r="E349" s="304"/>
    </row>
    <row r="350" spans="1:5" ht="12.65" customHeight="1">
      <c r="A350" s="304"/>
      <c r="B350" s="304"/>
      <c r="C350" s="312"/>
      <c r="D350" s="304"/>
      <c r="E350" s="304"/>
    </row>
    <row r="351" spans="1:5" ht="12.65" customHeight="1">
      <c r="A351" s="304"/>
      <c r="B351" s="304"/>
      <c r="C351" s="312"/>
      <c r="D351" s="304"/>
      <c r="E351" s="304"/>
    </row>
    <row r="352" spans="1:5" ht="12.65" customHeight="1">
      <c r="A352" s="304"/>
      <c r="B352" s="304"/>
      <c r="C352" s="312"/>
      <c r="D352" s="304"/>
      <c r="E352" s="304"/>
    </row>
    <row r="353" spans="1:5" ht="12.65" customHeight="1">
      <c r="A353" s="304"/>
      <c r="B353" s="304"/>
      <c r="C353" s="312"/>
      <c r="D353" s="304"/>
      <c r="E353" s="304"/>
    </row>
    <row r="354" spans="1:5" ht="12.65" customHeight="1">
      <c r="A354" s="304"/>
      <c r="B354" s="304"/>
      <c r="C354" s="312"/>
      <c r="D354" s="304"/>
      <c r="E354" s="304"/>
    </row>
    <row r="355" spans="1:5" ht="12.65" customHeight="1">
      <c r="A355" s="304"/>
      <c r="B355" s="304"/>
      <c r="C355" s="312"/>
      <c r="D355" s="304"/>
      <c r="E355" s="304"/>
    </row>
    <row r="356" spans="1:5" ht="20.25" customHeight="1">
      <c r="A356" s="304"/>
      <c r="B356" s="304"/>
      <c r="C356" s="312"/>
      <c r="D356" s="304"/>
      <c r="E356" s="304"/>
    </row>
    <row r="357" spans="1:5" ht="12.65" customHeight="1">
      <c r="A357" s="327" t="s">
        <v>426</v>
      </c>
      <c r="B357" s="327"/>
      <c r="C357" s="327"/>
      <c r="D357" s="327"/>
      <c r="E357" s="327"/>
    </row>
    <row r="358" spans="1:5" ht="12.65" customHeight="1">
      <c r="A358" s="335" t="s">
        <v>427</v>
      </c>
      <c r="B358" s="335"/>
      <c r="C358" s="335"/>
      <c r="D358" s="335"/>
      <c r="E358" s="335"/>
    </row>
    <row r="359" spans="1:5" ht="12.65" customHeight="1">
      <c r="A359" s="304" t="s">
        <v>428</v>
      </c>
      <c r="B359" s="328" t="s">
        <v>256</v>
      </c>
      <c r="C359" s="336">
        <f>50798533+158604069</f>
        <v>209402602</v>
      </c>
      <c r="D359" s="304"/>
      <c r="E359" s="304"/>
    </row>
    <row r="360" spans="1:5" ht="12.65" customHeight="1">
      <c r="A360" s="304" t="s">
        <v>429</v>
      </c>
      <c r="B360" s="328" t="s">
        <v>256</v>
      </c>
      <c r="C360" s="336">
        <v>311762778</v>
      </c>
      <c r="D360" s="304"/>
      <c r="E360" s="304"/>
    </row>
    <row r="361" spans="1:5" ht="12.65" customHeight="1">
      <c r="A361" s="304" t="s">
        <v>430</v>
      </c>
      <c r="B361" s="304"/>
      <c r="C361" s="312"/>
      <c r="D361" s="304">
        <f>SUM(C359:C360)</f>
        <v>521165380</v>
      </c>
      <c r="E361" s="304"/>
    </row>
    <row r="362" spans="1:5" ht="12.65" customHeight="1">
      <c r="A362" s="335" t="s">
        <v>431</v>
      </c>
      <c r="B362" s="335"/>
      <c r="C362" s="335"/>
      <c r="D362" s="335"/>
      <c r="E362" s="335"/>
    </row>
    <row r="363" spans="1:5" ht="12.65" customHeight="1">
      <c r="A363" s="304" t="s">
        <v>1255</v>
      </c>
      <c r="B363" s="335"/>
      <c r="C363" s="336">
        <v>3177120</v>
      </c>
      <c r="D363" s="304"/>
      <c r="E363" s="335"/>
    </row>
    <row r="364" spans="1:5" ht="12.65" customHeight="1">
      <c r="A364" s="304" t="s">
        <v>432</v>
      </c>
      <c r="B364" s="328" t="s">
        <v>256</v>
      </c>
      <c r="C364" s="336">
        <f>156904983+3855869+5173981-65774+240242840+4771351.76+14519253.59+704694.72+227453.4</f>
        <v>426334652.46999997</v>
      </c>
      <c r="D364" s="304"/>
      <c r="E364" s="304"/>
    </row>
    <row r="365" spans="1:5" ht="12.65" customHeight="1">
      <c r="A365" s="304" t="s">
        <v>433</v>
      </c>
      <c r="B365" s="328" t="s">
        <v>256</v>
      </c>
      <c r="C365" s="336">
        <f>3945249+2529374.43</f>
        <v>6474623.4299999997</v>
      </c>
      <c r="D365" s="304"/>
      <c r="E365" s="304"/>
    </row>
    <row r="366" spans="1:5" ht="12.65" customHeight="1">
      <c r="A366" s="304" t="s">
        <v>434</v>
      </c>
      <c r="B366" s="328" t="s">
        <v>256</v>
      </c>
      <c r="C366" s="336">
        <v>45577.96</v>
      </c>
      <c r="D366" s="304"/>
      <c r="E366" s="304"/>
    </row>
    <row r="367" spans="1:5" ht="12.65" customHeight="1">
      <c r="A367" s="304" t="s">
        <v>359</v>
      </c>
      <c r="B367" s="304"/>
      <c r="C367" s="312"/>
      <c r="D367" s="304">
        <f>SUM(C363:C366)</f>
        <v>436031973.85999995</v>
      </c>
      <c r="E367" s="304"/>
    </row>
    <row r="368" spans="1:5" ht="12.65" customHeight="1">
      <c r="A368" s="304" t="s">
        <v>435</v>
      </c>
      <c r="B368" s="304"/>
      <c r="C368" s="312"/>
      <c r="D368" s="304">
        <f>D361-D367</f>
        <v>85133406.140000045</v>
      </c>
      <c r="E368" s="304"/>
    </row>
    <row r="369" spans="1:5" ht="12.65" customHeight="1">
      <c r="A369" s="335" t="s">
        <v>436</v>
      </c>
      <c r="B369" s="335"/>
      <c r="C369" s="335"/>
      <c r="D369" s="335"/>
      <c r="E369" s="335"/>
    </row>
    <row r="370" spans="1:5" ht="12.65" customHeight="1">
      <c r="A370" s="304" t="s">
        <v>437</v>
      </c>
      <c r="B370" s="328" t="s">
        <v>256</v>
      </c>
      <c r="C370" s="336">
        <v>557924</v>
      </c>
      <c r="D370" s="304"/>
      <c r="E370" s="304"/>
    </row>
    <row r="371" spans="1:5" ht="12.65" customHeight="1">
      <c r="A371" s="304" t="s">
        <v>438</v>
      </c>
      <c r="B371" s="328" t="s">
        <v>256</v>
      </c>
      <c r="C371" s="336">
        <v>0</v>
      </c>
      <c r="D371" s="304"/>
      <c r="E371" s="304"/>
    </row>
    <row r="372" spans="1:5" ht="12.65" customHeight="1">
      <c r="A372" s="304" t="s">
        <v>439</v>
      </c>
      <c r="B372" s="304"/>
      <c r="C372" s="312"/>
      <c r="D372" s="304">
        <f>SUM(C370:C371)</f>
        <v>557924</v>
      </c>
      <c r="E372" s="304"/>
    </row>
    <row r="373" spans="1:5" ht="12.65" customHeight="1">
      <c r="A373" s="304" t="s">
        <v>440</v>
      </c>
      <c r="B373" s="304"/>
      <c r="C373" s="312"/>
      <c r="D373" s="304">
        <f>D368+D372</f>
        <v>85691330.140000045</v>
      </c>
      <c r="E373" s="304"/>
    </row>
    <row r="374" spans="1:5" ht="12.65" customHeight="1">
      <c r="A374" s="304"/>
      <c r="B374" s="304"/>
      <c r="C374" s="312"/>
      <c r="D374" s="304"/>
      <c r="E374" s="304"/>
    </row>
    <row r="375" spans="1:5" ht="12.65" customHeight="1">
      <c r="A375" s="304"/>
      <c r="B375" s="304"/>
      <c r="C375" s="312"/>
      <c r="D375" s="304"/>
      <c r="E375" s="304"/>
    </row>
    <row r="376" spans="1:5" ht="12.65" customHeight="1">
      <c r="A376" s="304"/>
      <c r="B376" s="304"/>
      <c r="C376" s="312"/>
      <c r="D376" s="304"/>
      <c r="E376" s="304"/>
    </row>
    <row r="377" spans="1:5" ht="12.65" customHeight="1">
      <c r="A377" s="335" t="s">
        <v>441</v>
      </c>
      <c r="B377" s="335"/>
      <c r="C377" s="335"/>
      <c r="D377" s="335"/>
      <c r="E377" s="335"/>
    </row>
    <row r="378" spans="1:5" ht="12.65" customHeight="1">
      <c r="A378" s="304" t="s">
        <v>442</v>
      </c>
      <c r="B378" s="328" t="s">
        <v>256</v>
      </c>
      <c r="C378" s="336">
        <v>37106882</v>
      </c>
      <c r="D378" s="304"/>
      <c r="E378" s="304"/>
    </row>
    <row r="379" spans="1:5" ht="12.65" customHeight="1">
      <c r="A379" s="304" t="s">
        <v>3</v>
      </c>
      <c r="B379" s="328" t="s">
        <v>256</v>
      </c>
      <c r="C379" s="336">
        <v>6548760</v>
      </c>
      <c r="D379" s="304"/>
      <c r="E379" s="304"/>
    </row>
    <row r="380" spans="1:5" ht="12.65" customHeight="1">
      <c r="A380" s="304" t="s">
        <v>236</v>
      </c>
      <c r="B380" s="328" t="s">
        <v>256</v>
      </c>
      <c r="C380" s="336">
        <v>4805620</v>
      </c>
      <c r="D380" s="304"/>
      <c r="E380" s="304"/>
    </row>
    <row r="381" spans="1:5" ht="12.65" customHeight="1">
      <c r="A381" s="304" t="s">
        <v>443</v>
      </c>
      <c r="B381" s="328" t="s">
        <v>256</v>
      </c>
      <c r="C381" s="336">
        <v>15014974</v>
      </c>
      <c r="D381" s="304"/>
      <c r="E381" s="304"/>
    </row>
    <row r="382" spans="1:5" ht="12.65" customHeight="1">
      <c r="A382" s="304" t="s">
        <v>444</v>
      </c>
      <c r="B382" s="328" t="s">
        <v>256</v>
      </c>
      <c r="C382" s="336">
        <v>1157699</v>
      </c>
      <c r="D382" s="304"/>
      <c r="E382" s="304"/>
    </row>
    <row r="383" spans="1:5" ht="12.65" customHeight="1">
      <c r="A383" s="304" t="s">
        <v>445</v>
      </c>
      <c r="B383" s="328" t="s">
        <v>256</v>
      </c>
      <c r="C383" s="336">
        <v>9602928</v>
      </c>
      <c r="D383" s="304"/>
      <c r="E383" s="304"/>
    </row>
    <row r="384" spans="1:5" ht="12.65" customHeight="1">
      <c r="A384" s="304" t="s">
        <v>6</v>
      </c>
      <c r="B384" s="328" t="s">
        <v>256</v>
      </c>
      <c r="C384" s="336">
        <v>5898153</v>
      </c>
      <c r="D384" s="304"/>
      <c r="E384" s="304"/>
    </row>
    <row r="385" spans="1:6" ht="12.65" customHeight="1">
      <c r="A385" s="304" t="s">
        <v>446</v>
      </c>
      <c r="B385" s="328" t="s">
        <v>256</v>
      </c>
      <c r="C385" s="336">
        <v>3187051</v>
      </c>
      <c r="D385" s="304"/>
      <c r="E385" s="304"/>
    </row>
    <row r="386" spans="1:6" ht="12.65" customHeight="1">
      <c r="A386" s="304" t="s">
        <v>447</v>
      </c>
      <c r="B386" s="328" t="s">
        <v>256</v>
      </c>
      <c r="C386" s="336">
        <v>680499</v>
      </c>
      <c r="D386" s="304"/>
      <c r="E386" s="304"/>
    </row>
    <row r="387" spans="1:6" ht="12.65" customHeight="1">
      <c r="A387" s="304" t="s">
        <v>448</v>
      </c>
      <c r="B387" s="328" t="s">
        <v>256</v>
      </c>
      <c r="C387" s="336">
        <v>4526713</v>
      </c>
      <c r="D387" s="304"/>
      <c r="E387" s="304"/>
    </row>
    <row r="388" spans="1:6" ht="12.65" customHeight="1">
      <c r="A388" s="304" t="s">
        <v>449</v>
      </c>
      <c r="B388" s="328" t="s">
        <v>256</v>
      </c>
      <c r="C388" s="336">
        <v>9985577</v>
      </c>
      <c r="D388" s="304"/>
      <c r="E388" s="304"/>
    </row>
    <row r="389" spans="1:6" ht="12.65" customHeight="1">
      <c r="A389" s="304" t="s">
        <v>451</v>
      </c>
      <c r="B389" s="328" t="s">
        <v>256</v>
      </c>
      <c r="C389" s="336">
        <f>2495110+3248029+644098-8698+2294660-2391027</f>
        <v>6282172</v>
      </c>
      <c r="D389" s="304"/>
      <c r="E389" s="304"/>
    </row>
    <row r="390" spans="1:6" ht="12.65" customHeight="1">
      <c r="A390" s="304" t="s">
        <v>452</v>
      </c>
      <c r="B390" s="304"/>
      <c r="C390" s="312"/>
      <c r="D390" s="304">
        <f>SUM(C378:C389)</f>
        <v>104797028</v>
      </c>
      <c r="E390" s="304"/>
    </row>
    <row r="391" spans="1:6" ht="12.65" customHeight="1">
      <c r="A391" s="304" t="s">
        <v>453</v>
      </c>
      <c r="B391" s="304"/>
      <c r="C391" s="312"/>
      <c r="D391" s="304">
        <f>D373-D390</f>
        <v>-19105697.859999955</v>
      </c>
      <c r="E391" s="304"/>
    </row>
    <row r="392" spans="1:6" ht="12.65" customHeight="1">
      <c r="A392" s="304" t="s">
        <v>454</v>
      </c>
      <c r="B392" s="328" t="s">
        <v>256</v>
      </c>
      <c r="C392" s="336">
        <v>0</v>
      </c>
      <c r="D392" s="304"/>
      <c r="E392" s="304"/>
    </row>
    <row r="393" spans="1:6" ht="12.65" customHeight="1">
      <c r="A393" s="304" t="s">
        <v>455</v>
      </c>
      <c r="B393" s="304"/>
      <c r="C393" s="312"/>
      <c r="D393" s="304">
        <f>D391+C392</f>
        <v>-19105697.859999955</v>
      </c>
      <c r="E393" s="304"/>
      <c r="F393" s="348"/>
    </row>
    <row r="394" spans="1:6" ht="12.65" customHeight="1">
      <c r="A394" s="304" t="s">
        <v>456</v>
      </c>
      <c r="B394" s="328" t="s">
        <v>256</v>
      </c>
      <c r="C394" s="336">
        <v>0</v>
      </c>
      <c r="D394" s="304"/>
      <c r="E394" s="304"/>
    </row>
    <row r="395" spans="1:6" ht="12.65" customHeight="1">
      <c r="A395" s="304" t="s">
        <v>457</v>
      </c>
      <c r="B395" s="328" t="s">
        <v>256</v>
      </c>
      <c r="C395" s="336">
        <v>0</v>
      </c>
      <c r="D395" s="304"/>
      <c r="E395" s="304"/>
    </row>
    <row r="396" spans="1:6" ht="12.65" customHeight="1">
      <c r="A396" s="304" t="s">
        <v>458</v>
      </c>
      <c r="B396" s="304"/>
      <c r="C396" s="312"/>
      <c r="D396" s="304">
        <f>D393+C394-C395</f>
        <v>-19105697.859999955</v>
      </c>
      <c r="E396" s="304"/>
    </row>
    <row r="397" spans="1:6" ht="13.5" customHeight="1"/>
    <row r="400" spans="1:6" ht="12" customHeight="1"/>
    <row r="401" spans="1:5" ht="12" customHeight="1"/>
    <row r="402" spans="1:5" ht="12" customHeight="1"/>
    <row r="403" spans="1:5" ht="12" customHeight="1"/>
    <row r="404" spans="1:5" ht="12" customHeight="1"/>
    <row r="411" spans="1:5" ht="12.65" customHeight="1">
      <c r="C411" s="303" t="s">
        <v>459</v>
      </c>
      <c r="E411" s="349"/>
    </row>
    <row r="412" spans="1:5" ht="12.65" customHeight="1">
      <c r="A412" s="2" t="str">
        <f>C84&amp;"   "&amp;"H-"&amp;FIXED(C83,0,TRUE)&amp;"     FYE "&amp;C82</f>
        <v>Capital Medical Center   H-0     FYE 12/31/2020</v>
      </c>
      <c r="E412" s="349"/>
    </row>
    <row r="413" spans="1:5" ht="12.65" customHeight="1">
      <c r="A413" s="2" t="s">
        <v>460</v>
      </c>
      <c r="B413" s="303" t="s">
        <v>461</v>
      </c>
      <c r="C413" s="303" t="s">
        <v>1243</v>
      </c>
      <c r="D413" s="303" t="s">
        <v>462</v>
      </c>
    </row>
    <row r="414" spans="1:5" ht="12.65" customHeight="1">
      <c r="A414" s="2" t="s">
        <v>463</v>
      </c>
      <c r="B414" s="2">
        <f>C111</f>
        <v>3464</v>
      </c>
      <c r="C414" s="2">
        <f>E138</f>
        <v>3464</v>
      </c>
    </row>
    <row r="415" spans="1:5" ht="12.65" customHeight="1">
      <c r="A415" s="2" t="s">
        <v>464</v>
      </c>
      <c r="B415" s="2">
        <f>D111</f>
        <v>12201</v>
      </c>
      <c r="C415" s="2">
        <f>E139</f>
        <v>12201</v>
      </c>
      <c r="D415" s="2">
        <f>SUM(C59:H59)+N59</f>
        <v>43570</v>
      </c>
    </row>
    <row r="417" spans="1:7" ht="12.65" customHeight="1">
      <c r="A417" s="2" t="s">
        <v>465</v>
      </c>
      <c r="B417" s="2">
        <f>C112</f>
        <v>0</v>
      </c>
      <c r="C417" s="2">
        <f>E144</f>
        <v>0</v>
      </c>
    </row>
    <row r="418" spans="1:7" ht="12.65" customHeight="1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</row>
    <row r="420" spans="1:7" ht="12.65" customHeight="1">
      <c r="A420" s="2" t="s">
        <v>467</v>
      </c>
      <c r="B420" s="2">
        <f>C113</f>
        <v>0</v>
      </c>
      <c r="C420" s="2">
        <f>E150</f>
        <v>0</v>
      </c>
    </row>
    <row r="421" spans="1:7" ht="12.65" customHeight="1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>
      <c r="A422" s="350"/>
      <c r="B422" s="350"/>
      <c r="C422" s="303"/>
    </row>
    <row r="423" spans="1:7" ht="12.65" customHeight="1">
      <c r="A423" s="2" t="s">
        <v>469</v>
      </c>
      <c r="B423" s="2">
        <f>C114</f>
        <v>647</v>
      </c>
    </row>
    <row r="424" spans="1:7" ht="12.65" customHeight="1">
      <c r="A424" s="2" t="s">
        <v>1244</v>
      </c>
      <c r="B424" s="2">
        <f>D114</f>
        <v>1010</v>
      </c>
      <c r="D424" s="2">
        <f>J59</f>
        <v>1066</v>
      </c>
    </row>
    <row r="425" spans="1:7" ht="12.65" customHeight="1">
      <c r="A425" s="350"/>
      <c r="B425" s="350"/>
      <c r="C425" s="350"/>
      <c r="D425" s="350"/>
      <c r="F425" s="350"/>
      <c r="G425" s="350"/>
    </row>
    <row r="426" spans="1:7" ht="12.65" customHeight="1">
      <c r="A426" s="2" t="s">
        <v>470</v>
      </c>
      <c r="B426" s="303" t="s">
        <v>471</v>
      </c>
      <c r="C426" s="303" t="s">
        <v>462</v>
      </c>
      <c r="D426" s="303" t="s">
        <v>472</v>
      </c>
    </row>
    <row r="427" spans="1:7" ht="12.65" customHeight="1">
      <c r="A427" s="2" t="s">
        <v>473</v>
      </c>
      <c r="B427" s="2">
        <f t="shared" ref="B427:B437" si="12">C378</f>
        <v>37106882</v>
      </c>
      <c r="C427" s="2">
        <f t="shared" ref="C427:C434" si="13">CE61</f>
        <v>37106883</v>
      </c>
    </row>
    <row r="428" spans="1:7" ht="12.65" customHeight="1">
      <c r="A428" s="2" t="s">
        <v>3</v>
      </c>
      <c r="B428" s="2">
        <f t="shared" si="12"/>
        <v>6548760</v>
      </c>
      <c r="C428" s="2">
        <f t="shared" si="13"/>
        <v>6548757</v>
      </c>
      <c r="D428" s="2">
        <f>D173</f>
        <v>6548760</v>
      </c>
    </row>
    <row r="429" spans="1:7" ht="12.65" customHeight="1">
      <c r="A429" s="2" t="s">
        <v>236</v>
      </c>
      <c r="B429" s="2">
        <f t="shared" si="12"/>
        <v>4805620</v>
      </c>
      <c r="C429" s="2">
        <f t="shared" si="13"/>
        <v>4805619</v>
      </c>
    </row>
    <row r="430" spans="1:7" ht="12.65" customHeight="1">
      <c r="A430" s="2" t="s">
        <v>237</v>
      </c>
      <c r="B430" s="2">
        <f t="shared" si="12"/>
        <v>15014974</v>
      </c>
      <c r="C430" s="2">
        <f t="shared" si="13"/>
        <v>15014977</v>
      </c>
    </row>
    <row r="431" spans="1:7" ht="12.65" customHeight="1">
      <c r="A431" s="2" t="s">
        <v>444</v>
      </c>
      <c r="B431" s="2">
        <f t="shared" si="12"/>
        <v>1157699</v>
      </c>
      <c r="C431" s="2">
        <f t="shared" si="13"/>
        <v>1157698</v>
      </c>
    </row>
    <row r="432" spans="1:7" ht="12.65" customHeight="1">
      <c r="A432" s="2" t="s">
        <v>445</v>
      </c>
      <c r="B432" s="2">
        <f t="shared" si="12"/>
        <v>9602928</v>
      </c>
      <c r="C432" s="2">
        <f t="shared" si="13"/>
        <v>9602933</v>
      </c>
    </row>
    <row r="433" spans="1:7" ht="12.65" customHeight="1">
      <c r="A433" s="2" t="s">
        <v>6</v>
      </c>
      <c r="B433" s="2">
        <f t="shared" si="12"/>
        <v>5898153</v>
      </c>
      <c r="C433" s="2">
        <f t="shared" si="13"/>
        <v>5898156</v>
      </c>
      <c r="D433" s="2">
        <f>C217</f>
        <v>5887178</v>
      </c>
    </row>
    <row r="434" spans="1:7" ht="12.65" customHeight="1">
      <c r="A434" s="2" t="s">
        <v>474</v>
      </c>
      <c r="B434" s="2">
        <f t="shared" si="12"/>
        <v>3187051</v>
      </c>
      <c r="C434" s="2">
        <f t="shared" si="13"/>
        <v>3187052</v>
      </c>
      <c r="D434" s="2">
        <f>D177</f>
        <v>3187050</v>
      </c>
    </row>
    <row r="435" spans="1:7" ht="12.65" customHeight="1">
      <c r="A435" s="2" t="s">
        <v>447</v>
      </c>
      <c r="B435" s="2">
        <f t="shared" si="12"/>
        <v>680499</v>
      </c>
      <c r="D435" s="2">
        <f>D181</f>
        <v>680499</v>
      </c>
    </row>
    <row r="436" spans="1:7" ht="12.65" customHeight="1">
      <c r="A436" s="2" t="s">
        <v>475</v>
      </c>
      <c r="B436" s="2">
        <f t="shared" si="12"/>
        <v>4526713</v>
      </c>
      <c r="D436" s="2">
        <f>D186</f>
        <v>4526712.6099999994</v>
      </c>
    </row>
    <row r="437" spans="1:7" ht="12.65" customHeight="1">
      <c r="A437" s="2" t="s">
        <v>449</v>
      </c>
      <c r="B437" s="2">
        <f t="shared" si="12"/>
        <v>9985577</v>
      </c>
      <c r="D437" s="2">
        <f>D190</f>
        <v>9985577</v>
      </c>
    </row>
    <row r="438" spans="1:7" ht="12.65" customHeight="1">
      <c r="A438" s="2" t="s">
        <v>476</v>
      </c>
      <c r="B438" s="2">
        <f>C386+C387+C388</f>
        <v>15192789</v>
      </c>
      <c r="C438" s="2">
        <f>CD69</f>
        <v>13483429</v>
      </c>
      <c r="D438" s="2">
        <f>D181+D186+D190</f>
        <v>15192788.609999999</v>
      </c>
    </row>
    <row r="439" spans="1:7" ht="12.65" customHeight="1">
      <c r="A439" s="2" t="s">
        <v>451</v>
      </c>
      <c r="B439" s="2">
        <f>C389</f>
        <v>6282172</v>
      </c>
      <c r="C439" s="2">
        <f>SUM(C69:CC69)</f>
        <v>9705493</v>
      </c>
    </row>
    <row r="440" spans="1:7" ht="12.65" customHeight="1">
      <c r="A440" s="2" t="s">
        <v>477</v>
      </c>
      <c r="B440" s="2">
        <f>B438+B439</f>
        <v>21474961</v>
      </c>
      <c r="C440" s="2">
        <f>CE69</f>
        <v>23188922</v>
      </c>
    </row>
    <row r="441" spans="1:7" ht="12.65" customHeight="1">
      <c r="A441" s="2" t="s">
        <v>478</v>
      </c>
      <c r="B441" s="2">
        <f>D390</f>
        <v>104797028</v>
      </c>
      <c r="C441" s="2">
        <f>SUM(C427:C437)+C440</f>
        <v>106510997</v>
      </c>
    </row>
    <row r="442" spans="1:7" ht="12.65" customHeight="1">
      <c r="A442" s="350"/>
      <c r="B442" s="350"/>
      <c r="C442" s="350"/>
      <c r="D442" s="350"/>
      <c r="F442" s="350"/>
      <c r="G442" s="350"/>
    </row>
    <row r="443" spans="1:7" ht="12.65" customHeight="1">
      <c r="A443" s="2" t="s">
        <v>479</v>
      </c>
      <c r="B443" s="303" t="s">
        <v>480</v>
      </c>
      <c r="C443" s="303" t="s">
        <v>471</v>
      </c>
    </row>
    <row r="444" spans="1:7" ht="12.65" customHeight="1">
      <c r="A444" s="2" t="s">
        <v>1257</v>
      </c>
      <c r="B444" s="2">
        <f>D221</f>
        <v>3177120</v>
      </c>
      <c r="C444" s="2">
        <f>C363</f>
        <v>3177120</v>
      </c>
    </row>
    <row r="445" spans="1:7" ht="12.65" customHeight="1">
      <c r="A445" s="2" t="s">
        <v>343</v>
      </c>
      <c r="B445" s="2">
        <f>D229</f>
        <v>428909602.86000001</v>
      </c>
      <c r="C445" s="2">
        <f>C364</f>
        <v>426334652.46999997</v>
      </c>
    </row>
    <row r="446" spans="1:7" ht="12.65" customHeight="1">
      <c r="A446" s="2" t="s">
        <v>351</v>
      </c>
      <c r="B446" s="2">
        <f>D236</f>
        <v>3945249.6400000006</v>
      </c>
      <c r="C446" s="2">
        <f>C365</f>
        <v>6474623.4299999997</v>
      </c>
    </row>
    <row r="447" spans="1:7" ht="12.65" customHeight="1">
      <c r="A447" s="2" t="s">
        <v>356</v>
      </c>
      <c r="B447" s="2">
        <f>D240</f>
        <v>0</v>
      </c>
      <c r="C447" s="2">
        <f>C366</f>
        <v>45577.96</v>
      </c>
    </row>
    <row r="448" spans="1:7" ht="12.65" customHeight="1">
      <c r="A448" s="2" t="s">
        <v>358</v>
      </c>
      <c r="B448" s="2">
        <f>D242</f>
        <v>436031972.5</v>
      </c>
      <c r="C448" s="2">
        <f>D367</f>
        <v>436031973.85999995</v>
      </c>
    </row>
    <row r="449" spans="1:7" ht="12.65" customHeight="1">
      <c r="A449" s="350"/>
      <c r="B449" s="350"/>
      <c r="C449" s="350"/>
      <c r="D449" s="350"/>
      <c r="F449" s="350"/>
      <c r="G449" s="350"/>
    </row>
    <row r="450" spans="1:7" ht="12.65" customHeight="1">
      <c r="A450" s="2" t="s">
        <v>481</v>
      </c>
      <c r="B450" s="303" t="s">
        <v>482</v>
      </c>
      <c r="C450" s="350"/>
      <c r="D450" s="350"/>
      <c r="F450" s="350"/>
      <c r="G450" s="350"/>
    </row>
    <row r="451" spans="1:7" ht="12.65" customHeight="1">
      <c r="B451" s="303" t="s">
        <v>483</v>
      </c>
    </row>
    <row r="452" spans="1:7" ht="12.65" customHeight="1">
      <c r="B452" s="303" t="s">
        <v>472</v>
      </c>
    </row>
    <row r="453" spans="1:7" ht="12.65" customHeight="1">
      <c r="A453" s="290" t="s">
        <v>484</v>
      </c>
      <c r="B453" s="2">
        <f>C231</f>
        <v>0</v>
      </c>
    </row>
    <row r="454" spans="1:7" ht="12.65" customHeight="1">
      <c r="A454" s="2" t="s">
        <v>168</v>
      </c>
      <c r="B454" s="2">
        <f>C233</f>
        <v>1516817.16</v>
      </c>
    </row>
    <row r="455" spans="1:7" ht="12.65" customHeight="1">
      <c r="A455" s="2" t="s">
        <v>131</v>
      </c>
      <c r="B455" s="2">
        <f>C234</f>
        <v>2428432.4800000004</v>
      </c>
    </row>
    <row r="456" spans="1:7" ht="12.65" customHeight="1">
      <c r="A456" s="350"/>
      <c r="B456" s="350"/>
      <c r="C456" s="350"/>
      <c r="D456" s="350"/>
      <c r="F456" s="350"/>
      <c r="G456" s="350"/>
    </row>
    <row r="457" spans="1:7" ht="12.65" customHeight="1">
      <c r="A457" s="2" t="s">
        <v>485</v>
      </c>
      <c r="B457" s="303" t="s">
        <v>471</v>
      </c>
      <c r="C457" s="303" t="s">
        <v>486</v>
      </c>
    </row>
    <row r="458" spans="1:7" ht="12.65" customHeight="1">
      <c r="A458" s="2" t="s">
        <v>487</v>
      </c>
      <c r="B458" s="2">
        <f>C370</f>
        <v>557924</v>
      </c>
      <c r="C458" s="2">
        <f>CE70</f>
        <v>557924</v>
      </c>
    </row>
    <row r="459" spans="1:7" ht="12.65" customHeight="1">
      <c r="A459" s="2" t="s">
        <v>244</v>
      </c>
      <c r="B459" s="2">
        <f>C371</f>
        <v>0</v>
      </c>
      <c r="C459" s="2">
        <f>CE72</f>
        <v>0</v>
      </c>
    </row>
    <row r="460" spans="1:7" ht="12.65" customHeight="1">
      <c r="A460" s="350"/>
      <c r="B460" s="350"/>
      <c r="C460" s="350"/>
      <c r="D460" s="350"/>
      <c r="F460" s="350"/>
      <c r="G460" s="350"/>
    </row>
    <row r="461" spans="1:7" ht="12.65" customHeight="1">
      <c r="A461" s="2" t="s">
        <v>488</v>
      </c>
      <c r="B461" s="303"/>
      <c r="C461" s="303"/>
      <c r="D461" s="303" t="s">
        <v>1245</v>
      </c>
    </row>
    <row r="462" spans="1:7" ht="12.65" customHeight="1">
      <c r="B462" s="303" t="s">
        <v>471</v>
      </c>
      <c r="C462" s="303" t="s">
        <v>486</v>
      </c>
      <c r="D462" s="303" t="s">
        <v>490</v>
      </c>
    </row>
    <row r="463" spans="1:7" ht="12.65" customHeight="1">
      <c r="A463" s="2" t="s">
        <v>245</v>
      </c>
      <c r="B463" s="2">
        <f>C359</f>
        <v>209402602</v>
      </c>
      <c r="C463" s="2">
        <f>CE73</f>
        <v>209402604</v>
      </c>
      <c r="D463" s="2">
        <f>E141+E147+E153</f>
        <v>209402602</v>
      </c>
    </row>
    <row r="464" spans="1:7" ht="12.65" customHeight="1">
      <c r="A464" s="2" t="s">
        <v>246</v>
      </c>
      <c r="B464" s="2">
        <f>C360</f>
        <v>311762778</v>
      </c>
      <c r="C464" s="2">
        <f>CE74</f>
        <v>311762784</v>
      </c>
      <c r="D464" s="2">
        <f>E142+E148+E154</f>
        <v>311784612</v>
      </c>
    </row>
    <row r="465" spans="1:7" ht="12.65" customHeight="1">
      <c r="A465" s="2" t="s">
        <v>247</v>
      </c>
      <c r="B465" s="2">
        <f>D361</f>
        <v>521165380</v>
      </c>
      <c r="C465" s="2">
        <f>CE75</f>
        <v>521165388</v>
      </c>
      <c r="D465" s="2">
        <f>D463+D464</f>
        <v>521187214</v>
      </c>
    </row>
    <row r="466" spans="1:7" ht="12.65" customHeight="1">
      <c r="A466" s="350"/>
      <c r="B466" s="350"/>
      <c r="C466" s="350"/>
      <c r="D466" s="350"/>
      <c r="F466" s="350"/>
      <c r="G466" s="350"/>
    </row>
    <row r="467" spans="1:7" ht="12.65" customHeight="1">
      <c r="A467" s="2" t="s">
        <v>491</v>
      </c>
      <c r="B467" s="303" t="s">
        <v>492</v>
      </c>
      <c r="C467" s="303" t="s">
        <v>493</v>
      </c>
    </row>
    <row r="468" spans="1:7" ht="12.65" customHeight="1">
      <c r="A468" s="2" t="s">
        <v>332</v>
      </c>
      <c r="B468" s="2">
        <f t="shared" ref="B468:B475" si="14">C267</f>
        <v>3160000</v>
      </c>
      <c r="C468" s="2">
        <f>E195</f>
        <v>3160000</v>
      </c>
    </row>
    <row r="469" spans="1:7" ht="12.65" customHeight="1">
      <c r="A469" s="2" t="s">
        <v>333</v>
      </c>
      <c r="B469" s="2">
        <f t="shared" si="14"/>
        <v>710000</v>
      </c>
      <c r="C469" s="2">
        <f>E196</f>
        <v>710000</v>
      </c>
    </row>
    <row r="470" spans="1:7" ht="12.65" customHeight="1">
      <c r="A470" s="2" t="s">
        <v>334</v>
      </c>
      <c r="B470" s="2">
        <f t="shared" si="14"/>
        <v>44944891</v>
      </c>
      <c r="C470" s="2">
        <f>E197</f>
        <v>38437221</v>
      </c>
    </row>
    <row r="471" spans="1:7" ht="12.65" customHeight="1">
      <c r="A471" s="2" t="s">
        <v>494</v>
      </c>
      <c r="B471" s="2">
        <f t="shared" si="14"/>
        <v>21305026</v>
      </c>
      <c r="C471" s="2">
        <f>E198</f>
        <v>0</v>
      </c>
    </row>
    <row r="472" spans="1:7" ht="12.65" customHeight="1">
      <c r="A472" s="2" t="s">
        <v>377</v>
      </c>
      <c r="B472" s="2">
        <f t="shared" si="14"/>
        <v>0</v>
      </c>
      <c r="C472" s="2">
        <f>E199</f>
        <v>21305025</v>
      </c>
    </row>
    <row r="473" spans="1:7" ht="12.65" customHeight="1">
      <c r="A473" s="2" t="s">
        <v>495</v>
      </c>
      <c r="B473" s="2">
        <f t="shared" si="14"/>
        <v>20235122</v>
      </c>
      <c r="C473" s="2">
        <f>SUM(E200:E201)</f>
        <v>22221247</v>
      </c>
    </row>
    <row r="474" spans="1:7" ht="12.65" customHeight="1">
      <c r="A474" s="2" t="s">
        <v>339</v>
      </c>
      <c r="B474" s="2">
        <f t="shared" si="14"/>
        <v>0</v>
      </c>
      <c r="C474" s="2">
        <f>E202</f>
        <v>4521546</v>
      </c>
    </row>
    <row r="475" spans="1:7" ht="12.65" customHeight="1">
      <c r="A475" s="2" t="s">
        <v>340</v>
      </c>
      <c r="B475" s="2">
        <f t="shared" si="14"/>
        <v>491978</v>
      </c>
      <c r="C475" s="2">
        <f>E203</f>
        <v>491978</v>
      </c>
    </row>
    <row r="476" spans="1:7" ht="12.65" customHeight="1">
      <c r="A476" s="2" t="s">
        <v>203</v>
      </c>
      <c r="B476" s="2">
        <f>D275</f>
        <v>90847017</v>
      </c>
      <c r="C476" s="2">
        <f>E204</f>
        <v>90847017</v>
      </c>
    </row>
    <row r="478" spans="1:7" ht="12.65" customHeight="1">
      <c r="A478" s="2" t="s">
        <v>496</v>
      </c>
      <c r="B478" s="2">
        <f>C276</f>
        <v>24120505</v>
      </c>
      <c r="C478" s="2">
        <f>E217</f>
        <v>24120505.359999999</v>
      </c>
    </row>
    <row r="480" spans="1:7" ht="12.65" customHeight="1">
      <c r="A480" s="2" t="s">
        <v>497</v>
      </c>
    </row>
    <row r="481" spans="1:12" ht="12.65" customHeight="1">
      <c r="A481" s="2" t="s">
        <v>498</v>
      </c>
      <c r="C481" s="2">
        <f>D341</f>
        <v>84494505.709999993</v>
      </c>
    </row>
    <row r="482" spans="1:12" ht="12.65" customHeight="1">
      <c r="A482" s="2" t="s">
        <v>499</v>
      </c>
      <c r="C482" s="2">
        <f>D339</f>
        <v>84494506</v>
      </c>
    </row>
    <row r="485" spans="1:12" ht="12.65" customHeight="1">
      <c r="A485" s="290" t="s">
        <v>500</v>
      </c>
    </row>
    <row r="486" spans="1:12" ht="12.65" customHeight="1">
      <c r="A486" s="290" t="s">
        <v>501</v>
      </c>
    </row>
    <row r="487" spans="1:12" ht="12.65" customHeight="1">
      <c r="A487" s="290" t="s">
        <v>502</v>
      </c>
    </row>
    <row r="488" spans="1:12" ht="12.65" customHeight="1">
      <c r="A488" s="290"/>
    </row>
    <row r="489" spans="1:12" ht="12.65" customHeight="1">
      <c r="A489" s="288" t="s">
        <v>503</v>
      </c>
    </row>
    <row r="490" spans="1:12" ht="12.65" customHeight="1">
      <c r="A490" s="290" t="s">
        <v>504</v>
      </c>
    </row>
    <row r="491" spans="1:12" ht="12.65" customHeight="1">
      <c r="A491" s="290"/>
    </row>
    <row r="493" spans="1:12" ht="12.65" customHeight="1">
      <c r="A493" s="2" t="str">
        <f>C83</f>
        <v>197</v>
      </c>
      <c r="B493" s="351" t="str">
        <f>RIGHT('[1]Prior Year'!C83,4)</f>
        <v>197</v>
      </c>
      <c r="C493" s="351" t="str">
        <f>RIGHT(C82,4)</f>
        <v>2020</v>
      </c>
      <c r="D493" s="351" t="str">
        <f>RIGHT('[1]Prior Year'!C83,4)</f>
        <v>197</v>
      </c>
      <c r="E493" s="351" t="str">
        <f>RIGHT(C82,4)</f>
        <v>2020</v>
      </c>
      <c r="F493" s="351" t="str">
        <f>RIGHT('[1]Prior Year'!C83,4)</f>
        <v>197</v>
      </c>
      <c r="G493" s="351" t="str">
        <f>RIGHT(C82,4)</f>
        <v>2020</v>
      </c>
      <c r="H493" s="351"/>
      <c r="K493" s="351"/>
      <c r="L493" s="351"/>
    </row>
    <row r="494" spans="1:12" ht="12.65" customHeight="1">
      <c r="A494" s="288"/>
      <c r="B494" s="303" t="s">
        <v>505</v>
      </c>
      <c r="C494" s="303" t="s">
        <v>505</v>
      </c>
      <c r="D494" s="352" t="s">
        <v>506</v>
      </c>
      <c r="E494" s="352" t="s">
        <v>506</v>
      </c>
      <c r="F494" s="351" t="s">
        <v>507</v>
      </c>
      <c r="G494" s="351" t="s">
        <v>507</v>
      </c>
      <c r="H494" s="351" t="s">
        <v>508</v>
      </c>
      <c r="K494" s="351"/>
      <c r="L494" s="351"/>
    </row>
    <row r="495" spans="1:12" ht="12.65" customHeight="1">
      <c r="B495" s="303" t="s">
        <v>303</v>
      </c>
      <c r="C495" s="303" t="s">
        <v>303</v>
      </c>
      <c r="D495" s="303" t="s">
        <v>509</v>
      </c>
      <c r="E495" s="303" t="s">
        <v>509</v>
      </c>
      <c r="F495" s="351" t="s">
        <v>510</v>
      </c>
      <c r="G495" s="351" t="s">
        <v>510</v>
      </c>
      <c r="H495" s="351" t="s">
        <v>511</v>
      </c>
      <c r="K495" s="351"/>
      <c r="L495" s="351"/>
    </row>
    <row r="496" spans="1:12" ht="12.65" customHeight="1">
      <c r="A496" s="2" t="s">
        <v>512</v>
      </c>
      <c r="B496" s="299">
        <f>'[1]Prior Year'!C71</f>
        <v>8195784</v>
      </c>
      <c r="C496" s="299">
        <f>C71</f>
        <v>7711928</v>
      </c>
      <c r="D496" s="299">
        <f>'[1]Prior Year'!C59</f>
        <v>45514</v>
      </c>
      <c r="E496" s="2">
        <f>C59</f>
        <v>38191</v>
      </c>
      <c r="F496" s="353">
        <f t="shared" ref="F496:G511" si="15">IF(B496=0,"",IF(D496=0,"",B496/D496))</f>
        <v>180.07171419782924</v>
      </c>
      <c r="G496" s="353">
        <f t="shared" si="15"/>
        <v>201.93050718755728</v>
      </c>
      <c r="H496" s="354" t="str">
        <f>IF(B496=0,"",IF(C496=0,"",IF(D496=0,"",IF(E496=0,"",IF(G496/F496-1&lt;-0.25,G496/F496-1,IF(G496/F496-1&gt;0.25,G496/F496-1,""))))))</f>
        <v/>
      </c>
      <c r="I496" s="265"/>
      <c r="K496" s="351"/>
      <c r="L496" s="351"/>
    </row>
    <row r="497" spans="1:12" ht="12.65" customHeight="1">
      <c r="A497" s="2" t="s">
        <v>513</v>
      </c>
      <c r="B497" s="299">
        <f>'[1]Prior Year'!D71</f>
        <v>0</v>
      </c>
      <c r="C497" s="299">
        <f>D71</f>
        <v>0</v>
      </c>
      <c r="D497" s="299">
        <f>'[1]Prior Year'!D59</f>
        <v>0</v>
      </c>
      <c r="E497" s="2">
        <f>D59</f>
        <v>0</v>
      </c>
      <c r="F497" s="353" t="str">
        <f t="shared" si="15"/>
        <v/>
      </c>
      <c r="G497" s="353" t="str">
        <f t="shared" si="15"/>
        <v/>
      </c>
      <c r="H497" s="354" t="str">
        <f t="shared" ref="H497:H550" si="16">IF(B497=0,"",IF(C497=0,"",IF(D497=0,"",IF(E497=0,"",IF(G497/F497-1&lt;-0.25,G497/F497-1,IF(G497/F497-1&gt;0.25,G497/F497-1,""))))))</f>
        <v/>
      </c>
      <c r="I497" s="265"/>
      <c r="K497" s="351"/>
      <c r="L497" s="351"/>
    </row>
    <row r="498" spans="1:12" ht="12.65" customHeight="1">
      <c r="A498" s="2" t="s">
        <v>514</v>
      </c>
      <c r="B498" s="299">
        <f>'[1]Prior Year'!E71</f>
        <v>6301267</v>
      </c>
      <c r="C498" s="299">
        <f>E71</f>
        <v>4165180</v>
      </c>
      <c r="D498" s="299">
        <f>'[1]Prior Year'!E59</f>
        <v>9669</v>
      </c>
      <c r="E498" s="2">
        <f>E59</f>
        <v>5379</v>
      </c>
      <c r="F498" s="353">
        <f t="shared" si="15"/>
        <v>651.6979005067742</v>
      </c>
      <c r="G498" s="353">
        <f t="shared" si="15"/>
        <v>774.34095556794944</v>
      </c>
      <c r="H498" s="354" t="str">
        <f t="shared" si="16"/>
        <v/>
      </c>
      <c r="I498" s="265"/>
      <c r="K498" s="351"/>
      <c r="L498" s="351"/>
    </row>
    <row r="499" spans="1:12" ht="12.65" customHeight="1">
      <c r="A499" s="2" t="s">
        <v>515</v>
      </c>
      <c r="B499" s="299">
        <f>'[1]Prior Year'!F71</f>
        <v>0</v>
      </c>
      <c r="C499" s="299">
        <f>F71</f>
        <v>0</v>
      </c>
      <c r="D499" s="299">
        <f>'[1]Prior Year'!F59</f>
        <v>0</v>
      </c>
      <c r="E499" s="2">
        <f>F59</f>
        <v>0</v>
      </c>
      <c r="F499" s="353" t="str">
        <f t="shared" si="15"/>
        <v/>
      </c>
      <c r="G499" s="353" t="str">
        <f t="shared" si="15"/>
        <v/>
      </c>
      <c r="H499" s="354" t="str">
        <f t="shared" si="16"/>
        <v/>
      </c>
      <c r="I499" s="265"/>
      <c r="K499" s="351"/>
      <c r="L499" s="351"/>
    </row>
    <row r="500" spans="1:12" ht="12.65" customHeight="1">
      <c r="A500" s="2" t="s">
        <v>516</v>
      </c>
      <c r="B500" s="299">
        <f>'[1]Prior Year'!G71</f>
        <v>0</v>
      </c>
      <c r="C500" s="299">
        <f>G71</f>
        <v>0</v>
      </c>
      <c r="D500" s="299">
        <f>'[1]Prior Year'!G59</f>
        <v>0</v>
      </c>
      <c r="E500" s="2">
        <f>G59</f>
        <v>0</v>
      </c>
      <c r="F500" s="353" t="str">
        <f t="shared" si="15"/>
        <v/>
      </c>
      <c r="G500" s="353" t="str">
        <f t="shared" si="15"/>
        <v/>
      </c>
      <c r="H500" s="354" t="str">
        <f t="shared" si="16"/>
        <v/>
      </c>
      <c r="I500" s="265"/>
      <c r="K500" s="351"/>
      <c r="L500" s="351"/>
    </row>
    <row r="501" spans="1:12" ht="12.65" customHeight="1">
      <c r="A501" s="2" t="s">
        <v>517</v>
      </c>
      <c r="B501" s="299">
        <f>'[1]Prior Year'!H71</f>
        <v>0</v>
      </c>
      <c r="C501" s="299">
        <f>H71</f>
        <v>0</v>
      </c>
      <c r="D501" s="299">
        <f>'[1]Prior Year'!H59</f>
        <v>0</v>
      </c>
      <c r="E501" s="2">
        <f>H59</f>
        <v>0</v>
      </c>
      <c r="F501" s="353" t="str">
        <f t="shared" si="15"/>
        <v/>
      </c>
      <c r="G501" s="353" t="str">
        <f t="shared" si="15"/>
        <v/>
      </c>
      <c r="H501" s="354" t="str">
        <f t="shared" si="16"/>
        <v/>
      </c>
      <c r="I501" s="265"/>
      <c r="K501" s="351"/>
      <c r="L501" s="351"/>
    </row>
    <row r="502" spans="1:12" ht="12.65" customHeight="1">
      <c r="A502" s="2" t="s">
        <v>518</v>
      </c>
      <c r="B502" s="299">
        <f>'[1]Prior Year'!I71</f>
        <v>0</v>
      </c>
      <c r="C502" s="299">
        <f>I71</f>
        <v>0</v>
      </c>
      <c r="D502" s="299">
        <f>'[1]Prior Year'!I59</f>
        <v>0</v>
      </c>
      <c r="E502" s="2">
        <f>I59</f>
        <v>0</v>
      </c>
      <c r="F502" s="353" t="str">
        <f t="shared" si="15"/>
        <v/>
      </c>
      <c r="G502" s="353" t="str">
        <f t="shared" si="15"/>
        <v/>
      </c>
      <c r="H502" s="354" t="str">
        <f t="shared" si="16"/>
        <v/>
      </c>
      <c r="I502" s="265"/>
      <c r="K502" s="351"/>
      <c r="L502" s="351"/>
    </row>
    <row r="503" spans="1:12" ht="12.65" customHeight="1">
      <c r="A503" s="2" t="s">
        <v>519</v>
      </c>
      <c r="B503" s="299">
        <f>'[1]Prior Year'!J71</f>
        <v>654405</v>
      </c>
      <c r="C503" s="299">
        <f>J71</f>
        <v>623346</v>
      </c>
      <c r="D503" s="299">
        <f>'[1]Prior Year'!J59</f>
        <v>1113</v>
      </c>
      <c r="E503" s="2">
        <f>J59</f>
        <v>1066</v>
      </c>
      <c r="F503" s="353">
        <f t="shared" si="15"/>
        <v>587.96495956873321</v>
      </c>
      <c r="G503" s="353">
        <f t="shared" si="15"/>
        <v>584.75234521575987</v>
      </c>
      <c r="H503" s="354" t="str">
        <f t="shared" si="16"/>
        <v/>
      </c>
      <c r="I503" s="265"/>
      <c r="K503" s="351"/>
      <c r="L503" s="351"/>
    </row>
    <row r="504" spans="1:12" ht="12.65" customHeight="1">
      <c r="A504" s="2" t="s">
        <v>520</v>
      </c>
      <c r="B504" s="299">
        <f>'[1]Prior Year'!K71</f>
        <v>0</v>
      </c>
      <c r="C504" s="299">
        <f>K71</f>
        <v>0</v>
      </c>
      <c r="D504" s="299">
        <f>'[1]Prior Year'!K59</f>
        <v>0</v>
      </c>
      <c r="E504" s="2">
        <f>K59</f>
        <v>0</v>
      </c>
      <c r="F504" s="353" t="str">
        <f t="shared" si="15"/>
        <v/>
      </c>
      <c r="G504" s="353" t="str">
        <f t="shared" si="15"/>
        <v/>
      </c>
      <c r="H504" s="354" t="str">
        <f t="shared" si="16"/>
        <v/>
      </c>
      <c r="I504" s="265"/>
      <c r="K504" s="351"/>
      <c r="L504" s="351"/>
    </row>
    <row r="505" spans="1:12" ht="12.65" customHeight="1">
      <c r="A505" s="2" t="s">
        <v>521</v>
      </c>
      <c r="B505" s="299">
        <f>'[1]Prior Year'!L71</f>
        <v>0</v>
      </c>
      <c r="C505" s="299">
        <f>L71</f>
        <v>0</v>
      </c>
      <c r="D505" s="299">
        <f>'[1]Prior Year'!L59</f>
        <v>0</v>
      </c>
      <c r="E505" s="2">
        <f>L59</f>
        <v>0</v>
      </c>
      <c r="F505" s="353" t="str">
        <f t="shared" si="15"/>
        <v/>
      </c>
      <c r="G505" s="353" t="str">
        <f t="shared" si="15"/>
        <v/>
      </c>
      <c r="H505" s="354" t="str">
        <f t="shared" si="16"/>
        <v/>
      </c>
      <c r="I505" s="265"/>
      <c r="K505" s="351"/>
      <c r="L505" s="351"/>
    </row>
    <row r="506" spans="1:12" ht="12.65" customHeight="1">
      <c r="A506" s="2" t="s">
        <v>522</v>
      </c>
      <c r="B506" s="299">
        <f>'[1]Prior Year'!M71</f>
        <v>0</v>
      </c>
      <c r="C506" s="299">
        <f>M71</f>
        <v>0</v>
      </c>
      <c r="D506" s="299">
        <f>'[1]Prior Year'!M59</f>
        <v>0</v>
      </c>
      <c r="E506" s="2">
        <f>M59</f>
        <v>0</v>
      </c>
      <c r="F506" s="353" t="str">
        <f t="shared" si="15"/>
        <v/>
      </c>
      <c r="G506" s="353" t="str">
        <f t="shared" si="15"/>
        <v/>
      </c>
      <c r="H506" s="354" t="str">
        <f t="shared" si="16"/>
        <v/>
      </c>
      <c r="I506" s="265"/>
      <c r="K506" s="351"/>
      <c r="L506" s="351"/>
    </row>
    <row r="507" spans="1:12" ht="12.65" customHeight="1">
      <c r="A507" s="2" t="s">
        <v>523</v>
      </c>
      <c r="B507" s="299">
        <f>'[1]Prior Year'!N71</f>
        <v>0</v>
      </c>
      <c r="C507" s="299">
        <f>N71</f>
        <v>0</v>
      </c>
      <c r="D507" s="299">
        <f>'[1]Prior Year'!N59</f>
        <v>0</v>
      </c>
      <c r="E507" s="2">
        <f>N59</f>
        <v>0</v>
      </c>
      <c r="F507" s="353" t="str">
        <f t="shared" si="15"/>
        <v/>
      </c>
      <c r="G507" s="353" t="str">
        <f t="shared" si="15"/>
        <v/>
      </c>
      <c r="H507" s="354" t="str">
        <f t="shared" si="16"/>
        <v/>
      </c>
      <c r="I507" s="265"/>
      <c r="K507" s="351"/>
      <c r="L507" s="351"/>
    </row>
    <row r="508" spans="1:12" ht="12.65" customHeight="1">
      <c r="A508" s="2" t="s">
        <v>524</v>
      </c>
      <c r="B508" s="299">
        <f>'[1]Prior Year'!O71</f>
        <v>4048688</v>
      </c>
      <c r="C508" s="299">
        <f>O71</f>
        <v>4184496</v>
      </c>
      <c r="D508" s="299">
        <f>'[1]Prior Year'!O59</f>
        <v>1398</v>
      </c>
      <c r="E508" s="2">
        <f>O59</f>
        <v>1298</v>
      </c>
      <c r="F508" s="353">
        <f t="shared" si="15"/>
        <v>2896.0572246065808</v>
      </c>
      <c r="G508" s="353">
        <f t="shared" si="15"/>
        <v>3223.8027734976886</v>
      </c>
      <c r="H508" s="354" t="str">
        <f t="shared" si="16"/>
        <v/>
      </c>
      <c r="I508" s="265"/>
      <c r="K508" s="351"/>
      <c r="L508" s="351"/>
    </row>
    <row r="509" spans="1:12" ht="12.65" customHeight="1">
      <c r="A509" s="2" t="s">
        <v>525</v>
      </c>
      <c r="B509" s="299">
        <f>'[1]Prior Year'!P71</f>
        <v>5740882</v>
      </c>
      <c r="C509" s="299">
        <f>P71</f>
        <v>4688337</v>
      </c>
      <c r="D509" s="299">
        <f>'[1]Prior Year'!P59</f>
        <v>463375</v>
      </c>
      <c r="E509" s="2">
        <f>P59</f>
        <v>252863</v>
      </c>
      <c r="F509" s="353">
        <f t="shared" si="15"/>
        <v>12.389278661990828</v>
      </c>
      <c r="G509" s="353">
        <f t="shared" si="15"/>
        <v>18.541016281543762</v>
      </c>
      <c r="H509" s="354">
        <f t="shared" si="16"/>
        <v>0.49653719053280332</v>
      </c>
      <c r="I509" s="265"/>
      <c r="K509" s="351"/>
      <c r="L509" s="351"/>
    </row>
    <row r="510" spans="1:12" ht="12.65" customHeight="1">
      <c r="A510" s="2" t="s">
        <v>526</v>
      </c>
      <c r="B510" s="299">
        <f>'[1]Prior Year'!Q71</f>
        <v>1248170</v>
      </c>
      <c r="C510" s="299">
        <f>Q71</f>
        <v>1028207</v>
      </c>
      <c r="D510" s="299">
        <f>'[1]Prior Year'!Q59</f>
        <v>350167</v>
      </c>
      <c r="E510" s="2">
        <f>Q59</f>
        <v>207782</v>
      </c>
      <c r="F510" s="353">
        <f t="shared" si="15"/>
        <v>3.5644992246556644</v>
      </c>
      <c r="G510" s="353">
        <f t="shared" si="15"/>
        <v>4.9484892820359798</v>
      </c>
      <c r="H510" s="354">
        <f t="shared" si="16"/>
        <v>0.38827054521635107</v>
      </c>
      <c r="I510" s="265"/>
      <c r="K510" s="351"/>
      <c r="L510" s="351"/>
    </row>
    <row r="511" spans="1:12" ht="12.65" customHeight="1">
      <c r="A511" s="2" t="s">
        <v>527</v>
      </c>
      <c r="B511" s="299">
        <f>'[1]Prior Year'!R71</f>
        <v>1576473</v>
      </c>
      <c r="C511" s="299">
        <f>R71</f>
        <v>1628727</v>
      </c>
      <c r="D511" s="299">
        <f>'[1]Prior Year'!R59</f>
        <v>522284</v>
      </c>
      <c r="E511" s="2">
        <f>R59</f>
        <v>306348</v>
      </c>
      <c r="F511" s="353">
        <f t="shared" si="15"/>
        <v>3.0184210123227975</v>
      </c>
      <c r="G511" s="353">
        <f t="shared" si="15"/>
        <v>5.3165909357985033</v>
      </c>
      <c r="H511" s="354">
        <f t="shared" si="16"/>
        <v>0.76138150181613362</v>
      </c>
      <c r="I511" s="265"/>
      <c r="K511" s="351"/>
      <c r="L511" s="351"/>
    </row>
    <row r="512" spans="1:12" ht="12.65" customHeight="1">
      <c r="A512" s="2" t="s">
        <v>528</v>
      </c>
      <c r="B512" s="299">
        <f>'[1]Prior Year'!S71</f>
        <v>1381958</v>
      </c>
      <c r="C512" s="299">
        <f>S71</f>
        <v>3499996</v>
      </c>
      <c r="D512" s="303" t="s">
        <v>529</v>
      </c>
      <c r="E512" s="303" t="s">
        <v>529</v>
      </c>
      <c r="F512" s="353" t="str">
        <f t="shared" ref="F512:G527" si="17">IF(B512=0,"",IF(D512=0,"",B512/D512))</f>
        <v/>
      </c>
      <c r="G512" s="353" t="str">
        <f t="shared" si="17"/>
        <v/>
      </c>
      <c r="H512" s="354" t="str">
        <f t="shared" si="16"/>
        <v/>
      </c>
      <c r="I512" s="265"/>
      <c r="K512" s="351"/>
      <c r="L512" s="351"/>
    </row>
    <row r="513" spans="1:12" ht="12.65" customHeight="1">
      <c r="A513" s="2" t="s">
        <v>1246</v>
      </c>
      <c r="B513" s="299">
        <f>'[1]Prior Year'!T71</f>
        <v>0</v>
      </c>
      <c r="C513" s="299">
        <f>T71</f>
        <v>0</v>
      </c>
      <c r="D513" s="303" t="s">
        <v>529</v>
      </c>
      <c r="E513" s="303" t="s">
        <v>529</v>
      </c>
      <c r="F513" s="353" t="str">
        <f t="shared" si="17"/>
        <v/>
      </c>
      <c r="G513" s="353" t="str">
        <f t="shared" si="17"/>
        <v/>
      </c>
      <c r="H513" s="354" t="str">
        <f t="shared" si="16"/>
        <v/>
      </c>
      <c r="I513" s="265"/>
      <c r="K513" s="351"/>
      <c r="L513" s="351"/>
    </row>
    <row r="514" spans="1:12" ht="12.65" customHeight="1">
      <c r="A514" s="2" t="s">
        <v>530</v>
      </c>
      <c r="B514" s="299">
        <f>'[1]Prior Year'!U71</f>
        <v>3876615</v>
      </c>
      <c r="C514" s="299">
        <f>U71</f>
        <v>3814539</v>
      </c>
      <c r="D514" s="299">
        <f>'[1]Prior Year'!U59</f>
        <v>265612</v>
      </c>
      <c r="E514" s="2">
        <f>U59</f>
        <v>209106</v>
      </c>
      <c r="F514" s="353">
        <f t="shared" si="17"/>
        <v>14.595029592036504</v>
      </c>
      <c r="G514" s="353">
        <f t="shared" si="17"/>
        <v>18.242130785343317</v>
      </c>
      <c r="H514" s="354" t="str">
        <f t="shared" si="16"/>
        <v/>
      </c>
      <c r="I514" s="265"/>
      <c r="K514" s="351"/>
      <c r="L514" s="351"/>
    </row>
    <row r="515" spans="1:12" ht="12.65" customHeight="1">
      <c r="A515" s="2" t="s">
        <v>531</v>
      </c>
      <c r="B515" s="299">
        <f>'[1]Prior Year'!V71</f>
        <v>0</v>
      </c>
      <c r="C515" s="299">
        <f>V71</f>
        <v>0</v>
      </c>
      <c r="D515" s="299">
        <f>'[1]Prior Year'!V59</f>
        <v>0</v>
      </c>
      <c r="E515" s="2">
        <f>V59</f>
        <v>0</v>
      </c>
      <c r="F515" s="353" t="str">
        <f t="shared" si="17"/>
        <v/>
      </c>
      <c r="G515" s="353" t="str">
        <f t="shared" si="17"/>
        <v/>
      </c>
      <c r="H515" s="354" t="str">
        <f t="shared" si="16"/>
        <v/>
      </c>
      <c r="I515" s="265"/>
      <c r="K515" s="351"/>
      <c r="L515" s="351"/>
    </row>
    <row r="516" spans="1:12" ht="12.65" customHeight="1">
      <c r="A516" s="2" t="s">
        <v>532</v>
      </c>
      <c r="B516" s="299">
        <f>'[1]Prior Year'!W71</f>
        <v>330679</v>
      </c>
      <c r="C516" s="299">
        <f>W71</f>
        <v>313185</v>
      </c>
      <c r="D516" s="299">
        <f>'[1]Prior Year'!W59</f>
        <v>865</v>
      </c>
      <c r="E516" s="2">
        <f>W59</f>
        <v>812</v>
      </c>
      <c r="F516" s="353">
        <f t="shared" si="17"/>
        <v>382.28786127167632</v>
      </c>
      <c r="G516" s="353">
        <f t="shared" si="17"/>
        <v>385.69581280788179</v>
      </c>
      <c r="H516" s="354" t="str">
        <f t="shared" si="16"/>
        <v/>
      </c>
      <c r="I516" s="265"/>
      <c r="K516" s="351"/>
      <c r="L516" s="351"/>
    </row>
    <row r="517" spans="1:12" ht="12.65" customHeight="1">
      <c r="A517" s="2" t="s">
        <v>533</v>
      </c>
      <c r="B517" s="299">
        <f>'[1]Prior Year'!X71</f>
        <v>2225969</v>
      </c>
      <c r="C517" s="299">
        <f>X71</f>
        <v>2219255</v>
      </c>
      <c r="D517" s="299">
        <f>'[1]Prior Year'!X59</f>
        <v>18792</v>
      </c>
      <c r="E517" s="2">
        <f>X59</f>
        <v>15832</v>
      </c>
      <c r="F517" s="353">
        <f t="shared" si="17"/>
        <v>118.45301191996595</v>
      </c>
      <c r="G517" s="353">
        <f t="shared" si="17"/>
        <v>140.17527791814047</v>
      </c>
      <c r="H517" s="354" t="str">
        <f t="shared" si="16"/>
        <v/>
      </c>
      <c r="I517" s="265"/>
      <c r="K517" s="351"/>
      <c r="L517" s="351"/>
    </row>
    <row r="518" spans="1:12" ht="12.65" customHeight="1">
      <c r="A518" s="2" t="s">
        <v>534</v>
      </c>
      <c r="B518" s="299">
        <f>'[1]Prior Year'!Y71</f>
        <v>4995961</v>
      </c>
      <c r="C518" s="299">
        <f>Y71</f>
        <v>5111005</v>
      </c>
      <c r="D518" s="299">
        <f>'[1]Prior Year'!Y59</f>
        <v>30604</v>
      </c>
      <c r="E518" s="2">
        <f>Y59</f>
        <v>25113</v>
      </c>
      <c r="F518" s="353">
        <f t="shared" si="17"/>
        <v>163.24536008364919</v>
      </c>
      <c r="G518" s="353">
        <f t="shared" si="17"/>
        <v>203.52028829689803</v>
      </c>
      <c r="H518" s="354" t="str">
        <f t="shared" si="16"/>
        <v/>
      </c>
      <c r="I518" s="265"/>
      <c r="K518" s="351"/>
      <c r="L518" s="351"/>
    </row>
    <row r="519" spans="1:12" ht="12.65" customHeight="1">
      <c r="A519" s="2" t="s">
        <v>535</v>
      </c>
      <c r="B519" s="299">
        <f>'[1]Prior Year'!Z71</f>
        <v>1623647</v>
      </c>
      <c r="C519" s="299">
        <f>Z71</f>
        <v>1607376</v>
      </c>
      <c r="D519" s="299">
        <f>'[1]Prior Year'!Z59</f>
        <v>14150</v>
      </c>
      <c r="E519" s="2">
        <f>Z59</f>
        <v>15433</v>
      </c>
      <c r="F519" s="353">
        <f t="shared" si="17"/>
        <v>114.74537102473498</v>
      </c>
      <c r="G519" s="353">
        <f t="shared" si="17"/>
        <v>104.15188233007193</v>
      </c>
      <c r="H519" s="354" t="str">
        <f t="shared" si="16"/>
        <v/>
      </c>
      <c r="I519" s="265"/>
      <c r="K519" s="351"/>
      <c r="L519" s="351"/>
    </row>
    <row r="520" spans="1:12" ht="12.65" customHeight="1">
      <c r="A520" s="2" t="s">
        <v>536</v>
      </c>
      <c r="B520" s="299">
        <f>'[1]Prior Year'!AA71</f>
        <v>279321</v>
      </c>
      <c r="C520" s="299">
        <f>AA71</f>
        <v>261244</v>
      </c>
      <c r="D520" s="299">
        <f>'[1]Prior Year'!AA59</f>
        <v>1929</v>
      </c>
      <c r="E520" s="2">
        <f>AA59</f>
        <v>1077</v>
      </c>
      <c r="F520" s="353">
        <f t="shared" si="17"/>
        <v>144.80093312597199</v>
      </c>
      <c r="G520" s="353">
        <f t="shared" si="17"/>
        <v>242.56638811513463</v>
      </c>
      <c r="H520" s="354">
        <f t="shared" si="16"/>
        <v>0.67517144315713717</v>
      </c>
      <c r="I520" s="265"/>
      <c r="K520" s="351"/>
      <c r="L520" s="351"/>
    </row>
    <row r="521" spans="1:12" ht="12.65" customHeight="1">
      <c r="A521" s="2" t="s">
        <v>537</v>
      </c>
      <c r="B521" s="299">
        <f>'[1]Prior Year'!AB71</f>
        <v>4618423</v>
      </c>
      <c r="C521" s="299">
        <f>AB71</f>
        <v>3299309</v>
      </c>
      <c r="D521" s="303" t="s">
        <v>529</v>
      </c>
      <c r="E521" s="303" t="s">
        <v>529</v>
      </c>
      <c r="F521" s="353" t="str">
        <f t="shared" si="17"/>
        <v/>
      </c>
      <c r="G521" s="353" t="str">
        <f t="shared" si="17"/>
        <v/>
      </c>
      <c r="H521" s="354" t="str">
        <f t="shared" si="16"/>
        <v/>
      </c>
      <c r="I521" s="265"/>
      <c r="K521" s="351"/>
      <c r="L521" s="351"/>
    </row>
    <row r="522" spans="1:12" ht="12.65" customHeight="1">
      <c r="A522" s="2" t="s">
        <v>538</v>
      </c>
      <c r="B522" s="299">
        <f>'[1]Prior Year'!AC71</f>
        <v>1496255</v>
      </c>
      <c r="C522" s="299">
        <f>AC71</f>
        <v>1567309</v>
      </c>
      <c r="D522" s="299">
        <f>'[1]Prior Year'!AC59</f>
        <v>19655</v>
      </c>
      <c r="E522" s="2">
        <f>AC59</f>
        <v>16963</v>
      </c>
      <c r="F522" s="353">
        <f t="shared" si="17"/>
        <v>76.125922157211903</v>
      </c>
      <c r="G522" s="353">
        <f t="shared" si="17"/>
        <v>92.395743677415552</v>
      </c>
      <c r="H522" s="354" t="str">
        <f t="shared" si="16"/>
        <v/>
      </c>
      <c r="I522" s="265"/>
      <c r="K522" s="351"/>
      <c r="L522" s="351"/>
    </row>
    <row r="523" spans="1:12" ht="12.65" customHeight="1">
      <c r="A523" s="2" t="s">
        <v>539</v>
      </c>
      <c r="B523" s="299">
        <f>'[1]Prior Year'!AD71</f>
        <v>0</v>
      </c>
      <c r="C523" s="299">
        <f>AD71</f>
        <v>0</v>
      </c>
      <c r="D523" s="299">
        <f>'[1]Prior Year'!AD59</f>
        <v>0</v>
      </c>
      <c r="E523" s="2">
        <f>AD59</f>
        <v>0</v>
      </c>
      <c r="F523" s="353" t="str">
        <f t="shared" si="17"/>
        <v/>
      </c>
      <c r="G523" s="353" t="str">
        <f t="shared" si="17"/>
        <v/>
      </c>
      <c r="H523" s="354" t="str">
        <f t="shared" si="16"/>
        <v/>
      </c>
      <c r="I523" s="265"/>
      <c r="K523" s="351"/>
      <c r="L523" s="351"/>
    </row>
    <row r="524" spans="1:12" ht="12.65" customHeight="1">
      <c r="A524" s="2" t="s">
        <v>540</v>
      </c>
      <c r="B524" s="299">
        <f>'[1]Prior Year'!AE71</f>
        <v>1218576</v>
      </c>
      <c r="C524" s="299">
        <f>AE71</f>
        <v>1035869</v>
      </c>
      <c r="D524" s="299">
        <f>'[1]Prior Year'!AE59</f>
        <v>32251</v>
      </c>
      <c r="E524" s="2">
        <f>AE59</f>
        <v>19366</v>
      </c>
      <c r="F524" s="353">
        <f t="shared" si="17"/>
        <v>37.784130724628696</v>
      </c>
      <c r="G524" s="353">
        <f t="shared" si="17"/>
        <v>53.489052979448516</v>
      </c>
      <c r="H524" s="354">
        <f t="shared" si="16"/>
        <v>0.41564863220693171</v>
      </c>
      <c r="I524" s="265"/>
      <c r="K524" s="351"/>
      <c r="L524" s="351"/>
    </row>
    <row r="525" spans="1:12" ht="12.65" customHeight="1">
      <c r="A525" s="2" t="s">
        <v>541</v>
      </c>
      <c r="B525" s="299">
        <f>'[1]Prior Year'!AF71</f>
        <v>0</v>
      </c>
      <c r="C525" s="299">
        <f>AF71</f>
        <v>0</v>
      </c>
      <c r="D525" s="299">
        <f>'[1]Prior Year'!AF59</f>
        <v>0</v>
      </c>
      <c r="E525" s="2">
        <f>AF59</f>
        <v>0</v>
      </c>
      <c r="F525" s="353" t="str">
        <f t="shared" si="17"/>
        <v/>
      </c>
      <c r="G525" s="353" t="str">
        <f t="shared" si="17"/>
        <v/>
      </c>
      <c r="H525" s="354" t="str">
        <f t="shared" si="16"/>
        <v/>
      </c>
      <c r="I525" s="265"/>
      <c r="K525" s="351"/>
      <c r="L525" s="351"/>
    </row>
    <row r="526" spans="1:12" ht="12.65" customHeight="1">
      <c r="A526" s="2" t="s">
        <v>542</v>
      </c>
      <c r="B526" s="299">
        <f>'[1]Prior Year'!AG71</f>
        <v>3854125</v>
      </c>
      <c r="C526" s="299">
        <f>AG71</f>
        <v>3783637</v>
      </c>
      <c r="D526" s="299">
        <f>'[1]Prior Year'!AG59</f>
        <v>20552</v>
      </c>
      <c r="E526" s="2">
        <f>AG59</f>
        <v>15301</v>
      </c>
      <c r="F526" s="353">
        <f t="shared" si="17"/>
        <v>187.53041066562864</v>
      </c>
      <c r="G526" s="353">
        <f t="shared" si="17"/>
        <v>247.28037383177571</v>
      </c>
      <c r="H526" s="354">
        <f t="shared" si="16"/>
        <v>0.31861479401697013</v>
      </c>
      <c r="I526" s="265"/>
      <c r="K526" s="351"/>
      <c r="L526" s="351"/>
    </row>
    <row r="527" spans="1:12" ht="12.65" customHeight="1">
      <c r="A527" s="2" t="s">
        <v>543</v>
      </c>
      <c r="B527" s="299">
        <f>'[1]Prior Year'!AH71</f>
        <v>0</v>
      </c>
      <c r="C527" s="299">
        <f>AH71</f>
        <v>0</v>
      </c>
      <c r="D527" s="299">
        <f>'[1]Prior Year'!AH59</f>
        <v>0</v>
      </c>
      <c r="E527" s="2">
        <f>AH59</f>
        <v>0</v>
      </c>
      <c r="F527" s="353" t="str">
        <f t="shared" si="17"/>
        <v/>
      </c>
      <c r="G527" s="353" t="str">
        <f t="shared" si="17"/>
        <v/>
      </c>
      <c r="H527" s="354" t="str">
        <f t="shared" si="16"/>
        <v/>
      </c>
      <c r="I527" s="265"/>
      <c r="K527" s="351"/>
      <c r="L527" s="351"/>
    </row>
    <row r="528" spans="1:12" ht="12.65" customHeight="1">
      <c r="A528" s="2" t="s">
        <v>544</v>
      </c>
      <c r="B528" s="299">
        <f>'[1]Prior Year'!AI71</f>
        <v>2678173</v>
      </c>
      <c r="C528" s="299">
        <f>AI71</f>
        <v>2360083</v>
      </c>
      <c r="D528" s="299">
        <f>'[1]Prior Year'!AI59</f>
        <v>10016</v>
      </c>
      <c r="E528" s="2">
        <f>AI59</f>
        <v>7280</v>
      </c>
      <c r="F528" s="353">
        <f t="shared" ref="F528:G540" si="18">IF(B528=0,"",IF(D528=0,"",B528/D528))</f>
        <v>267.38947683706073</v>
      </c>
      <c r="G528" s="353">
        <f t="shared" si="18"/>
        <v>324.18722527472528</v>
      </c>
      <c r="H528" s="354" t="str">
        <f t="shared" si="16"/>
        <v/>
      </c>
      <c r="I528" s="265"/>
      <c r="K528" s="351"/>
      <c r="L528" s="351"/>
    </row>
    <row r="529" spans="1:12" ht="12.65" customHeight="1">
      <c r="A529" s="2" t="s">
        <v>545</v>
      </c>
      <c r="B529" s="299">
        <f>'[1]Prior Year'!AJ71</f>
        <v>0</v>
      </c>
      <c r="C529" s="299">
        <f>AJ71</f>
        <v>0</v>
      </c>
      <c r="D529" s="299">
        <f>'[1]Prior Year'!AJ59</f>
        <v>0</v>
      </c>
      <c r="E529" s="2">
        <f>AJ59</f>
        <v>0</v>
      </c>
      <c r="F529" s="353" t="str">
        <f t="shared" si="18"/>
        <v/>
      </c>
      <c r="G529" s="353" t="str">
        <f t="shared" si="18"/>
        <v/>
      </c>
      <c r="H529" s="354" t="str">
        <f t="shared" si="16"/>
        <v/>
      </c>
      <c r="I529" s="265"/>
      <c r="K529" s="351"/>
      <c r="L529" s="351"/>
    </row>
    <row r="530" spans="1:12" ht="12.65" customHeight="1">
      <c r="A530" s="2" t="s">
        <v>546</v>
      </c>
      <c r="B530" s="299">
        <f>'[1]Prior Year'!AK71</f>
        <v>112524</v>
      </c>
      <c r="C530" s="299">
        <f>AK71</f>
        <v>77433</v>
      </c>
      <c r="D530" s="299">
        <f>'[1]Prior Year'!AK59</f>
        <v>4806</v>
      </c>
      <c r="E530" s="2">
        <f>AK59</f>
        <v>2715</v>
      </c>
      <c r="F530" s="353">
        <f t="shared" si="18"/>
        <v>23.413233458177277</v>
      </c>
      <c r="G530" s="353">
        <f t="shared" si="18"/>
        <v>28.520441988950274</v>
      </c>
      <c r="H530" s="354" t="str">
        <f t="shared" si="16"/>
        <v/>
      </c>
      <c r="I530" s="265"/>
      <c r="K530" s="351"/>
      <c r="L530" s="351"/>
    </row>
    <row r="531" spans="1:12" ht="12.65" customHeight="1">
      <c r="A531" s="2" t="s">
        <v>547</v>
      </c>
      <c r="B531" s="299">
        <f>'[1]Prior Year'!AL71</f>
        <v>61845</v>
      </c>
      <c r="C531" s="299">
        <f>AL71</f>
        <v>56145</v>
      </c>
      <c r="D531" s="299">
        <f>'[1]Prior Year'!AL59</f>
        <v>876</v>
      </c>
      <c r="E531" s="2">
        <f>AL59</f>
        <v>798</v>
      </c>
      <c r="F531" s="353">
        <f t="shared" si="18"/>
        <v>70.599315068493155</v>
      </c>
      <c r="G531" s="353">
        <f t="shared" si="18"/>
        <v>70.357142857142861</v>
      </c>
      <c r="H531" s="354" t="str">
        <f t="shared" si="16"/>
        <v/>
      </c>
      <c r="I531" s="265"/>
      <c r="K531" s="351"/>
      <c r="L531" s="351"/>
    </row>
    <row r="532" spans="1:12" ht="12.65" customHeight="1">
      <c r="A532" s="2" t="s">
        <v>548</v>
      </c>
      <c r="B532" s="299">
        <f>'[1]Prior Year'!AM71</f>
        <v>0</v>
      </c>
      <c r="C532" s="299">
        <f>AM71</f>
        <v>0</v>
      </c>
      <c r="D532" s="299">
        <f>'[1]Prior Year'!AM59</f>
        <v>0</v>
      </c>
      <c r="E532" s="2">
        <f>AM59</f>
        <v>0</v>
      </c>
      <c r="F532" s="353" t="str">
        <f t="shared" si="18"/>
        <v/>
      </c>
      <c r="G532" s="353" t="str">
        <f t="shared" si="18"/>
        <v/>
      </c>
      <c r="H532" s="354" t="str">
        <f t="shared" si="16"/>
        <v/>
      </c>
      <c r="I532" s="265"/>
      <c r="K532" s="351"/>
      <c r="L532" s="351"/>
    </row>
    <row r="533" spans="1:12" ht="12.65" customHeight="1">
      <c r="A533" s="2" t="s">
        <v>1247</v>
      </c>
      <c r="B533" s="299">
        <f>'[1]Prior Year'!AN71</f>
        <v>0</v>
      </c>
      <c r="C533" s="299">
        <f>AN71</f>
        <v>0</v>
      </c>
      <c r="D533" s="299">
        <f>'[1]Prior Year'!AN59</f>
        <v>0</v>
      </c>
      <c r="E533" s="2">
        <f>AN59</f>
        <v>0</v>
      </c>
      <c r="F533" s="353" t="str">
        <f t="shared" si="18"/>
        <v/>
      </c>
      <c r="G533" s="353" t="str">
        <f t="shared" si="18"/>
        <v/>
      </c>
      <c r="H533" s="354" t="str">
        <f t="shared" si="16"/>
        <v/>
      </c>
      <c r="I533" s="265"/>
      <c r="K533" s="351"/>
      <c r="L533" s="351"/>
    </row>
    <row r="534" spans="1:12" ht="12.65" customHeight="1">
      <c r="A534" s="2" t="s">
        <v>549</v>
      </c>
      <c r="B534" s="299">
        <f>'[1]Prior Year'!AO71</f>
        <v>0</v>
      </c>
      <c r="C534" s="299">
        <f>AO71</f>
        <v>0</v>
      </c>
      <c r="D534" s="299">
        <f>'[1]Prior Year'!AO59</f>
        <v>0</v>
      </c>
      <c r="E534" s="2">
        <f>AO59</f>
        <v>0</v>
      </c>
      <c r="F534" s="353" t="str">
        <f t="shared" si="18"/>
        <v/>
      </c>
      <c r="G534" s="353" t="str">
        <f t="shared" si="18"/>
        <v/>
      </c>
      <c r="H534" s="354" t="str">
        <f t="shared" si="16"/>
        <v/>
      </c>
      <c r="I534" s="265"/>
      <c r="K534" s="351"/>
      <c r="L534" s="351"/>
    </row>
    <row r="535" spans="1:12" ht="12.65" customHeight="1">
      <c r="A535" s="2" t="s">
        <v>550</v>
      </c>
      <c r="B535" s="299">
        <f>'[1]Prior Year'!AP71</f>
        <v>0</v>
      </c>
      <c r="C535" s="299">
        <f>AP71</f>
        <v>0</v>
      </c>
      <c r="D535" s="299">
        <f>'[1]Prior Year'!AP59</f>
        <v>0</v>
      </c>
      <c r="E535" s="2">
        <f>AP59</f>
        <v>0</v>
      </c>
      <c r="F535" s="353" t="str">
        <f t="shared" si="18"/>
        <v/>
      </c>
      <c r="G535" s="353" t="str">
        <f t="shared" si="18"/>
        <v/>
      </c>
      <c r="H535" s="354" t="str">
        <f t="shared" si="16"/>
        <v/>
      </c>
      <c r="I535" s="265"/>
      <c r="K535" s="351"/>
      <c r="L535" s="351"/>
    </row>
    <row r="536" spans="1:12" ht="12.65" customHeight="1">
      <c r="A536" s="2" t="s">
        <v>551</v>
      </c>
      <c r="B536" s="299">
        <f>'[1]Prior Year'!AQ71</f>
        <v>0</v>
      </c>
      <c r="C536" s="299">
        <f>AQ71</f>
        <v>0</v>
      </c>
      <c r="D536" s="299">
        <f>'[1]Prior Year'!AQ59</f>
        <v>0</v>
      </c>
      <c r="E536" s="2">
        <f>AQ59</f>
        <v>0</v>
      </c>
      <c r="F536" s="353" t="str">
        <f t="shared" si="18"/>
        <v/>
      </c>
      <c r="G536" s="353" t="str">
        <f t="shared" si="18"/>
        <v/>
      </c>
      <c r="H536" s="354" t="str">
        <f t="shared" si="16"/>
        <v/>
      </c>
      <c r="I536" s="265"/>
      <c r="K536" s="351"/>
      <c r="L536" s="351"/>
    </row>
    <row r="537" spans="1:12" ht="12.65" customHeight="1">
      <c r="A537" s="2" t="s">
        <v>552</v>
      </c>
      <c r="B537" s="299">
        <f>'[1]Prior Year'!AR71</f>
        <v>0</v>
      </c>
      <c r="C537" s="299">
        <f>AR71</f>
        <v>0</v>
      </c>
      <c r="D537" s="299">
        <f>'[1]Prior Year'!AR59</f>
        <v>0</v>
      </c>
      <c r="E537" s="2">
        <f>AR59</f>
        <v>0</v>
      </c>
      <c r="F537" s="353" t="str">
        <f t="shared" si="18"/>
        <v/>
      </c>
      <c r="G537" s="353" t="str">
        <f t="shared" si="18"/>
        <v/>
      </c>
      <c r="H537" s="354" t="str">
        <f t="shared" si="16"/>
        <v/>
      </c>
      <c r="I537" s="265"/>
      <c r="K537" s="351"/>
      <c r="L537" s="351"/>
    </row>
    <row r="538" spans="1:12" ht="12.65" customHeight="1">
      <c r="A538" s="2" t="s">
        <v>553</v>
      </c>
      <c r="B538" s="299">
        <f>'[1]Prior Year'!AS71</f>
        <v>0</v>
      </c>
      <c r="C538" s="299">
        <f>AS71</f>
        <v>0</v>
      </c>
      <c r="D538" s="299">
        <f>'[1]Prior Year'!AS59</f>
        <v>0</v>
      </c>
      <c r="E538" s="2">
        <f>AS59</f>
        <v>0</v>
      </c>
      <c r="F538" s="353" t="str">
        <f t="shared" si="18"/>
        <v/>
      </c>
      <c r="G538" s="353" t="str">
        <f t="shared" si="18"/>
        <v/>
      </c>
      <c r="H538" s="354" t="str">
        <f t="shared" si="16"/>
        <v/>
      </c>
      <c r="I538" s="265"/>
      <c r="K538" s="351"/>
      <c r="L538" s="351"/>
    </row>
    <row r="539" spans="1:12" ht="12.65" customHeight="1">
      <c r="A539" s="2" t="s">
        <v>554</v>
      </c>
      <c r="B539" s="299">
        <f>'[1]Prior Year'!AT71</f>
        <v>0</v>
      </c>
      <c r="C539" s="299">
        <f>AT71</f>
        <v>0</v>
      </c>
      <c r="D539" s="299">
        <f>'[1]Prior Year'!AT59</f>
        <v>0</v>
      </c>
      <c r="E539" s="2">
        <f>AT59</f>
        <v>0</v>
      </c>
      <c r="F539" s="353" t="str">
        <f t="shared" si="18"/>
        <v/>
      </c>
      <c r="G539" s="353" t="str">
        <f t="shared" si="18"/>
        <v/>
      </c>
      <c r="H539" s="354" t="str">
        <f t="shared" si="16"/>
        <v/>
      </c>
      <c r="I539" s="265"/>
      <c r="K539" s="351"/>
      <c r="L539" s="351"/>
    </row>
    <row r="540" spans="1:12" ht="12.65" customHeight="1">
      <c r="A540" s="2" t="s">
        <v>555</v>
      </c>
      <c r="B540" s="299">
        <f>'[1]Prior Year'!AU71</f>
        <v>0</v>
      </c>
      <c r="C540" s="299">
        <f>AU71</f>
        <v>0</v>
      </c>
      <c r="D540" s="299">
        <f>'[1]Prior Year'!AU59</f>
        <v>0</v>
      </c>
      <c r="E540" s="2">
        <f>AU59</f>
        <v>0</v>
      </c>
      <c r="F540" s="353" t="str">
        <f t="shared" si="18"/>
        <v/>
      </c>
      <c r="G540" s="353" t="str">
        <f t="shared" si="18"/>
        <v/>
      </c>
      <c r="H540" s="354" t="str">
        <f t="shared" si="16"/>
        <v/>
      </c>
      <c r="I540" s="265"/>
      <c r="K540" s="351"/>
      <c r="L540" s="351"/>
    </row>
    <row r="541" spans="1:12" ht="12.65" customHeight="1">
      <c r="A541" s="2" t="s">
        <v>556</v>
      </c>
      <c r="B541" s="299">
        <f>'[1]Prior Year'!AV71</f>
        <v>2831275</v>
      </c>
      <c r="C541" s="299">
        <f>AV71</f>
        <v>4745080</v>
      </c>
      <c r="D541" s="303" t="s">
        <v>529</v>
      </c>
      <c r="E541" s="303" t="s">
        <v>529</v>
      </c>
      <c r="F541" s="353"/>
      <c r="G541" s="353"/>
      <c r="H541" s="354"/>
      <c r="I541" s="265"/>
      <c r="K541" s="351"/>
      <c r="L541" s="351"/>
    </row>
    <row r="542" spans="1:12" ht="12.65" customHeight="1">
      <c r="A542" s="2" t="s">
        <v>1248</v>
      </c>
      <c r="B542" s="299">
        <f>'[1]Prior Year'!AW71</f>
        <v>0</v>
      </c>
      <c r="C542" s="299">
        <f>AW71</f>
        <v>0</v>
      </c>
      <c r="D542" s="303" t="s">
        <v>529</v>
      </c>
      <c r="E542" s="303" t="s">
        <v>529</v>
      </c>
      <c r="F542" s="353"/>
      <c r="G542" s="353"/>
      <c r="H542" s="354"/>
      <c r="I542" s="265"/>
      <c r="K542" s="351"/>
      <c r="L542" s="351"/>
    </row>
    <row r="543" spans="1:12" ht="12.65" customHeight="1">
      <c r="A543" s="2" t="s">
        <v>557</v>
      </c>
      <c r="B543" s="299">
        <f>'[1]Prior Year'!AX71</f>
        <v>0</v>
      </c>
      <c r="C543" s="299">
        <f>AX71</f>
        <v>0</v>
      </c>
      <c r="D543" s="303" t="s">
        <v>529</v>
      </c>
      <c r="E543" s="303" t="s">
        <v>529</v>
      </c>
      <c r="F543" s="353"/>
      <c r="G543" s="353"/>
      <c r="H543" s="354"/>
      <c r="I543" s="265"/>
      <c r="K543" s="351"/>
      <c r="L543" s="351"/>
    </row>
    <row r="544" spans="1:12" ht="12.65" customHeight="1">
      <c r="A544" s="2" t="s">
        <v>558</v>
      </c>
      <c r="B544" s="299">
        <f>'[1]Prior Year'!AY71</f>
        <v>2041623</v>
      </c>
      <c r="C544" s="299">
        <f>AY71</f>
        <v>1866429</v>
      </c>
      <c r="D544" s="299">
        <f>'[1]Prior Year'!AY59</f>
        <v>56623</v>
      </c>
      <c r="E544" s="2">
        <f>AY59</f>
        <v>39775</v>
      </c>
      <c r="F544" s="353">
        <f t="shared" ref="F544:G550" si="19">IF(B544=0,"",IF(D544=0,"",B544/D544))</f>
        <v>36.056425834025042</v>
      </c>
      <c r="G544" s="353">
        <f t="shared" si="19"/>
        <v>46.924676304211189</v>
      </c>
      <c r="H544" s="354">
        <f t="shared" si="16"/>
        <v>0.30142340009558577</v>
      </c>
      <c r="I544" s="265"/>
      <c r="K544" s="351"/>
      <c r="L544" s="351"/>
    </row>
    <row r="545" spans="1:13" ht="12.65" customHeight="1">
      <c r="A545" s="2" t="s">
        <v>559</v>
      </c>
      <c r="B545" s="299">
        <f>'[1]Prior Year'!AZ71</f>
        <v>0</v>
      </c>
      <c r="C545" s="299">
        <f>AZ71</f>
        <v>0</v>
      </c>
      <c r="D545" s="299">
        <f>'[1]Prior Year'!AZ59</f>
        <v>0</v>
      </c>
      <c r="E545" s="2">
        <f>AZ59</f>
        <v>0</v>
      </c>
      <c r="F545" s="353" t="str">
        <f t="shared" si="19"/>
        <v/>
      </c>
      <c r="G545" s="353" t="str">
        <f t="shared" si="19"/>
        <v/>
      </c>
      <c r="H545" s="354" t="str">
        <f t="shared" si="16"/>
        <v/>
      </c>
      <c r="I545" s="265"/>
      <c r="K545" s="351"/>
      <c r="L545" s="351"/>
    </row>
    <row r="546" spans="1:13" ht="12.65" customHeight="1">
      <c r="A546" s="2" t="s">
        <v>560</v>
      </c>
      <c r="B546" s="299">
        <f>'[1]Prior Year'!BA71</f>
        <v>0</v>
      </c>
      <c r="C546" s="299">
        <f>BA71</f>
        <v>0</v>
      </c>
      <c r="D546" s="299">
        <f>'[1]Prior Year'!BA59</f>
        <v>0</v>
      </c>
      <c r="E546" s="2">
        <f>BA59</f>
        <v>0</v>
      </c>
      <c r="F546" s="353" t="str">
        <f t="shared" si="19"/>
        <v/>
      </c>
      <c r="G546" s="353" t="str">
        <f t="shared" si="19"/>
        <v/>
      </c>
      <c r="H546" s="354" t="str">
        <f t="shared" si="16"/>
        <v/>
      </c>
      <c r="I546" s="265"/>
      <c r="K546" s="351"/>
      <c r="L546" s="351"/>
    </row>
    <row r="547" spans="1:13" ht="12.65" customHeight="1">
      <c r="A547" s="2" t="s">
        <v>561</v>
      </c>
      <c r="B547" s="299">
        <f>'[1]Prior Year'!BB71</f>
        <v>1078117</v>
      </c>
      <c r="C547" s="299">
        <f>BB71</f>
        <v>1013545</v>
      </c>
      <c r="D547" s="303" t="s">
        <v>529</v>
      </c>
      <c r="E547" s="303" t="s">
        <v>529</v>
      </c>
      <c r="F547" s="353"/>
      <c r="G547" s="353"/>
      <c r="H547" s="354"/>
      <c r="I547" s="265"/>
      <c r="K547" s="351"/>
      <c r="L547" s="351"/>
    </row>
    <row r="548" spans="1:13" ht="12.65" customHeight="1">
      <c r="A548" s="2" t="s">
        <v>562</v>
      </c>
      <c r="B548" s="299">
        <f>'[1]Prior Year'!BC71</f>
        <v>0</v>
      </c>
      <c r="C548" s="299">
        <f>BC71</f>
        <v>0</v>
      </c>
      <c r="D548" s="303" t="s">
        <v>529</v>
      </c>
      <c r="E548" s="303" t="s">
        <v>529</v>
      </c>
      <c r="F548" s="353"/>
      <c r="G548" s="353"/>
      <c r="H548" s="354"/>
      <c r="I548" s="265"/>
      <c r="K548" s="351"/>
      <c r="L548" s="351"/>
    </row>
    <row r="549" spans="1:13" ht="12.65" customHeight="1">
      <c r="A549" s="2" t="s">
        <v>563</v>
      </c>
      <c r="B549" s="299">
        <f>'[1]Prior Year'!BD71</f>
        <v>16559316</v>
      </c>
      <c r="C549" s="299">
        <f>BD71</f>
        <v>9024005</v>
      </c>
      <c r="D549" s="303" t="s">
        <v>529</v>
      </c>
      <c r="E549" s="303" t="s">
        <v>529</v>
      </c>
      <c r="F549" s="353"/>
      <c r="G549" s="353"/>
      <c r="H549" s="354"/>
      <c r="I549" s="265"/>
      <c r="K549" s="351"/>
      <c r="L549" s="351"/>
    </row>
    <row r="550" spans="1:13" ht="12.65" customHeight="1">
      <c r="A550" s="2" t="s">
        <v>564</v>
      </c>
      <c r="B550" s="299">
        <f>'[1]Prior Year'!BE71</f>
        <v>3391272</v>
      </c>
      <c r="C550" s="299">
        <f>BE71</f>
        <v>3454679</v>
      </c>
      <c r="D550" s="299">
        <f>'[1]Prior Year'!BE59</f>
        <v>155374</v>
      </c>
      <c r="E550" s="2">
        <f>BE59</f>
        <v>155374</v>
      </c>
      <c r="F550" s="353">
        <f t="shared" si="19"/>
        <v>21.826508939719645</v>
      </c>
      <c r="G550" s="353">
        <f t="shared" si="19"/>
        <v>22.234601670807212</v>
      </c>
      <c r="H550" s="354" t="str">
        <f t="shared" si="16"/>
        <v/>
      </c>
      <c r="I550" s="265"/>
      <c r="K550" s="351"/>
      <c r="L550" s="351"/>
    </row>
    <row r="551" spans="1:13" ht="12.65" customHeight="1">
      <c r="A551" s="2" t="s">
        <v>565</v>
      </c>
      <c r="B551" s="299">
        <f>'[1]Prior Year'!BF71</f>
        <v>1823562</v>
      </c>
      <c r="C551" s="299">
        <f>BF71</f>
        <v>1671530</v>
      </c>
      <c r="D551" s="303" t="s">
        <v>529</v>
      </c>
      <c r="E551" s="303" t="s">
        <v>529</v>
      </c>
      <c r="F551" s="353"/>
      <c r="G551" s="353"/>
      <c r="H551" s="354"/>
      <c r="I551" s="265"/>
      <c r="J551" s="290"/>
      <c r="M551" s="354"/>
    </row>
    <row r="552" spans="1:13" ht="12.65" customHeight="1">
      <c r="A552" s="2" t="s">
        <v>566</v>
      </c>
      <c r="B552" s="299">
        <f>'[1]Prior Year'!BG71</f>
        <v>327372</v>
      </c>
      <c r="C552" s="299">
        <f>BG71</f>
        <v>360372</v>
      </c>
      <c r="D552" s="303" t="s">
        <v>529</v>
      </c>
      <c r="E552" s="303" t="s">
        <v>529</v>
      </c>
      <c r="F552" s="353"/>
      <c r="G552" s="353"/>
      <c r="H552" s="354"/>
      <c r="J552" s="290"/>
      <c r="M552" s="354"/>
    </row>
    <row r="553" spans="1:13" ht="12.65" customHeight="1">
      <c r="A553" s="2" t="s">
        <v>567</v>
      </c>
      <c r="B553" s="299">
        <f>'[1]Prior Year'!BH71</f>
        <v>2342325</v>
      </c>
      <c r="C553" s="299">
        <f>BH71</f>
        <v>2747649</v>
      </c>
      <c r="D553" s="303" t="s">
        <v>529</v>
      </c>
      <c r="E553" s="303" t="s">
        <v>529</v>
      </c>
      <c r="F553" s="353"/>
      <c r="G553" s="353"/>
      <c r="H553" s="354"/>
      <c r="J553" s="290"/>
      <c r="M553" s="354"/>
    </row>
    <row r="554" spans="1:13" ht="12.65" customHeight="1">
      <c r="A554" s="2" t="s">
        <v>568</v>
      </c>
      <c r="B554" s="299">
        <f>'[1]Prior Year'!BI71</f>
        <v>0</v>
      </c>
      <c r="C554" s="299">
        <f>BI71</f>
        <v>0</v>
      </c>
      <c r="D554" s="303" t="s">
        <v>529</v>
      </c>
      <c r="E554" s="303" t="s">
        <v>529</v>
      </c>
      <c r="F554" s="353"/>
      <c r="G554" s="353"/>
      <c r="H554" s="354"/>
      <c r="J554" s="290"/>
      <c r="M554" s="354"/>
    </row>
    <row r="555" spans="1:13" ht="12.65" customHeight="1">
      <c r="A555" s="2" t="s">
        <v>569</v>
      </c>
      <c r="B555" s="299">
        <f>'[1]Prior Year'!BJ71</f>
        <v>457499</v>
      </c>
      <c r="C555" s="299">
        <f>BJ71</f>
        <v>416697</v>
      </c>
      <c r="D555" s="303" t="s">
        <v>529</v>
      </c>
      <c r="E555" s="303" t="s">
        <v>529</v>
      </c>
      <c r="F555" s="353"/>
      <c r="G555" s="353"/>
      <c r="H555" s="354"/>
      <c r="J555" s="290"/>
      <c r="M555" s="354"/>
    </row>
    <row r="556" spans="1:13" ht="12.65" customHeight="1">
      <c r="A556" s="2" t="s">
        <v>570</v>
      </c>
      <c r="B556" s="299">
        <f>'[1]Prior Year'!BK71</f>
        <v>2354295</v>
      </c>
      <c r="C556" s="299">
        <f>BK71</f>
        <v>1769835</v>
      </c>
      <c r="D556" s="303" t="s">
        <v>529</v>
      </c>
      <c r="E556" s="303" t="s">
        <v>529</v>
      </c>
      <c r="F556" s="353"/>
      <c r="G556" s="353"/>
      <c r="H556" s="354"/>
      <c r="J556" s="290"/>
      <c r="M556" s="354"/>
    </row>
    <row r="557" spans="1:13" ht="12.65" customHeight="1">
      <c r="A557" s="2" t="s">
        <v>571</v>
      </c>
      <c r="B557" s="299">
        <f>'[1]Prior Year'!BL71</f>
        <v>1381707</v>
      </c>
      <c r="C557" s="299">
        <f>BL71</f>
        <v>1506657</v>
      </c>
      <c r="D557" s="303" t="s">
        <v>529</v>
      </c>
      <c r="E557" s="303" t="s">
        <v>529</v>
      </c>
      <c r="F557" s="353"/>
      <c r="G557" s="353"/>
      <c r="H557" s="354"/>
      <c r="J557" s="290"/>
      <c r="M557" s="354"/>
    </row>
    <row r="558" spans="1:13" ht="12.65" customHeight="1">
      <c r="A558" s="2" t="s">
        <v>572</v>
      </c>
      <c r="B558" s="299">
        <f>'[1]Prior Year'!BM71</f>
        <v>0</v>
      </c>
      <c r="C558" s="299">
        <f>BM71</f>
        <v>0</v>
      </c>
      <c r="D558" s="303" t="s">
        <v>529</v>
      </c>
      <c r="E558" s="303" t="s">
        <v>529</v>
      </c>
      <c r="F558" s="353"/>
      <c r="G558" s="353"/>
      <c r="H558" s="354"/>
      <c r="J558" s="290"/>
      <c r="M558" s="354"/>
    </row>
    <row r="559" spans="1:13" ht="12.65" customHeight="1">
      <c r="A559" s="2" t="s">
        <v>573</v>
      </c>
      <c r="B559" s="299">
        <f>'[1]Prior Year'!BN71</f>
        <v>5489422</v>
      </c>
      <c r="C559" s="299">
        <f>BN71</f>
        <v>6890030</v>
      </c>
      <c r="D559" s="303" t="s">
        <v>529</v>
      </c>
      <c r="E559" s="303" t="s">
        <v>529</v>
      </c>
      <c r="F559" s="353"/>
      <c r="G559" s="353"/>
      <c r="H559" s="354"/>
      <c r="J559" s="290"/>
      <c r="M559" s="354"/>
    </row>
    <row r="560" spans="1:13" ht="12.65" customHeight="1">
      <c r="A560" s="2" t="s">
        <v>574</v>
      </c>
      <c r="B560" s="299">
        <f>'[1]Prior Year'!BO71</f>
        <v>0</v>
      </c>
      <c r="C560" s="299">
        <f>BO71</f>
        <v>0</v>
      </c>
      <c r="D560" s="303" t="s">
        <v>529</v>
      </c>
      <c r="E560" s="303" t="s">
        <v>529</v>
      </c>
      <c r="F560" s="353"/>
      <c r="G560" s="353"/>
      <c r="H560" s="354"/>
      <c r="J560" s="290"/>
      <c r="M560" s="354"/>
    </row>
    <row r="561" spans="1:13" ht="12.65" customHeight="1">
      <c r="A561" s="2" t="s">
        <v>575</v>
      </c>
      <c r="B561" s="299">
        <f>'[1]Prior Year'!BP71</f>
        <v>354889</v>
      </c>
      <c r="C561" s="299">
        <f>BP71</f>
        <v>242923</v>
      </c>
      <c r="D561" s="303" t="s">
        <v>529</v>
      </c>
      <c r="E561" s="303" t="s">
        <v>529</v>
      </c>
      <c r="F561" s="353"/>
      <c r="G561" s="353"/>
      <c r="H561" s="354"/>
      <c r="J561" s="290"/>
      <c r="M561" s="354"/>
    </row>
    <row r="562" spans="1:13" ht="12.65" customHeight="1">
      <c r="A562" s="2" t="s">
        <v>576</v>
      </c>
      <c r="B562" s="299">
        <f>'[1]Prior Year'!BQ71</f>
        <v>0</v>
      </c>
      <c r="C562" s="299">
        <f>BQ71</f>
        <v>0</v>
      </c>
      <c r="D562" s="303" t="s">
        <v>529</v>
      </c>
      <c r="E562" s="303" t="s">
        <v>529</v>
      </c>
      <c r="F562" s="353"/>
      <c r="G562" s="353"/>
      <c r="H562" s="354"/>
      <c r="J562" s="290"/>
      <c r="M562" s="354"/>
    </row>
    <row r="563" spans="1:13" ht="12.65" customHeight="1">
      <c r="A563" s="2" t="s">
        <v>577</v>
      </c>
      <c r="B563" s="299">
        <f>'[1]Prior Year'!BR71</f>
        <v>684798</v>
      </c>
      <c r="C563" s="299">
        <f>BR71</f>
        <v>756427</v>
      </c>
      <c r="D563" s="303" t="s">
        <v>529</v>
      </c>
      <c r="E563" s="303" t="s">
        <v>529</v>
      </c>
      <c r="F563" s="353"/>
      <c r="G563" s="353"/>
      <c r="H563" s="354"/>
      <c r="J563" s="290"/>
      <c r="M563" s="354"/>
    </row>
    <row r="564" spans="1:13" ht="12.65" customHeight="1">
      <c r="A564" s="2" t="s">
        <v>1249</v>
      </c>
      <c r="B564" s="299">
        <f>'[1]Prior Year'!BS71</f>
        <v>10228</v>
      </c>
      <c r="C564" s="299">
        <f>BS71</f>
        <v>10857</v>
      </c>
      <c r="D564" s="303" t="s">
        <v>529</v>
      </c>
      <c r="E564" s="303" t="s">
        <v>529</v>
      </c>
      <c r="F564" s="353"/>
      <c r="G564" s="353"/>
      <c r="H564" s="354"/>
      <c r="J564" s="290"/>
      <c r="M564" s="354"/>
    </row>
    <row r="565" spans="1:13" ht="12.65" customHeight="1">
      <c r="A565" s="2" t="s">
        <v>578</v>
      </c>
      <c r="B565" s="299">
        <f>'[1]Prior Year'!BT71</f>
        <v>0</v>
      </c>
      <c r="C565" s="299">
        <f>BT71</f>
        <v>0</v>
      </c>
      <c r="D565" s="303" t="s">
        <v>529</v>
      </c>
      <c r="E565" s="303" t="s">
        <v>529</v>
      </c>
      <c r="F565" s="353"/>
      <c r="G565" s="353"/>
      <c r="H565" s="354"/>
      <c r="J565" s="290"/>
      <c r="M565" s="354"/>
    </row>
    <row r="566" spans="1:13" ht="12.65" customHeight="1">
      <c r="A566" s="2" t="s">
        <v>579</v>
      </c>
      <c r="B566" s="299">
        <f>'[1]Prior Year'!BU71</f>
        <v>119988</v>
      </c>
      <c r="C566" s="299">
        <f>BU71</f>
        <v>127359</v>
      </c>
      <c r="D566" s="303" t="s">
        <v>529</v>
      </c>
      <c r="E566" s="303" t="s">
        <v>529</v>
      </c>
      <c r="F566" s="353"/>
      <c r="G566" s="353"/>
      <c r="H566" s="354"/>
      <c r="J566" s="290"/>
      <c r="M566" s="354"/>
    </row>
    <row r="567" spans="1:13" ht="12.65" customHeight="1">
      <c r="A567" s="2" t="s">
        <v>580</v>
      </c>
      <c r="B567" s="299">
        <f>'[1]Prior Year'!BV71</f>
        <v>1131842</v>
      </c>
      <c r="C567" s="299">
        <f>BV71</f>
        <v>952027</v>
      </c>
      <c r="D567" s="303" t="s">
        <v>529</v>
      </c>
      <c r="E567" s="303" t="s">
        <v>529</v>
      </c>
      <c r="F567" s="353"/>
      <c r="G567" s="353"/>
      <c r="H567" s="354"/>
      <c r="J567" s="290"/>
      <c r="M567" s="354"/>
    </row>
    <row r="568" spans="1:13" ht="12.65" customHeight="1">
      <c r="A568" s="2" t="s">
        <v>581</v>
      </c>
      <c r="B568" s="299">
        <f>'[1]Prior Year'!BW71</f>
        <v>128080</v>
      </c>
      <c r="C568" s="299">
        <f>BW71</f>
        <v>195321</v>
      </c>
      <c r="D568" s="303" t="s">
        <v>529</v>
      </c>
      <c r="E568" s="303" t="s">
        <v>529</v>
      </c>
      <c r="F568" s="353"/>
      <c r="G568" s="353"/>
      <c r="H568" s="354"/>
      <c r="J568" s="290"/>
      <c r="M568" s="354"/>
    </row>
    <row r="569" spans="1:13" ht="12.65" customHeight="1">
      <c r="A569" s="2" t="s">
        <v>582</v>
      </c>
      <c r="B569" s="299">
        <f>'[1]Prior Year'!BX71</f>
        <v>640855</v>
      </c>
      <c r="C569" s="299">
        <f>BX71</f>
        <v>621166</v>
      </c>
      <c r="D569" s="303" t="s">
        <v>529</v>
      </c>
      <c r="E569" s="303" t="s">
        <v>529</v>
      </c>
      <c r="F569" s="353"/>
      <c r="G569" s="353"/>
      <c r="H569" s="354"/>
      <c r="J569" s="290"/>
      <c r="M569" s="354"/>
    </row>
    <row r="570" spans="1:13" ht="12.65" customHeight="1">
      <c r="A570" s="2" t="s">
        <v>583</v>
      </c>
      <c r="B570" s="299">
        <f>'[1]Prior Year'!BY71</f>
        <v>1430566</v>
      </c>
      <c r="C570" s="299">
        <f>BY71</f>
        <v>1336688</v>
      </c>
      <c r="D570" s="303" t="s">
        <v>529</v>
      </c>
      <c r="E570" s="303" t="s">
        <v>529</v>
      </c>
      <c r="F570" s="353"/>
      <c r="G570" s="353"/>
      <c r="H570" s="354"/>
      <c r="J570" s="290"/>
      <c r="M570" s="354"/>
    </row>
    <row r="571" spans="1:13" ht="12.65" customHeight="1">
      <c r="A571" s="2" t="s">
        <v>584</v>
      </c>
      <c r="B571" s="299">
        <f>'[1]Prior Year'!BZ71</f>
        <v>0</v>
      </c>
      <c r="C571" s="299">
        <f>BZ71</f>
        <v>0</v>
      </c>
      <c r="D571" s="303" t="s">
        <v>529</v>
      </c>
      <c r="E571" s="303" t="s">
        <v>529</v>
      </c>
      <c r="F571" s="353"/>
      <c r="G571" s="353"/>
      <c r="H571" s="354"/>
      <c r="J571" s="290"/>
      <c r="M571" s="354"/>
    </row>
    <row r="572" spans="1:13" ht="12.65" customHeight="1">
      <c r="A572" s="2" t="s">
        <v>585</v>
      </c>
      <c r="B572" s="299">
        <f>'[1]Prior Year'!CA71</f>
        <v>304481</v>
      </c>
      <c r="C572" s="299">
        <f>CA71</f>
        <v>281686</v>
      </c>
      <c r="D572" s="303" t="s">
        <v>529</v>
      </c>
      <c r="E572" s="303" t="s">
        <v>529</v>
      </c>
      <c r="F572" s="353"/>
      <c r="G572" s="353"/>
      <c r="H572" s="354"/>
      <c r="J572" s="290"/>
      <c r="M572" s="354"/>
    </row>
    <row r="573" spans="1:13" ht="12.65" customHeight="1">
      <c r="A573" s="2" t="s">
        <v>586</v>
      </c>
      <c r="B573" s="299">
        <f>'[1]Prior Year'!CB71</f>
        <v>0</v>
      </c>
      <c r="C573" s="299">
        <f>CB71</f>
        <v>0</v>
      </c>
      <c r="D573" s="303" t="s">
        <v>529</v>
      </c>
      <c r="E573" s="303" t="s">
        <v>529</v>
      </c>
      <c r="F573" s="353"/>
      <c r="G573" s="353"/>
      <c r="H573" s="354"/>
      <c r="J573" s="290"/>
      <c r="M573" s="354"/>
    </row>
    <row r="574" spans="1:13" ht="12.65" customHeight="1">
      <c r="A574" s="2" t="s">
        <v>587</v>
      </c>
      <c r="B574" s="299">
        <f>'[1]Prior Year'!CC71</f>
        <v>0</v>
      </c>
      <c r="C574" s="299">
        <f>CC71</f>
        <v>0</v>
      </c>
      <c r="D574" s="303" t="s">
        <v>529</v>
      </c>
      <c r="E574" s="303" t="s">
        <v>529</v>
      </c>
      <c r="F574" s="353"/>
      <c r="G574" s="353"/>
      <c r="H574" s="354"/>
      <c r="J574" s="290"/>
      <c r="M574" s="354"/>
    </row>
    <row r="575" spans="1:13" ht="12.65" customHeight="1">
      <c r="A575" s="2" t="s">
        <v>588</v>
      </c>
      <c r="B575" s="299">
        <f>'[1]Prior Year'!CD71</f>
        <v>16668620</v>
      </c>
      <c r="C575" s="299">
        <f>CD71</f>
        <v>12925505</v>
      </c>
      <c r="D575" s="303" t="s">
        <v>529</v>
      </c>
      <c r="E575" s="303" t="s">
        <v>529</v>
      </c>
      <c r="F575" s="353"/>
      <c r="G575" s="353"/>
      <c r="H575" s="354"/>
    </row>
    <row r="576" spans="1:13" ht="12.65" customHeight="1">
      <c r="M576" s="354"/>
    </row>
    <row r="577" spans="13:13" ht="12.65" customHeight="1">
      <c r="M577" s="354"/>
    </row>
    <row r="578" spans="13:13" ht="12.65" customHeight="1">
      <c r="M578" s="354"/>
    </row>
    <row r="612" spans="1:14" ht="12.65" customHeight="1">
      <c r="A612" s="355"/>
      <c r="C612" s="303" t="s">
        <v>589</v>
      </c>
      <c r="D612" s="2">
        <f>CE76-(BE76+CD76)</f>
        <v>128336</v>
      </c>
      <c r="E612" s="2">
        <f>SUM(C624:D647)+SUM(C668:D713)</f>
        <v>97203722.284877181</v>
      </c>
      <c r="F612" s="2">
        <f>CE64-(AX64+BD64+BE64+BG64+BJ64+BN64+BP64+BQ64+CB64+CC64+CD64)</f>
        <v>6753175</v>
      </c>
      <c r="G612" s="2">
        <f>CE77-(AX77+AY77+BD77+BE77+BG77+BJ77+BN77+BP77+BQ77+CB77+CC77+CD77)</f>
        <v>39775.009999999995</v>
      </c>
      <c r="H612" s="348">
        <f>CE60-(AX60+AY60+AZ60+BD60+BE60+BG60+BJ60+BN60+BO60+BP60+BQ60+BR60+CB60+CC60+CD60)</f>
        <v>369.15000000000009</v>
      </c>
      <c r="I612" s="2">
        <f>CE78-(AX78+AY78+AZ78+BD78+BE78+BF78+BG78+BJ78+BN78+BO78+BP78+BQ78+BR78+CB78+CC78+CD78)</f>
        <v>39604</v>
      </c>
      <c r="J612" s="2">
        <f>CE79-(AX79+AY79+AZ79+BA79+BD79+BE79+BF79+BG79+BJ79+BN79+BO79+BP79+BQ79+BR79+CB79+CC79+CD79)</f>
        <v>458573</v>
      </c>
      <c r="K612" s="2">
        <f>CE75-(AW75+AX75+AY75+AZ75+BA75+BB75+BC75+BD75+BE75+BF75+BG75+BH75+BI75+BJ75+BK75+BL75+BM75+BN75+BO75+BP75+BQ75+BR75+BS75+BT75+BU75+BV75+BW75+BX75+CB75+CC75+CD75)</f>
        <v>521165388</v>
      </c>
      <c r="L612" s="348">
        <f>CE80-(AW80+AX80+AY80+AZ80+BA80+BB80+BC80+BD80+BE80+BF80+BG80+BH80+BI80+BJ80+BK80+BL80+BM80+BN80+BO80+BP80+BQ80+BR80+BS80+BT80+BU80+BV80+BW80+BX80+BY80+BZ80+CA80+CB80+CC80+CD80)</f>
        <v>358.5</v>
      </c>
    </row>
    <row r="613" spans="1:14" ht="12.65" customHeight="1">
      <c r="A613" s="355"/>
      <c r="C613" s="303" t="s">
        <v>590</v>
      </c>
      <c r="D613" s="303" t="s">
        <v>591</v>
      </c>
      <c r="E613" s="288" t="s">
        <v>592</v>
      </c>
      <c r="F613" s="303" t="s">
        <v>593</v>
      </c>
      <c r="G613" s="303" t="s">
        <v>594</v>
      </c>
      <c r="H613" s="303" t="s">
        <v>595</v>
      </c>
      <c r="I613" s="303" t="s">
        <v>596</v>
      </c>
      <c r="J613" s="303" t="s">
        <v>597</v>
      </c>
      <c r="K613" s="303" t="s">
        <v>598</v>
      </c>
      <c r="L613" s="288" t="s">
        <v>599</v>
      </c>
    </row>
    <row r="614" spans="1:14" ht="12.65" customHeight="1">
      <c r="A614" s="355">
        <v>8430</v>
      </c>
      <c r="B614" s="288" t="s">
        <v>140</v>
      </c>
      <c r="C614" s="2">
        <f>BE71</f>
        <v>3454679</v>
      </c>
      <c r="N614" s="290" t="s">
        <v>600</v>
      </c>
    </row>
    <row r="615" spans="1:14" ht="12.65" customHeight="1">
      <c r="A615" s="355"/>
      <c r="B615" s="288" t="s">
        <v>601</v>
      </c>
      <c r="C615" s="294">
        <f>CD69-CD70</f>
        <v>12925505</v>
      </c>
      <c r="D615" s="356">
        <f>SUM(C614:C615)</f>
        <v>16380184</v>
      </c>
      <c r="N615" s="290" t="s">
        <v>602</v>
      </c>
    </row>
    <row r="616" spans="1:14" ht="12.65" customHeight="1">
      <c r="A616" s="355">
        <v>8310</v>
      </c>
      <c r="B616" s="357" t="s">
        <v>603</v>
      </c>
      <c r="C616" s="2">
        <f>AX71</f>
        <v>0</v>
      </c>
      <c r="D616" s="2">
        <f>(D615/D612)*AX76</f>
        <v>0</v>
      </c>
      <c r="N616" s="290" t="s">
        <v>604</v>
      </c>
    </row>
    <row r="617" spans="1:14" ht="12.65" customHeight="1">
      <c r="A617" s="355">
        <v>8510</v>
      </c>
      <c r="B617" s="357" t="s">
        <v>145</v>
      </c>
      <c r="C617" s="2">
        <f>BJ71</f>
        <v>416697</v>
      </c>
      <c r="D617" s="2">
        <f>(D615/D612)*BJ76</f>
        <v>208683.46247350704</v>
      </c>
      <c r="N617" s="290" t="s">
        <v>605</v>
      </c>
    </row>
    <row r="618" spans="1:14" ht="12.65" customHeight="1">
      <c r="A618" s="355">
        <v>8470</v>
      </c>
      <c r="B618" s="357" t="s">
        <v>606</v>
      </c>
      <c r="C618" s="2">
        <f>BG71</f>
        <v>360372</v>
      </c>
      <c r="D618" s="2">
        <f>(D615/D612)*BG76</f>
        <v>43013.043947138758</v>
      </c>
      <c r="N618" s="290" t="s">
        <v>607</v>
      </c>
    </row>
    <row r="619" spans="1:14" ht="12.65" customHeight="1">
      <c r="A619" s="355">
        <v>8610</v>
      </c>
      <c r="B619" s="357" t="s">
        <v>608</v>
      </c>
      <c r="C619" s="2">
        <f>BN71</f>
        <v>6890030</v>
      </c>
      <c r="D619" s="2">
        <f>(D615/D612)*BN76</f>
        <v>494586.18781947385</v>
      </c>
      <c r="N619" s="290" t="s">
        <v>609</v>
      </c>
    </row>
    <row r="620" spans="1:14" ht="12.65" customHeight="1">
      <c r="A620" s="355">
        <v>8790</v>
      </c>
      <c r="B620" s="357" t="s">
        <v>610</v>
      </c>
      <c r="C620" s="2">
        <f>CC71</f>
        <v>0</v>
      </c>
      <c r="D620" s="2">
        <f>(D615/D612)*CC76</f>
        <v>0</v>
      </c>
      <c r="N620" s="290" t="s">
        <v>611</v>
      </c>
    </row>
    <row r="621" spans="1:14" ht="12.65" customHeight="1">
      <c r="A621" s="355">
        <v>8630</v>
      </c>
      <c r="B621" s="357" t="s">
        <v>612</v>
      </c>
      <c r="C621" s="2">
        <f>BP71</f>
        <v>242923</v>
      </c>
      <c r="D621" s="2">
        <f>(D615/D612)*BP76</f>
        <v>93046.020882682962</v>
      </c>
      <c r="N621" s="290" t="s">
        <v>613</v>
      </c>
    </row>
    <row r="622" spans="1:14" ht="12.65" customHeight="1">
      <c r="A622" s="355">
        <v>8770</v>
      </c>
      <c r="B622" s="288" t="s">
        <v>614</v>
      </c>
      <c r="C622" s="2">
        <f>CB71</f>
        <v>0</v>
      </c>
      <c r="D622" s="2">
        <f>(D615/D612)*CB76</f>
        <v>0</v>
      </c>
      <c r="N622" s="290" t="s">
        <v>615</v>
      </c>
    </row>
    <row r="623" spans="1:14" ht="12.65" customHeight="1">
      <c r="A623" s="355">
        <v>8640</v>
      </c>
      <c r="B623" s="357" t="s">
        <v>616</v>
      </c>
      <c r="C623" s="2">
        <f>BQ71</f>
        <v>0</v>
      </c>
      <c r="D623" s="2">
        <f>(D615/D612)*BQ76</f>
        <v>0</v>
      </c>
      <c r="E623" s="2">
        <f>SUM(C616:D623)</f>
        <v>8749350.7151228022</v>
      </c>
      <c r="N623" s="290" t="s">
        <v>617</v>
      </c>
    </row>
    <row r="624" spans="1:14" ht="12.65" customHeight="1">
      <c r="A624" s="355">
        <v>8420</v>
      </c>
      <c r="B624" s="357" t="s">
        <v>139</v>
      </c>
      <c r="C624" s="2">
        <f>BD71</f>
        <v>9024005</v>
      </c>
      <c r="D624" s="2">
        <f>(D615/D612)*BD76</f>
        <v>327384.14755018079</v>
      </c>
      <c r="E624" s="2">
        <f>(E623/E612)*SUM(C624:D624)</f>
        <v>841722.73861820006</v>
      </c>
      <c r="F624" s="2">
        <f>SUM(C624:E624)</f>
        <v>10193111.886168381</v>
      </c>
      <c r="N624" s="290" t="s">
        <v>618</v>
      </c>
    </row>
    <row r="625" spans="1:14" ht="12.65" customHeight="1">
      <c r="A625" s="355">
        <v>8320</v>
      </c>
      <c r="B625" s="357" t="s">
        <v>135</v>
      </c>
      <c r="C625" s="2">
        <f>AY71</f>
        <v>1866429</v>
      </c>
      <c r="D625" s="2">
        <f>(D615/D612)*AY76</f>
        <v>699312.96079042519</v>
      </c>
      <c r="E625" s="2">
        <f>(E623/E612)*SUM(C625:D625)</f>
        <v>230943.58664240994</v>
      </c>
      <c r="F625" s="2">
        <f>(F624/F612)*AY64</f>
        <v>745585.75665325159</v>
      </c>
      <c r="G625" s="2">
        <f>SUM(C625:F625)</f>
        <v>3542271.3040860868</v>
      </c>
      <c r="N625" s="290" t="s">
        <v>619</v>
      </c>
    </row>
    <row r="626" spans="1:14" ht="12.65" customHeight="1">
      <c r="A626" s="355">
        <v>8650</v>
      </c>
      <c r="B626" s="357" t="s">
        <v>152</v>
      </c>
      <c r="C626" s="2">
        <f>BR71</f>
        <v>756427</v>
      </c>
      <c r="D626" s="2">
        <f>(D615/D612)*BR76</f>
        <v>129294.40213190376</v>
      </c>
      <c r="E626" s="2">
        <f>(E623/E612)*SUM(C626:D626)</f>
        <v>79724.181348022292</v>
      </c>
      <c r="F626" s="2">
        <f>(F624/F612)*BR64</f>
        <v>13975.355733271097</v>
      </c>
      <c r="G626" s="2">
        <f>(G625/G612)*BR77</f>
        <v>0</v>
      </c>
      <c r="N626" s="290" t="s">
        <v>620</v>
      </c>
    </row>
    <row r="627" spans="1:14" ht="12.65" customHeight="1">
      <c r="A627" s="355">
        <v>8620</v>
      </c>
      <c r="B627" s="288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N627" s="290" t="s">
        <v>622</v>
      </c>
    </row>
    <row r="628" spans="1:14" ht="12.65" customHeight="1">
      <c r="A628" s="355">
        <v>8330</v>
      </c>
      <c r="B628" s="357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979420.93921319721</v>
      </c>
      <c r="N628" s="290" t="s">
        <v>623</v>
      </c>
    </row>
    <row r="629" spans="1:14" ht="12.65" customHeight="1">
      <c r="A629" s="355">
        <v>8460</v>
      </c>
      <c r="B629" s="357" t="s">
        <v>141</v>
      </c>
      <c r="C629" s="2">
        <f>BF71</f>
        <v>1671530</v>
      </c>
      <c r="D629" s="2">
        <f>(D615/D612)*BF76</f>
        <v>292156.84746290988</v>
      </c>
      <c r="E629" s="2">
        <f>(E623/E612)*SUM(C629:D629)</f>
        <v>176752.33539693206</v>
      </c>
      <c r="F629" s="2">
        <f>(F624/F612)*BF64</f>
        <v>159544.55683315924</v>
      </c>
      <c r="G629" s="2">
        <f>(G625/G612)*BF77</f>
        <v>0</v>
      </c>
      <c r="H629" s="2">
        <f>(H628/H612)*BF60</f>
        <v>50251.205712306517</v>
      </c>
      <c r="I629" s="2">
        <f>SUM(C629:H629)</f>
        <v>2350234.9454053072</v>
      </c>
      <c r="N629" s="290" t="s">
        <v>624</v>
      </c>
    </row>
    <row r="630" spans="1:14" ht="12.65" customHeight="1">
      <c r="A630" s="355">
        <v>8350</v>
      </c>
      <c r="B630" s="357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N630" s="290" t="s">
        <v>626</v>
      </c>
    </row>
    <row r="631" spans="1:14" ht="12.65" customHeight="1">
      <c r="A631" s="355">
        <v>8200</v>
      </c>
      <c r="B631" s="357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N631" s="290" t="s">
        <v>628</v>
      </c>
    </row>
    <row r="632" spans="1:14" ht="12.65" customHeight="1">
      <c r="A632" s="355">
        <v>8360</v>
      </c>
      <c r="B632" s="357" t="s">
        <v>629</v>
      </c>
      <c r="C632" s="2">
        <f>BB71</f>
        <v>1013545</v>
      </c>
      <c r="D632" s="2">
        <f>(D615/D612)*BB76</f>
        <v>94450.007480364045</v>
      </c>
      <c r="E632" s="2">
        <f>(E623/E612)*SUM(C632:D632)</f>
        <v>99731.128429832097</v>
      </c>
      <c r="F632" s="2">
        <f>(F624/F612)*BB64</f>
        <v>5465.4674489874324</v>
      </c>
      <c r="G632" s="2">
        <f>(G625/G612)*BB77</f>
        <v>0</v>
      </c>
      <c r="H632" s="2">
        <f>(H628/H612)*BB60</f>
        <v>19341.673159594215</v>
      </c>
      <c r="I632" s="2">
        <f>(I629/I612)*BB78</f>
        <v>11215.897502312975</v>
      </c>
      <c r="J632" s="2">
        <f>(J630/J612)*BB79</f>
        <v>0</v>
      </c>
      <c r="N632" s="290" t="s">
        <v>630</v>
      </c>
    </row>
    <row r="633" spans="1:14" ht="12.65" customHeight="1">
      <c r="A633" s="355">
        <v>8370</v>
      </c>
      <c r="B633" s="357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N633" s="290" t="s">
        <v>632</v>
      </c>
    </row>
    <row r="634" spans="1:14" ht="12.65" customHeight="1">
      <c r="A634" s="355">
        <v>8490</v>
      </c>
      <c r="B634" s="357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N634" s="290" t="s">
        <v>634</v>
      </c>
    </row>
    <row r="635" spans="1:14" ht="12.65" customHeight="1">
      <c r="A635" s="355">
        <v>8530</v>
      </c>
      <c r="B635" s="357" t="s">
        <v>635</v>
      </c>
      <c r="C635" s="2">
        <f>BK71</f>
        <v>1769835</v>
      </c>
      <c r="D635" s="2">
        <f>(D615/D612)*BK76</f>
        <v>0</v>
      </c>
      <c r="E635" s="2">
        <f>(E623/E612)*SUM(C635:D635)</f>
        <v>159303.6435118955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N635" s="290" t="s">
        <v>636</v>
      </c>
    </row>
    <row r="636" spans="1:14" ht="12.65" customHeight="1">
      <c r="A636" s="355">
        <v>8480</v>
      </c>
      <c r="B636" s="357" t="s">
        <v>637</v>
      </c>
      <c r="C636" s="2">
        <f>BH71</f>
        <v>2747649</v>
      </c>
      <c r="D636" s="2">
        <f>(D615/D612)*BH76</f>
        <v>95981.629223288866</v>
      </c>
      <c r="E636" s="2">
        <f>(E623/E612)*SUM(C636:D636)</f>
        <v>255956.4705395101</v>
      </c>
      <c r="F636" s="2">
        <f>(F624/F612)*BH64</f>
        <v>121840.22740048704</v>
      </c>
      <c r="G636" s="2">
        <f>(G625/G612)*BH77</f>
        <v>0</v>
      </c>
      <c r="H636" s="2">
        <f>(H628/H612)*BH60</f>
        <v>13027.107711057286</v>
      </c>
      <c r="I636" s="2">
        <f>(I629/I612)*BH78</f>
        <v>11393.927621397308</v>
      </c>
      <c r="J636" s="2">
        <f>(J630/J612)*BH79</f>
        <v>0</v>
      </c>
      <c r="N636" s="290" t="s">
        <v>638</v>
      </c>
    </row>
    <row r="637" spans="1:14" ht="12.65" customHeight="1">
      <c r="A637" s="355">
        <v>8560</v>
      </c>
      <c r="B637" s="357" t="s">
        <v>147</v>
      </c>
      <c r="C637" s="2">
        <f>BL71</f>
        <v>1506657</v>
      </c>
      <c r="D637" s="2">
        <f>(D615/D612)*BL76</f>
        <v>229870.89658396709</v>
      </c>
      <c r="E637" s="2">
        <f>(E623/E612)*SUM(C637:D637)</f>
        <v>156305.65616900672</v>
      </c>
      <c r="F637" s="2">
        <f>(F624/F612)*BL64</f>
        <v>30767.215818878714</v>
      </c>
      <c r="G637" s="2">
        <f>(G625/G612)*BL77</f>
        <v>0</v>
      </c>
      <c r="H637" s="2">
        <f>(H628/H612)*BL60</f>
        <v>50065.483199114242</v>
      </c>
      <c r="I637" s="2">
        <f>(I629/I612)*BL78</f>
        <v>27238.608219902941</v>
      </c>
      <c r="J637" s="2">
        <f>(J630/J612)*BL79</f>
        <v>0</v>
      </c>
      <c r="N637" s="290" t="s">
        <v>639</v>
      </c>
    </row>
    <row r="638" spans="1:14" ht="12.65" customHeight="1">
      <c r="A638" s="355">
        <v>8590</v>
      </c>
      <c r="B638" s="357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290" t="s">
        <v>641</v>
      </c>
    </row>
    <row r="639" spans="1:14" ht="12.65" customHeight="1">
      <c r="A639" s="355">
        <v>8660</v>
      </c>
      <c r="B639" s="357" t="s">
        <v>642</v>
      </c>
      <c r="C639" s="2">
        <f>BS71</f>
        <v>10857</v>
      </c>
      <c r="D639" s="2">
        <f>(D615/D612)*BS76</f>
        <v>36503.651539708269</v>
      </c>
      <c r="E639" s="2">
        <f>(E623/E612)*SUM(C639:D639)</f>
        <v>4262.9535235616822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4332.066231052102</v>
      </c>
      <c r="J639" s="2">
        <f>(J630/J612)*BS79</f>
        <v>0</v>
      </c>
      <c r="N639" s="290" t="s">
        <v>643</v>
      </c>
    </row>
    <row r="640" spans="1:14" ht="12.65" customHeight="1">
      <c r="A640" s="355">
        <v>8670</v>
      </c>
      <c r="B640" s="357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N640" s="290" t="s">
        <v>645</v>
      </c>
    </row>
    <row r="641" spans="1:14" ht="12.65" customHeight="1">
      <c r="A641" s="355">
        <v>8680</v>
      </c>
      <c r="B641" s="357" t="s">
        <v>646</v>
      </c>
      <c r="C641" s="2">
        <f>BU71</f>
        <v>127359</v>
      </c>
      <c r="D641" s="2">
        <f>(D615/D612)*BU76</f>
        <v>428215.91229273158</v>
      </c>
      <c r="E641" s="2">
        <f>(E623/E612)*SUM(C641:D641)</f>
        <v>50007.547467438439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290" t="s">
        <v>647</v>
      </c>
    </row>
    <row r="642" spans="1:14" ht="12.65" customHeight="1">
      <c r="A642" s="355">
        <v>8690</v>
      </c>
      <c r="B642" s="357" t="s">
        <v>648</v>
      </c>
      <c r="C642" s="2">
        <f>BV71</f>
        <v>952027</v>
      </c>
      <c r="D642" s="2">
        <f>(D615/D612)*BV76</f>
        <v>0</v>
      </c>
      <c r="E642" s="2">
        <f>(E623/E612)*SUM(C642:D642)</f>
        <v>85692.378002299272</v>
      </c>
      <c r="F642" s="2">
        <f>(F624/F612)*BV64</f>
        <v>15513.414648078662</v>
      </c>
      <c r="G642" s="2">
        <f>(G625/G612)*BV77</f>
        <v>0</v>
      </c>
      <c r="H642" s="2">
        <f>(H628/H612)*BV60</f>
        <v>27168.55050126815</v>
      </c>
      <c r="I642" s="2">
        <f>(I629/I612)*BV78</f>
        <v>50738.583939034892</v>
      </c>
      <c r="J642" s="2">
        <f>(J630/J612)*BV79</f>
        <v>0</v>
      </c>
      <c r="N642" s="290" t="s">
        <v>649</v>
      </c>
    </row>
    <row r="643" spans="1:14" ht="12.65" customHeight="1">
      <c r="A643" s="355">
        <v>8700</v>
      </c>
      <c r="B643" s="357" t="s">
        <v>650</v>
      </c>
      <c r="C643" s="2">
        <f>BW71</f>
        <v>195321</v>
      </c>
      <c r="D643" s="2">
        <f>(D615/D612)*BW76</f>
        <v>0</v>
      </c>
      <c r="E643" s="2">
        <f>(E623/E612)*SUM(C643:D643)</f>
        <v>17580.930964969582</v>
      </c>
      <c r="F643" s="2">
        <f>(F624/F612)*BW64</f>
        <v>1998.4200227725382</v>
      </c>
      <c r="G643" s="2">
        <f>(G625/G612)*BW77</f>
        <v>0</v>
      </c>
      <c r="H643" s="2">
        <f>(H628/H612)*BW60</f>
        <v>3130.7509366695717</v>
      </c>
      <c r="I643" s="2">
        <f>(I629/I612)*BW78</f>
        <v>0</v>
      </c>
      <c r="J643" s="2">
        <f>(J630/J612)*BW79</f>
        <v>0</v>
      </c>
      <c r="N643" s="290" t="s">
        <v>651</v>
      </c>
    </row>
    <row r="644" spans="1:14" ht="12.65" customHeight="1">
      <c r="A644" s="355">
        <v>8710</v>
      </c>
      <c r="B644" s="357" t="s">
        <v>652</v>
      </c>
      <c r="C644" s="2">
        <f>BX71</f>
        <v>621166</v>
      </c>
      <c r="D644" s="2">
        <f>(D615/D612)*BX76</f>
        <v>10593.717055230021</v>
      </c>
      <c r="E644" s="2">
        <f>(E623/E612)*SUM(C644:D644)</f>
        <v>56864.975972868844</v>
      </c>
      <c r="F644" s="2">
        <f>(F624/F612)*BX64</f>
        <v>13312.737613937907</v>
      </c>
      <c r="G644" s="2">
        <f>(G625/G612)*BX77</f>
        <v>0</v>
      </c>
      <c r="H644" s="2">
        <f>(H628/H612)*BX60</f>
        <v>5571.675395767882</v>
      </c>
      <c r="I644" s="2">
        <f>(I629/I612)*BX78</f>
        <v>1246.2108335903306</v>
      </c>
      <c r="J644" s="2">
        <f>(J630/J612)*BX79</f>
        <v>0</v>
      </c>
      <c r="K644" s="2">
        <f>SUM(C631:J644)</f>
        <v>11139105.516960574</v>
      </c>
      <c r="N644" s="290" t="s">
        <v>653</v>
      </c>
    </row>
    <row r="645" spans="1:14" ht="12.65" customHeight="1">
      <c r="A645" s="355">
        <v>8720</v>
      </c>
      <c r="B645" s="357" t="s">
        <v>654</v>
      </c>
      <c r="C645" s="2">
        <f>BY71</f>
        <v>1336688</v>
      </c>
      <c r="D645" s="2">
        <f>(D615/D612)*BY76</f>
        <v>148694.94420895149</v>
      </c>
      <c r="E645" s="2">
        <f>(E623/E612)*SUM(C645:D645)</f>
        <v>133699.98616984778</v>
      </c>
      <c r="F645" s="2">
        <f>(F624/F612)*BY64</f>
        <v>3867.0333069057729</v>
      </c>
      <c r="G645" s="2">
        <f>(G625/G612)*BY77</f>
        <v>0</v>
      </c>
      <c r="H645" s="2">
        <f>(H628/H612)*BY60</f>
        <v>24648.030679373151</v>
      </c>
      <c r="I645" s="2">
        <f>(I629/I612)*BY78</f>
        <v>17624.98178934896</v>
      </c>
      <c r="J645" s="2">
        <f>(J630/J612)*BY79</f>
        <v>0</v>
      </c>
      <c r="K645" s="2">
        <v>0</v>
      </c>
      <c r="N645" s="290" t="s">
        <v>655</v>
      </c>
    </row>
    <row r="646" spans="1:14" ht="12.65" customHeight="1">
      <c r="A646" s="355">
        <v>8730</v>
      </c>
      <c r="B646" s="357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90" t="s">
        <v>657</v>
      </c>
    </row>
    <row r="647" spans="1:14" ht="12.65" customHeight="1">
      <c r="A647" s="355">
        <v>8740</v>
      </c>
      <c r="B647" s="357" t="s">
        <v>658</v>
      </c>
      <c r="C647" s="2">
        <f>CA71</f>
        <v>281686</v>
      </c>
      <c r="D647" s="2">
        <f>(D615/D612)*CA76</f>
        <v>285775.09020072309</v>
      </c>
      <c r="E647" s="2">
        <f>(E623/E612)*SUM(C647:D647)</f>
        <v>51077.427681228794</v>
      </c>
      <c r="F647" s="2">
        <f>(F624/F612)*CA64</f>
        <v>650.54307387837162</v>
      </c>
      <c r="G647" s="2">
        <f>(G625/G612)*CA77</f>
        <v>0</v>
      </c>
      <c r="H647" s="2">
        <f>(H628/H612)*CA60</f>
        <v>3687.9184762463597</v>
      </c>
      <c r="I647" s="2">
        <f>(I629/I612)*CA78</f>
        <v>33885.065999051374</v>
      </c>
      <c r="J647" s="2">
        <f>(J630/J612)*CA79</f>
        <v>0</v>
      </c>
      <c r="K647" s="2">
        <v>0</v>
      </c>
      <c r="L647" s="2">
        <f>SUM(C645:K647)</f>
        <v>2321985.0215855548</v>
      </c>
      <c r="N647" s="290" t="s">
        <v>659</v>
      </c>
    </row>
    <row r="648" spans="1:14" ht="12.65" customHeight="1">
      <c r="A648" s="355"/>
      <c r="B648" s="355"/>
      <c r="C648" s="2">
        <f>SUM(C614:C647)</f>
        <v>48171387</v>
      </c>
      <c r="L648" s="356"/>
    </row>
    <row r="666" spans="1:14" ht="12.65" customHeight="1">
      <c r="C666" s="303" t="s">
        <v>660</v>
      </c>
      <c r="M666" s="303" t="s">
        <v>661</v>
      </c>
    </row>
    <row r="667" spans="1:14" ht="12.65" customHeight="1">
      <c r="C667" s="303" t="s">
        <v>590</v>
      </c>
      <c r="D667" s="303" t="s">
        <v>591</v>
      </c>
      <c r="E667" s="288" t="s">
        <v>592</v>
      </c>
      <c r="F667" s="303" t="s">
        <v>593</v>
      </c>
      <c r="G667" s="303" t="s">
        <v>594</v>
      </c>
      <c r="H667" s="303" t="s">
        <v>595</v>
      </c>
      <c r="I667" s="303" t="s">
        <v>596</v>
      </c>
      <c r="J667" s="303" t="s">
        <v>597</v>
      </c>
      <c r="K667" s="303" t="s">
        <v>598</v>
      </c>
      <c r="L667" s="288" t="s">
        <v>599</v>
      </c>
      <c r="M667" s="303" t="s">
        <v>662</v>
      </c>
    </row>
    <row r="668" spans="1:14" ht="12.65" customHeight="1">
      <c r="A668" s="355">
        <v>6010</v>
      </c>
      <c r="B668" s="288" t="s">
        <v>283</v>
      </c>
      <c r="C668" s="2">
        <f>C71</f>
        <v>7711928</v>
      </c>
      <c r="D668" s="2">
        <f>(D615/D612)*C76</f>
        <v>1073666.8417903006</v>
      </c>
      <c r="E668" s="2">
        <f>(E623/E612)*SUM(C668:D668)</f>
        <v>790795.33895335428</v>
      </c>
      <c r="F668" s="2">
        <f>(F624/F612)*C64</f>
        <v>513621.11470481567</v>
      </c>
      <c r="G668" s="2">
        <f>(G625/G612)*C77</f>
        <v>1635059.4788268744</v>
      </c>
      <c r="H668" s="2">
        <f>(H628/H612)*C60</f>
        <v>159031.53486777467</v>
      </c>
      <c r="I668" s="2">
        <f>(I629/I612)*C78</f>
        <v>127232.19177226994</v>
      </c>
      <c r="J668" s="2">
        <f>(J630/J612)*C79</f>
        <v>0</v>
      </c>
      <c r="K668" s="2">
        <f>(K644/K612)*C75</f>
        <v>732818.62852058082</v>
      </c>
      <c r="L668" s="2">
        <f>(L647/L612)*C80</f>
        <v>310245.69744476449</v>
      </c>
      <c r="M668" s="2">
        <f t="shared" ref="M668:M713" si="20">ROUND(SUM(D668:L668),0)</f>
        <v>5342471</v>
      </c>
      <c r="N668" s="288" t="s">
        <v>663</v>
      </c>
    </row>
    <row r="669" spans="1:14" ht="12.65" customHeight="1">
      <c r="A669" s="355">
        <v>6030</v>
      </c>
      <c r="B669" s="288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288" t="s">
        <v>664</v>
      </c>
    </row>
    <row r="670" spans="1:14" ht="12.65" customHeight="1">
      <c r="A670" s="355">
        <v>6070</v>
      </c>
      <c r="B670" s="288" t="s">
        <v>665</v>
      </c>
      <c r="C670" s="2">
        <f>E71</f>
        <v>4165180</v>
      </c>
      <c r="D670" s="2">
        <f>(D615/D612)*E76</f>
        <v>1525239.9856626356</v>
      </c>
      <c r="E670" s="2">
        <f>(E623/E612)*SUM(C670:D670)</f>
        <v>512197.2595349091</v>
      </c>
      <c r="F670" s="2">
        <f>(F624/F612)*E64</f>
        <v>298422.67337039585</v>
      </c>
      <c r="G670" s="2">
        <f>(G625/G612)*E77</f>
        <v>1296410.4121015193</v>
      </c>
      <c r="H670" s="2">
        <f>(H628/H612)*E60</f>
        <v>89040.679181890533</v>
      </c>
      <c r="I670" s="2">
        <f>(I629/I612)*E78</f>
        <v>180759.91424362606</v>
      </c>
      <c r="J670" s="2">
        <f>(J630/J612)*E79</f>
        <v>0</v>
      </c>
      <c r="K670" s="2">
        <f>(K644/K612)*E75</f>
        <v>305757.86870434287</v>
      </c>
      <c r="L670" s="2">
        <f>(L647/L612)*E80</f>
        <v>180706.78410665825</v>
      </c>
      <c r="M670" s="2">
        <f t="shared" si="20"/>
        <v>4388536</v>
      </c>
      <c r="N670" s="288" t="s">
        <v>666</v>
      </c>
    </row>
    <row r="671" spans="1:14" ht="12.65" customHeight="1">
      <c r="A671" s="355">
        <v>6100</v>
      </c>
      <c r="B671" s="288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288" t="s">
        <v>668</v>
      </c>
    </row>
    <row r="672" spans="1:14" ht="12.65" customHeight="1">
      <c r="A672" s="355">
        <v>6120</v>
      </c>
      <c r="B672" s="288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288" t="s">
        <v>670</v>
      </c>
    </row>
    <row r="673" spans="1:14" ht="12.65" customHeight="1">
      <c r="A673" s="355">
        <v>6140</v>
      </c>
      <c r="B673" s="288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288" t="s">
        <v>672</v>
      </c>
    </row>
    <row r="674" spans="1:14" ht="12.65" customHeight="1">
      <c r="A674" s="355">
        <v>6150</v>
      </c>
      <c r="B674" s="288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288" t="s">
        <v>674</v>
      </c>
    </row>
    <row r="675" spans="1:14" ht="12.65" customHeight="1">
      <c r="A675" s="355">
        <v>6170</v>
      </c>
      <c r="B675" s="288" t="s">
        <v>99</v>
      </c>
      <c r="C675" s="2">
        <f>J71</f>
        <v>623346</v>
      </c>
      <c r="D675" s="2">
        <f>(D615/D612)*J76</f>
        <v>91003.858558783191</v>
      </c>
      <c r="E675" s="2">
        <f>(E623/E612)*SUM(C675:D675)</f>
        <v>64298.951716188996</v>
      </c>
      <c r="F675" s="2">
        <f>(F624/F612)*J64</f>
        <v>24454.985807372104</v>
      </c>
      <c r="G675" s="2">
        <f>(G625/G612)*J77</f>
        <v>270812.02789749694</v>
      </c>
      <c r="H675" s="2">
        <f>(H628/H612)*J60</f>
        <v>0</v>
      </c>
      <c r="I675" s="2">
        <f>(I629/I612)*J78</f>
        <v>10800.493891116199</v>
      </c>
      <c r="J675" s="2">
        <f>(J630/J612)*J79</f>
        <v>0</v>
      </c>
      <c r="K675" s="2">
        <f>(K644/K612)*J75</f>
        <v>77741.56483567768</v>
      </c>
      <c r="L675" s="2">
        <f>(L647/L612)*J80</f>
        <v>0</v>
      </c>
      <c r="M675" s="2">
        <f t="shared" si="20"/>
        <v>539112</v>
      </c>
      <c r="N675" s="288" t="s">
        <v>675</v>
      </c>
    </row>
    <row r="676" spans="1:14" ht="12.65" customHeight="1">
      <c r="A676" s="355">
        <v>6200</v>
      </c>
      <c r="B676" s="288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288" t="s">
        <v>676</v>
      </c>
    </row>
    <row r="677" spans="1:14" ht="12.65" customHeight="1">
      <c r="A677" s="355">
        <v>6210</v>
      </c>
      <c r="B677" s="288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288" t="s">
        <v>677</v>
      </c>
    </row>
    <row r="678" spans="1:14" ht="12.65" customHeight="1">
      <c r="A678" s="355">
        <v>6330</v>
      </c>
      <c r="B678" s="288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288" t="s">
        <v>679</v>
      </c>
    </row>
    <row r="679" spans="1:14" ht="12.65" customHeight="1">
      <c r="A679" s="355">
        <v>6400</v>
      </c>
      <c r="B679" s="288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16969.597647291921</v>
      </c>
      <c r="M679" s="2">
        <f t="shared" si="20"/>
        <v>16970</v>
      </c>
      <c r="N679" s="288" t="s">
        <v>681</v>
      </c>
    </row>
    <row r="680" spans="1:14" ht="12.65" customHeight="1">
      <c r="A680" s="355">
        <v>7010</v>
      </c>
      <c r="B680" s="288" t="s">
        <v>682</v>
      </c>
      <c r="C680" s="2">
        <f>O71</f>
        <v>4184496</v>
      </c>
      <c r="D680" s="2">
        <f>(D615/D612)*O76</f>
        <v>2878810.7009724472</v>
      </c>
      <c r="E680" s="2">
        <f>(E623/E612)*SUM(C680:D680)</f>
        <v>635771.40959857684</v>
      </c>
      <c r="F680" s="2">
        <f>(F624/F612)*O64</f>
        <v>327026.94667218009</v>
      </c>
      <c r="G680" s="2">
        <f>(G625/G612)*O77</f>
        <v>339989.38526019652</v>
      </c>
      <c r="H680" s="2">
        <f>(H628/H612)*O60</f>
        <v>59218.949920732914</v>
      </c>
      <c r="I680" s="2">
        <f>(I629/I612)*O78</f>
        <v>341165.05153861002</v>
      </c>
      <c r="J680" s="2">
        <f>(J630/J612)*O79</f>
        <v>0</v>
      </c>
      <c r="K680" s="2">
        <f>(K644/K612)*O75</f>
        <v>460887.05394345423</v>
      </c>
      <c r="L680" s="2">
        <f>(L647/L612)*O80</f>
        <v>126041.36267797741</v>
      </c>
      <c r="M680" s="2">
        <f t="shared" si="20"/>
        <v>5168911</v>
      </c>
      <c r="N680" s="288" t="s">
        <v>683</v>
      </c>
    </row>
    <row r="681" spans="1:14" ht="12.65" customHeight="1">
      <c r="A681" s="355">
        <v>7020</v>
      </c>
      <c r="B681" s="288" t="s">
        <v>684</v>
      </c>
      <c r="C681" s="2">
        <f>P71</f>
        <v>4688337</v>
      </c>
      <c r="D681" s="2">
        <f>(D615/D612)*P76</f>
        <v>288327.79310559778</v>
      </c>
      <c r="E681" s="2">
        <f>(E623/E612)*SUM(C681:D681)</f>
        <v>447951.83397271228</v>
      </c>
      <c r="F681" s="2">
        <f>(F624/F612)*P64</f>
        <v>1845303.9182633883</v>
      </c>
      <c r="G681" s="2">
        <f>(G625/G612)*P77</f>
        <v>0</v>
      </c>
      <c r="H681" s="2">
        <f>(H628/H612)*P60</f>
        <v>48553.171305977259</v>
      </c>
      <c r="I681" s="2">
        <f>(I629/I612)*P78</f>
        <v>34181.782864191926</v>
      </c>
      <c r="J681" s="2">
        <f>(J630/J612)*P79</f>
        <v>0</v>
      </c>
      <c r="K681" s="2">
        <f>(K644/K612)*P75</f>
        <v>2331306.4916305253</v>
      </c>
      <c r="L681" s="2">
        <f>(L647/L612)*P80</f>
        <v>78435.812026223342</v>
      </c>
      <c r="M681" s="2">
        <f t="shared" si="20"/>
        <v>5074061</v>
      </c>
      <c r="N681" s="288" t="s">
        <v>685</v>
      </c>
    </row>
    <row r="682" spans="1:14" ht="12.65" customHeight="1">
      <c r="A682" s="355">
        <v>7030</v>
      </c>
      <c r="B682" s="288" t="s">
        <v>686</v>
      </c>
      <c r="C682" s="2">
        <f>Q71</f>
        <v>1028207</v>
      </c>
      <c r="D682" s="2">
        <f>(D615/D612)*Q76</f>
        <v>366568.13714000746</v>
      </c>
      <c r="E682" s="2">
        <f>(E623/E612)*SUM(C682:D682)</f>
        <v>125544.33674676277</v>
      </c>
      <c r="F682" s="2">
        <f>(F624/F612)*Q64</f>
        <v>29615.558358625356</v>
      </c>
      <c r="G682" s="2">
        <f>(G625/G612)*Q77</f>
        <v>0</v>
      </c>
      <c r="H682" s="2">
        <f>(H628/H612)*Q60</f>
        <v>13982.252064617493</v>
      </c>
      <c r="I682" s="2">
        <f>(I629/I612)*Q78</f>
        <v>43439.349056577237</v>
      </c>
      <c r="J682" s="2">
        <f>(J630/J612)*Q79</f>
        <v>0</v>
      </c>
      <c r="K682" s="2">
        <f>(K644/K612)*Q75</f>
        <v>359221.38892935473</v>
      </c>
      <c r="L682" s="2">
        <f>(L647/L612)*Q80</f>
        <v>26620.246690980839</v>
      </c>
      <c r="M682" s="2">
        <f t="shared" si="20"/>
        <v>964991</v>
      </c>
      <c r="N682" s="288" t="s">
        <v>687</v>
      </c>
    </row>
    <row r="683" spans="1:14" ht="12.65" customHeight="1">
      <c r="A683" s="355">
        <v>7040</v>
      </c>
      <c r="B683" s="288" t="s">
        <v>107</v>
      </c>
      <c r="C683" s="2">
        <f>R71</f>
        <v>1628727</v>
      </c>
      <c r="D683" s="2">
        <f>(D615/D612)*R76</f>
        <v>43778.854818601169</v>
      </c>
      <c r="E683" s="2">
        <f>(E623/E612)*SUM(C683:D683)</f>
        <v>150543.00342550603</v>
      </c>
      <c r="F683" s="2">
        <f>(F624/F612)*R64</f>
        <v>95527.193973754664</v>
      </c>
      <c r="G683" s="2">
        <f>(G625/G612)*R77</f>
        <v>0</v>
      </c>
      <c r="H683" s="2">
        <f>(H628/H612)*R60</f>
        <v>4271.6178034220429</v>
      </c>
      <c r="I683" s="2">
        <f>(I629/I612)*R78</f>
        <v>5162.8734534456553</v>
      </c>
      <c r="J683" s="2">
        <f>(J630/J612)*R79</f>
        <v>0</v>
      </c>
      <c r="K683" s="2">
        <f>(K644/K612)*R75</f>
        <v>232954.79050399095</v>
      </c>
      <c r="L683" s="2">
        <f>(L647/L612)*R80</f>
        <v>8355.2599103078537</v>
      </c>
      <c r="M683" s="2">
        <f t="shared" si="20"/>
        <v>540594</v>
      </c>
      <c r="N683" s="288" t="s">
        <v>688</v>
      </c>
    </row>
    <row r="684" spans="1:14" ht="12.65" customHeight="1">
      <c r="A684" s="355">
        <v>7050</v>
      </c>
      <c r="B684" s="288" t="s">
        <v>689</v>
      </c>
      <c r="C684" s="2">
        <f>S71</f>
        <v>3499996</v>
      </c>
      <c r="D684" s="2">
        <f>(D615/D612)*S76</f>
        <v>368482.66431866353</v>
      </c>
      <c r="E684" s="2">
        <f>(E623/E612)*SUM(C684:D684)</f>
        <v>348203.50262820767</v>
      </c>
      <c r="F684" s="2">
        <f>(F624/F612)*S64</f>
        <v>506990.40536943823</v>
      </c>
      <c r="G684" s="2">
        <f>(G625/G612)*S77</f>
        <v>0</v>
      </c>
      <c r="H684" s="2">
        <f>(H628/H612)*S60</f>
        <v>32076.931207063662</v>
      </c>
      <c r="I684" s="2">
        <f>(I629/I612)*S78</f>
        <v>43676.722548689686</v>
      </c>
      <c r="J684" s="2">
        <f>(J630/J612)*S79</f>
        <v>0</v>
      </c>
      <c r="K684" s="2">
        <f>(K644/K612)*S75</f>
        <v>0</v>
      </c>
      <c r="L684" s="2">
        <f>(L647/L612)*S80</f>
        <v>38602.596174755665</v>
      </c>
      <c r="M684" s="2">
        <f t="shared" si="20"/>
        <v>1338033</v>
      </c>
      <c r="N684" s="288" t="s">
        <v>690</v>
      </c>
    </row>
    <row r="685" spans="1:14" ht="12.65" customHeight="1">
      <c r="A685" s="355">
        <v>7060</v>
      </c>
      <c r="B685" s="288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288" t="s">
        <v>692</v>
      </c>
    </row>
    <row r="686" spans="1:14" ht="12.65" customHeight="1">
      <c r="A686" s="355">
        <v>7070</v>
      </c>
      <c r="B686" s="288" t="s">
        <v>109</v>
      </c>
      <c r="C686" s="2">
        <f>U71</f>
        <v>3814539</v>
      </c>
      <c r="D686" s="2">
        <f>(D615/D612)*U76</f>
        <v>350230.83854880935</v>
      </c>
      <c r="E686" s="2">
        <f>(E623/E612)*SUM(C686:D686)</f>
        <v>374872.80434010742</v>
      </c>
      <c r="F686" s="2">
        <f>(F624/F612)*U64</f>
        <v>1691214.2632144436</v>
      </c>
      <c r="G686" s="2">
        <f>(G625/G612)*U77</f>
        <v>0</v>
      </c>
      <c r="H686" s="2">
        <f>(H628/H612)*U60</f>
        <v>51392.072579058986</v>
      </c>
      <c r="I686" s="2">
        <f>(I629/I612)*U78</f>
        <v>41481.017746649573</v>
      </c>
      <c r="J686" s="2">
        <f>(J630/J612)*U79</f>
        <v>0</v>
      </c>
      <c r="K686" s="2">
        <f>(K644/K612)*U75</f>
        <v>895509.55015027337</v>
      </c>
      <c r="L686" s="2">
        <f>(L647/L612)*U80</f>
        <v>112375.0073208072</v>
      </c>
      <c r="M686" s="2">
        <f t="shared" si="20"/>
        <v>3517076</v>
      </c>
      <c r="N686" s="288" t="s">
        <v>693</v>
      </c>
    </row>
    <row r="687" spans="1:14" ht="12.65" customHeight="1">
      <c r="A687" s="355">
        <v>7110</v>
      </c>
      <c r="B687" s="288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288" t="s">
        <v>695</v>
      </c>
    </row>
    <row r="688" spans="1:14" ht="12.65" customHeight="1">
      <c r="A688" s="355">
        <v>7120</v>
      </c>
      <c r="B688" s="288" t="s">
        <v>696</v>
      </c>
      <c r="C688" s="2">
        <f>W71</f>
        <v>313185</v>
      </c>
      <c r="D688" s="2">
        <f>(D615/D612)*W76</f>
        <v>112574.19810497444</v>
      </c>
      <c r="E688" s="2">
        <f>(E623/E612)*SUM(C688:D688)</f>
        <v>38322.776709029567</v>
      </c>
      <c r="F688" s="2">
        <f>(F624/F612)*W64</f>
        <v>6653.3500456052479</v>
      </c>
      <c r="G688" s="2">
        <f>(G625/G612)*W77</f>
        <v>0</v>
      </c>
      <c r="H688" s="2">
        <f>(H628/H612)*W60</f>
        <v>3236.8780870651503</v>
      </c>
      <c r="I688" s="2">
        <f>(I629/I612)*W78</f>
        <v>13352.25893132497</v>
      </c>
      <c r="J688" s="2">
        <f>(J630/J612)*W79</f>
        <v>0</v>
      </c>
      <c r="K688" s="2">
        <f>(K644/K612)*W75</f>
        <v>115957.53936713714</v>
      </c>
      <c r="L688" s="2">
        <f>(L647/L612)*W80</f>
        <v>6995.1013202577387</v>
      </c>
      <c r="M688" s="2">
        <f t="shared" si="20"/>
        <v>297092</v>
      </c>
      <c r="N688" s="288" t="s">
        <v>697</v>
      </c>
    </row>
    <row r="689" spans="1:14" ht="12.65" customHeight="1">
      <c r="A689" s="355">
        <v>7130</v>
      </c>
      <c r="B689" s="288" t="s">
        <v>698</v>
      </c>
      <c r="C689" s="2">
        <f>X71</f>
        <v>2219255</v>
      </c>
      <c r="D689" s="2">
        <f>(D615/D612)*X76</f>
        <v>763768.70913851145</v>
      </c>
      <c r="E689" s="2">
        <f>(E623/E612)*SUM(C689:D689)</f>
        <v>268503.30429002346</v>
      </c>
      <c r="F689" s="2">
        <f>(F624/F612)*X64</f>
        <v>85676.975643986094</v>
      </c>
      <c r="G689" s="2">
        <f>(G625/G612)*X77</f>
        <v>0</v>
      </c>
      <c r="H689" s="2">
        <f>(H628/H612)*X60</f>
        <v>12708.726259870549</v>
      </c>
      <c r="I689" s="2">
        <f>(I629/I612)*X78</f>
        <v>90498.64386786925</v>
      </c>
      <c r="J689" s="2">
        <f>(J630/J612)*X79</f>
        <v>0</v>
      </c>
      <c r="K689" s="2">
        <f>(K644/K612)*X75</f>
        <v>1600924.5867142223</v>
      </c>
      <c r="L689" s="2">
        <f>(L647/L612)*X80</f>
        <v>30635.953004462135</v>
      </c>
      <c r="M689" s="2">
        <f t="shared" si="20"/>
        <v>2852717</v>
      </c>
      <c r="N689" s="288" t="s">
        <v>699</v>
      </c>
    </row>
    <row r="690" spans="1:14" ht="12.65" customHeight="1">
      <c r="A690" s="355">
        <v>7140</v>
      </c>
      <c r="B690" s="288" t="s">
        <v>1250</v>
      </c>
      <c r="C690" s="2">
        <f>Y71</f>
        <v>5111005</v>
      </c>
      <c r="D690" s="2">
        <f>(D615/D612)*Y76</f>
        <v>1794677.7772721606</v>
      </c>
      <c r="E690" s="2">
        <f>(E623/E612)*SUM(C690:D690)</f>
        <v>621583.6094081091</v>
      </c>
      <c r="F690" s="2">
        <f>(F624/F612)*Y64</f>
        <v>128247.54839495034</v>
      </c>
      <c r="G690" s="2">
        <f>(G625/G612)*Y77</f>
        <v>0</v>
      </c>
      <c r="H690" s="2">
        <f>(H628/H612)*Y60</f>
        <v>75164.554267668616</v>
      </c>
      <c r="I690" s="2">
        <f>(I629/I612)*Y78</f>
        <v>212686.64893274975</v>
      </c>
      <c r="J690" s="2">
        <f>(J630/J612)*Y79</f>
        <v>0</v>
      </c>
      <c r="K690" s="2">
        <f>(K644/K612)*Y75</f>
        <v>955077.82101361966</v>
      </c>
      <c r="L690" s="2">
        <f>(L647/L612)*Y80</f>
        <v>152078.68425893676</v>
      </c>
      <c r="M690" s="2">
        <f t="shared" si="20"/>
        <v>3939517</v>
      </c>
      <c r="N690" s="288" t="s">
        <v>700</v>
      </c>
    </row>
    <row r="691" spans="1:14" ht="12.65" customHeight="1">
      <c r="A691" s="355">
        <v>7150</v>
      </c>
      <c r="B691" s="288" t="s">
        <v>701</v>
      </c>
      <c r="C691" s="2">
        <f>Z71</f>
        <v>1607376</v>
      </c>
      <c r="D691" s="2">
        <f>(D615/D612)*Z76</f>
        <v>642515.32115696301</v>
      </c>
      <c r="E691" s="2">
        <f>(E623/E612)*SUM(C691:D691)</f>
        <v>202513.72866176584</v>
      </c>
      <c r="F691" s="2">
        <f>(F624/F612)*Z64</f>
        <v>43702.608262353526</v>
      </c>
      <c r="G691" s="2">
        <f>(G625/G612)*Z77</f>
        <v>0</v>
      </c>
      <c r="H691" s="2">
        <f>(H628/H612)*Z60</f>
        <v>15547.627532952281</v>
      </c>
      <c r="I691" s="2">
        <f>(I629/I612)*Z78</f>
        <v>76137.547595066397</v>
      </c>
      <c r="J691" s="2">
        <f>(J630/J612)*Z79</f>
        <v>0</v>
      </c>
      <c r="K691" s="2">
        <f>(K644/K612)*Z75</f>
        <v>905191.44788752566</v>
      </c>
      <c r="L691" s="2">
        <f>(L647/L612)*Z80</f>
        <v>32384.728334526568</v>
      </c>
      <c r="M691" s="2">
        <f t="shared" si="20"/>
        <v>1917993</v>
      </c>
      <c r="N691" s="288" t="s">
        <v>702</v>
      </c>
    </row>
    <row r="692" spans="1:14" ht="12.65" customHeight="1">
      <c r="A692" s="355">
        <v>7160</v>
      </c>
      <c r="B692" s="288" t="s">
        <v>703</v>
      </c>
      <c r="C692" s="2">
        <f>AA71</f>
        <v>261244</v>
      </c>
      <c r="D692" s="2">
        <f>(D615/D612)*AA76</f>
        <v>46459.192868719612</v>
      </c>
      <c r="E692" s="2">
        <f>(E623/E612)*SUM(C692:D692)</f>
        <v>27696.502636816727</v>
      </c>
      <c r="F692" s="2">
        <f>(F624/F612)*AA64</f>
        <v>37701.310671308507</v>
      </c>
      <c r="G692" s="2">
        <f>(G625/G612)*AA77</f>
        <v>0</v>
      </c>
      <c r="H692" s="2">
        <f>(H628/H612)*AA60</f>
        <v>3077.687361471782</v>
      </c>
      <c r="I692" s="2">
        <f>(I629/I612)*AA78</f>
        <v>5518.9336916143211</v>
      </c>
      <c r="J692" s="2">
        <f>(J630/J612)*AA79</f>
        <v>0</v>
      </c>
      <c r="K692" s="2">
        <f>(K644/K612)*AA75</f>
        <v>60401.087578466249</v>
      </c>
      <c r="L692" s="2">
        <f>(L647/L612)*AA80</f>
        <v>6800.7929502505795</v>
      </c>
      <c r="M692" s="2">
        <f t="shared" si="20"/>
        <v>187656</v>
      </c>
      <c r="N692" s="288" t="s">
        <v>704</v>
      </c>
    </row>
    <row r="693" spans="1:14" ht="12.65" customHeight="1">
      <c r="A693" s="355">
        <v>7170</v>
      </c>
      <c r="B693" s="288" t="s">
        <v>115</v>
      </c>
      <c r="C693" s="2">
        <f>AB71</f>
        <v>3299309</v>
      </c>
      <c r="D693" s="2">
        <f>(D615/D612)*AB76</f>
        <v>160565.01271661886</v>
      </c>
      <c r="E693" s="2">
        <f>(E623/E612)*SUM(C693:D693)</f>
        <v>311424.81435720256</v>
      </c>
      <c r="F693" s="2">
        <f>(F624/F612)*AB64</f>
        <v>2138116.2236393387</v>
      </c>
      <c r="G693" s="2">
        <f>(G625/G612)*AB77</f>
        <v>0</v>
      </c>
      <c r="H693" s="2">
        <f>(H628/H612)*AB60</f>
        <v>31493.231879887979</v>
      </c>
      <c r="I693" s="2">
        <f>(I629/I612)*AB78</f>
        <v>19049.222742023627</v>
      </c>
      <c r="J693" s="2">
        <f>(J630/J612)*AB79</f>
        <v>0</v>
      </c>
      <c r="K693" s="2">
        <f>(K644/K612)*AB75</f>
        <v>396892.23346417275</v>
      </c>
      <c r="L693" s="2">
        <f>(L647/L612)*AB80</f>
        <v>68526.085155858222</v>
      </c>
      <c r="M693" s="2">
        <f t="shared" si="20"/>
        <v>3126067</v>
      </c>
      <c r="N693" s="288" t="s">
        <v>705</v>
      </c>
    </row>
    <row r="694" spans="1:14" ht="12.65" customHeight="1">
      <c r="A694" s="355">
        <v>7180</v>
      </c>
      <c r="B694" s="288" t="s">
        <v>706</v>
      </c>
      <c r="C694" s="2">
        <f>AC71</f>
        <v>1567309</v>
      </c>
      <c r="D694" s="2">
        <f>(D615/D612)*AC76</f>
        <v>540534.8401072186</v>
      </c>
      <c r="E694" s="2">
        <f>(E623/E612)*SUM(C694:D694)</f>
        <v>189727.9710725492</v>
      </c>
      <c r="F694" s="2">
        <f>(F624/F612)*AC64</f>
        <v>118205.63871858653</v>
      </c>
      <c r="G694" s="2">
        <f>(G625/G612)*AC77</f>
        <v>0</v>
      </c>
      <c r="H694" s="2">
        <f>(H628/H612)*AC60</f>
        <v>28256.353792822829</v>
      </c>
      <c r="I694" s="2">
        <f>(I629/I612)*AC78</f>
        <v>64031.499497331752</v>
      </c>
      <c r="J694" s="2">
        <f>(J630/J612)*AC79</f>
        <v>0</v>
      </c>
      <c r="K694" s="2">
        <f>(K644/K612)*AC75</f>
        <v>213074.61233123668</v>
      </c>
      <c r="L694" s="2">
        <f>(L647/L612)*AC80</f>
        <v>60753.750355571843</v>
      </c>
      <c r="M694" s="2">
        <f t="shared" si="20"/>
        <v>1214585</v>
      </c>
      <c r="N694" s="288" t="s">
        <v>707</v>
      </c>
    </row>
    <row r="695" spans="1:14" ht="12.65" customHeight="1">
      <c r="A695" s="355">
        <v>7190</v>
      </c>
      <c r="B695" s="288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288" t="s">
        <v>708</v>
      </c>
    </row>
    <row r="696" spans="1:14" ht="12.65" customHeight="1">
      <c r="A696" s="355">
        <v>7200</v>
      </c>
      <c r="B696" s="288" t="s">
        <v>709</v>
      </c>
      <c r="C696" s="2">
        <f>AE71</f>
        <v>1035869</v>
      </c>
      <c r="D696" s="2">
        <f>(D615/D612)*AE76</f>
        <v>537726.86691185634</v>
      </c>
      <c r="E696" s="2">
        <f>(E623/E612)*SUM(C696:D696)</f>
        <v>141640.07097515787</v>
      </c>
      <c r="F696" s="2">
        <f>(F624/F612)*AE64</f>
        <v>9900.0278922696962</v>
      </c>
      <c r="G696" s="2">
        <f>(G625/G612)*AE77</f>
        <v>0</v>
      </c>
      <c r="H696" s="2">
        <f>(H628/H612)*AE60</f>
        <v>20349.881088352216</v>
      </c>
      <c r="I696" s="2">
        <f>(I629/I612)*AE78</f>
        <v>63734.782632191193</v>
      </c>
      <c r="J696" s="2">
        <f>(J630/J612)*AE79</f>
        <v>0</v>
      </c>
      <c r="K696" s="2">
        <f>(K644/K612)*AE75</f>
        <v>77665.047863006577</v>
      </c>
      <c r="L696" s="2">
        <f>(L647/L612)*AE80</f>
        <v>40351.371504820105</v>
      </c>
      <c r="M696" s="2">
        <f t="shared" si="20"/>
        <v>891368</v>
      </c>
      <c r="N696" s="288" t="s">
        <v>710</v>
      </c>
    </row>
    <row r="697" spans="1:14" ht="12.65" customHeight="1">
      <c r="A697" s="355">
        <v>7220</v>
      </c>
      <c r="B697" s="288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288" t="s">
        <v>712</v>
      </c>
    </row>
    <row r="698" spans="1:14" ht="12.65" customHeight="1">
      <c r="A698" s="355">
        <v>7230</v>
      </c>
      <c r="B698" s="288" t="s">
        <v>713</v>
      </c>
      <c r="C698" s="2">
        <f>AG71</f>
        <v>3783637</v>
      </c>
      <c r="D698" s="2">
        <f>(D615/D612)*AG76</f>
        <v>542194.09699538711</v>
      </c>
      <c r="E698" s="2">
        <f>(E623/E612)*SUM(C698:D698)</f>
        <v>389370.00057543494</v>
      </c>
      <c r="F698" s="2">
        <f>(F624/F612)*AG64</f>
        <v>360006.91457065439</v>
      </c>
      <c r="G698" s="2">
        <f>(G625/G612)*AG77</f>
        <v>0</v>
      </c>
      <c r="H698" s="2">
        <f>(H628/H612)*AG60</f>
        <v>58820.973106749501</v>
      </c>
      <c r="I698" s="2">
        <f>(I629/I612)*AG78</f>
        <v>64268.872989444193</v>
      </c>
      <c r="J698" s="2">
        <f>(J630/J612)*AG79</f>
        <v>0</v>
      </c>
      <c r="K698" s="2">
        <f>(K644/K612)*AG75</f>
        <v>1002406.4540272618</v>
      </c>
      <c r="L698" s="2">
        <f>(L647/L612)*AG80</f>
        <v>125458.43756795593</v>
      </c>
      <c r="M698" s="2">
        <f t="shared" si="20"/>
        <v>2542526</v>
      </c>
      <c r="N698" s="288" t="s">
        <v>714</v>
      </c>
    </row>
    <row r="699" spans="1:14" ht="12.65" customHeight="1">
      <c r="A699" s="355">
        <v>7240</v>
      </c>
      <c r="B699" s="288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288" t="s">
        <v>715</v>
      </c>
    </row>
    <row r="700" spans="1:14" ht="12.65" customHeight="1">
      <c r="A700" s="355">
        <v>7250</v>
      </c>
      <c r="B700" s="288" t="s">
        <v>716</v>
      </c>
      <c r="C700" s="2">
        <f>AI71</f>
        <v>2360083</v>
      </c>
      <c r="D700" s="2">
        <f>(D615/D612)*AI76</f>
        <v>635495.38816855755</v>
      </c>
      <c r="E700" s="2">
        <f>(E623/E612)*SUM(C700:D700)</f>
        <v>269633.35659015807</v>
      </c>
      <c r="F700" s="2">
        <f>(F624/F612)*AI64</f>
        <v>409028.58035585569</v>
      </c>
      <c r="G700" s="2">
        <f>(G625/G612)*AI77</f>
        <v>0</v>
      </c>
      <c r="H700" s="2">
        <f>(H628/H612)*AI60</f>
        <v>42716.178034220429</v>
      </c>
      <c r="I700" s="2">
        <f>(I629/I612)*AI78</f>
        <v>75306.740372672837</v>
      </c>
      <c r="J700" s="2">
        <f>(J630/J612)*AI79</f>
        <v>0</v>
      </c>
      <c r="K700" s="2">
        <f>(K644/K612)*AI75</f>
        <v>161004.08573104782</v>
      </c>
      <c r="L700" s="2">
        <f>(L647/L612)*AI80</f>
        <v>88410.308353257526</v>
      </c>
      <c r="M700" s="2">
        <f t="shared" si="20"/>
        <v>1681595</v>
      </c>
      <c r="N700" s="288" t="s">
        <v>717</v>
      </c>
    </row>
    <row r="701" spans="1:14" ht="12.65" customHeight="1">
      <c r="A701" s="355">
        <v>7260</v>
      </c>
      <c r="B701" s="288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0"/>
        <v>0</v>
      </c>
      <c r="N701" s="288" t="s">
        <v>718</v>
      </c>
    </row>
    <row r="702" spans="1:14" ht="12.65" customHeight="1">
      <c r="A702" s="355">
        <v>7310</v>
      </c>
      <c r="B702" s="288" t="s">
        <v>719</v>
      </c>
      <c r="C702" s="2">
        <f>AK71</f>
        <v>77433</v>
      </c>
      <c r="D702" s="2">
        <f>(D615/D612)*AK76</f>
        <v>0</v>
      </c>
      <c r="E702" s="2">
        <f>(E623/E612)*SUM(C702:D702)</f>
        <v>6969.7791195544232</v>
      </c>
      <c r="F702" s="2">
        <f>(F624/F612)*AK64</f>
        <v>3740.2453296301737</v>
      </c>
      <c r="G702" s="2">
        <f>(G625/G612)*AK77</f>
        <v>0</v>
      </c>
      <c r="H702" s="2">
        <f>(H628/H612)*AK60</f>
        <v>1432.7165303403126</v>
      </c>
      <c r="I702" s="2">
        <f>(I629/I612)*AK78</f>
        <v>0</v>
      </c>
      <c r="J702" s="2">
        <f>(J630/J612)*AK79</f>
        <v>0</v>
      </c>
      <c r="K702" s="2">
        <f>(K644/K612)*AK75</f>
        <v>12468.95365970091</v>
      </c>
      <c r="L702" s="2">
        <f>(L647/L612)*AK80</f>
        <v>3497.5506601288694</v>
      </c>
      <c r="M702" s="2">
        <f t="shared" si="20"/>
        <v>28109</v>
      </c>
      <c r="N702" s="288" t="s">
        <v>720</v>
      </c>
    </row>
    <row r="703" spans="1:14" ht="12.65" customHeight="1">
      <c r="A703" s="355">
        <v>7320</v>
      </c>
      <c r="B703" s="288" t="s">
        <v>721</v>
      </c>
      <c r="C703" s="2">
        <f>AL71</f>
        <v>56145</v>
      </c>
      <c r="D703" s="2">
        <f>(D615/D612)*AL76</f>
        <v>0</v>
      </c>
      <c r="E703" s="2">
        <f>(E623/E612)*SUM(C703:D703)</f>
        <v>5053.6366751563692</v>
      </c>
      <c r="F703" s="2">
        <f>(F624/F612)*AL64</f>
        <v>0</v>
      </c>
      <c r="G703" s="2">
        <f>(G625/G612)*AL77</f>
        <v>0</v>
      </c>
      <c r="H703" s="2">
        <f>(H628/H612)*AL60</f>
        <v>1167.3986543513656</v>
      </c>
      <c r="I703" s="2">
        <f>(I629/I612)*AL78</f>
        <v>0</v>
      </c>
      <c r="J703" s="2">
        <f>(J630/J612)*AL79</f>
        <v>0</v>
      </c>
      <c r="K703" s="2">
        <f>(K644/K612)*AL75</f>
        <v>8049.7137657359654</v>
      </c>
      <c r="L703" s="2">
        <f>(L647/L612)*AL80</f>
        <v>0</v>
      </c>
      <c r="M703" s="2">
        <f t="shared" si="20"/>
        <v>14271</v>
      </c>
      <c r="N703" s="288" t="s">
        <v>722</v>
      </c>
    </row>
    <row r="704" spans="1:14" ht="12.65" customHeight="1">
      <c r="A704" s="355">
        <v>7330</v>
      </c>
      <c r="B704" s="288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288" t="s">
        <v>724</v>
      </c>
    </row>
    <row r="705" spans="1:83" ht="12.65" customHeight="1">
      <c r="A705" s="355">
        <v>7340</v>
      </c>
      <c r="B705" s="288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288" t="s">
        <v>726</v>
      </c>
    </row>
    <row r="706" spans="1:83" ht="12.65" customHeight="1">
      <c r="A706" s="355">
        <v>7350</v>
      </c>
      <c r="B706" s="288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288" t="s">
        <v>728</v>
      </c>
    </row>
    <row r="707" spans="1:83" ht="12.65" customHeight="1">
      <c r="A707" s="355">
        <v>7380</v>
      </c>
      <c r="B707" s="288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288" t="s">
        <v>730</v>
      </c>
    </row>
    <row r="708" spans="1:83" ht="12.65" customHeight="1">
      <c r="A708" s="355">
        <v>7390</v>
      </c>
      <c r="B708" s="288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288" t="s">
        <v>732</v>
      </c>
    </row>
    <row r="709" spans="1:83" ht="12.65" customHeight="1">
      <c r="A709" s="355">
        <v>7400</v>
      </c>
      <c r="B709" s="288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288" t="s">
        <v>734</v>
      </c>
    </row>
    <row r="710" spans="1:83" ht="12.65" customHeight="1">
      <c r="A710" s="355">
        <v>7410</v>
      </c>
      <c r="B710" s="288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288" t="s">
        <v>735</v>
      </c>
    </row>
    <row r="711" spans="1:83" ht="12.65" customHeight="1">
      <c r="A711" s="355">
        <v>7420</v>
      </c>
      <c r="B711" s="288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288" t="s">
        <v>737</v>
      </c>
    </row>
    <row r="712" spans="1:83" ht="12.65" customHeight="1">
      <c r="A712" s="355">
        <v>7430</v>
      </c>
      <c r="B712" s="288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288" t="s">
        <v>739</v>
      </c>
    </row>
    <row r="713" spans="1:83" ht="12.65" customHeight="1">
      <c r="A713" s="355">
        <v>7490</v>
      </c>
      <c r="B713" s="288" t="s">
        <v>740</v>
      </c>
      <c r="C713" s="2">
        <f>AV71</f>
        <v>4745080</v>
      </c>
      <c r="D713" s="2">
        <f>(D615/D612)*AV76</f>
        <v>0</v>
      </c>
      <c r="E713" s="2">
        <f>(E623/E612)*SUM(C713:D713)</f>
        <v>427106.78269749723</v>
      </c>
      <c r="F713" s="2">
        <f>(F624/F612)*AV64</f>
        <v>407434.67435581959</v>
      </c>
      <c r="G713" s="2">
        <f>(G625/G612)*AV77</f>
        <v>0</v>
      </c>
      <c r="H713" s="2">
        <f>(H628/H612)*AV60</f>
        <v>30989.127915508983</v>
      </c>
      <c r="I713" s="2">
        <f>(I629/I612)*AV78</f>
        <v>680075.05490215181</v>
      </c>
      <c r="J713" s="2">
        <f>(J630/J612)*AV79</f>
        <v>0</v>
      </c>
      <c r="K713" s="2">
        <f>(K644/K612)*AV75</f>
        <v>233794.59633924035</v>
      </c>
      <c r="L713" s="2">
        <f>(L647/L612)*AV80</f>
        <v>807739.89411976153</v>
      </c>
      <c r="M713" s="2">
        <f t="shared" si="20"/>
        <v>2587140</v>
      </c>
      <c r="N713" s="290" t="s">
        <v>741</v>
      </c>
    </row>
    <row r="715" spans="1:83" ht="12.65" customHeight="1">
      <c r="C715" s="2">
        <f>SUM(C614:C647)+SUM(C668:C713)</f>
        <v>105953073</v>
      </c>
      <c r="D715" s="2">
        <f>SUM(D616:D647)+SUM(D668:D713)</f>
        <v>16380184.000000004</v>
      </c>
      <c r="E715" s="2">
        <f>SUM(E624:E647)+SUM(E668:E713)</f>
        <v>8749350.715122804</v>
      </c>
      <c r="F715" s="2">
        <f>SUM(F625:F648)+SUM(F668:F713)</f>
        <v>10193111.886168381</v>
      </c>
      <c r="G715" s="2">
        <f>SUM(G626:G647)+SUM(G668:G713)</f>
        <v>3542271.3040860873</v>
      </c>
      <c r="H715" s="2">
        <f>SUM(H629:H647)+SUM(H668:H713)</f>
        <v>979420.93921319675</v>
      </c>
      <c r="I715" s="2">
        <f>SUM(I630:I647)+SUM(I668:I713)</f>
        <v>2350234.9454053077</v>
      </c>
      <c r="J715" s="2">
        <f>SUM(J631:J647)+SUM(J668:J713)</f>
        <v>0</v>
      </c>
      <c r="K715" s="2">
        <f>SUM(K668:K713)</f>
        <v>11139105.516960572</v>
      </c>
      <c r="L715" s="2">
        <f>SUM(L668:L713)</f>
        <v>2321985.0215855548</v>
      </c>
      <c r="M715" s="2">
        <f>SUM(M668:M713)</f>
        <v>48171391</v>
      </c>
      <c r="N715" s="288" t="s">
        <v>742</v>
      </c>
    </row>
    <row r="716" spans="1:83" ht="12.65" customHeight="1">
      <c r="C716" s="2">
        <f>CE71</f>
        <v>105953073</v>
      </c>
      <c r="D716" s="2">
        <f>D615</f>
        <v>16380184</v>
      </c>
      <c r="E716" s="2">
        <f>E623</f>
        <v>8749350.7151228022</v>
      </c>
      <c r="F716" s="2">
        <f>F624</f>
        <v>10193111.886168381</v>
      </c>
      <c r="G716" s="2">
        <f>G625</f>
        <v>3542271.3040860868</v>
      </c>
      <c r="H716" s="2">
        <f>H628</f>
        <v>979420.93921319721</v>
      </c>
      <c r="I716" s="2">
        <f>I629</f>
        <v>2350234.9454053072</v>
      </c>
      <c r="J716" s="2">
        <f>J630</f>
        <v>0</v>
      </c>
      <c r="K716" s="2">
        <f>K644</f>
        <v>11139105.516960574</v>
      </c>
      <c r="L716" s="2">
        <f>L647</f>
        <v>2321985.0215855548</v>
      </c>
      <c r="M716" s="2">
        <f>C648</f>
        <v>48171387</v>
      </c>
      <c r="N716" s="288" t="s">
        <v>743</v>
      </c>
    </row>
    <row r="717" spans="1:83" ht="12.65" customHeight="1">
      <c r="O717" s="288"/>
    </row>
    <row r="718" spans="1:83" ht="12.65" customHeight="1">
      <c r="O718" s="288"/>
    </row>
    <row r="719" spans="1:83" ht="12.65" customHeight="1">
      <c r="O719" s="288"/>
    </row>
    <row r="720" spans="1:83" s="358" customFormat="1" ht="12.65" customHeight="1">
      <c r="A720" s="358" t="s">
        <v>744</v>
      </c>
      <c r="B720" s="359"/>
      <c r="C720" s="359"/>
      <c r="D720" s="359"/>
      <c r="E720" s="359"/>
      <c r="F720" s="359"/>
      <c r="G720" s="359"/>
      <c r="H720" s="359"/>
      <c r="I720" s="359"/>
      <c r="J720" s="359"/>
      <c r="K720" s="359"/>
      <c r="L720" s="359"/>
      <c r="M720" s="359"/>
      <c r="N720" s="359"/>
      <c r="O720" s="359"/>
      <c r="P720" s="359"/>
      <c r="Q720" s="359"/>
      <c r="R720" s="359"/>
      <c r="S720" s="359"/>
      <c r="T720" s="359"/>
      <c r="U720" s="359"/>
      <c r="V720" s="359"/>
      <c r="W720" s="359"/>
      <c r="X720" s="359"/>
      <c r="Y720" s="359"/>
      <c r="Z720" s="359"/>
      <c r="AA720" s="359"/>
      <c r="AB720" s="359"/>
      <c r="AC720" s="359"/>
      <c r="AD720" s="359"/>
      <c r="AE720" s="359"/>
      <c r="AF720" s="359"/>
      <c r="AG720" s="359"/>
      <c r="AH720" s="359"/>
      <c r="AI720" s="359"/>
      <c r="AJ720" s="359"/>
      <c r="AK720" s="359"/>
      <c r="AL720" s="359"/>
      <c r="AM720" s="359"/>
      <c r="AN720" s="359"/>
      <c r="AO720" s="359"/>
      <c r="AP720" s="359"/>
      <c r="AQ720" s="359"/>
      <c r="AR720" s="359"/>
      <c r="AS720" s="359"/>
      <c r="AT720" s="359"/>
      <c r="AU720" s="359"/>
      <c r="AV720" s="359"/>
      <c r="AW720" s="359"/>
      <c r="AX720" s="359"/>
      <c r="AY720" s="359"/>
      <c r="AZ720" s="359"/>
      <c r="BA720" s="359"/>
      <c r="BB720" s="359"/>
      <c r="BC720" s="359"/>
      <c r="BD720" s="359"/>
      <c r="BE720" s="359"/>
      <c r="BF720" s="359"/>
      <c r="BG720" s="359"/>
      <c r="BH720" s="359"/>
      <c r="BI720" s="359"/>
      <c r="BJ720" s="359"/>
      <c r="BK720" s="359"/>
      <c r="BL720" s="359"/>
      <c r="BM720" s="359"/>
      <c r="BN720" s="359"/>
      <c r="BO720" s="359"/>
      <c r="BP720" s="359"/>
      <c r="BQ720" s="359"/>
      <c r="BR720" s="359"/>
      <c r="BS720" s="359"/>
      <c r="BT720" s="359"/>
      <c r="BU720" s="359"/>
      <c r="BV720" s="359"/>
      <c r="BW720" s="359"/>
      <c r="BX720" s="359"/>
      <c r="BY720" s="359"/>
      <c r="BZ720" s="359"/>
      <c r="CA720" s="359"/>
      <c r="CB720" s="359"/>
      <c r="CC720" s="359"/>
      <c r="CD720" s="359"/>
      <c r="CE720" s="359"/>
    </row>
    <row r="721" spans="1:84" s="360" customFormat="1" ht="12.65" customHeight="1">
      <c r="A721" s="360" t="s">
        <v>745</v>
      </c>
      <c r="B721" s="360" t="s">
        <v>746</v>
      </c>
      <c r="C721" s="360" t="s">
        <v>747</v>
      </c>
      <c r="D721" s="360" t="s">
        <v>748</v>
      </c>
      <c r="E721" s="360" t="s">
        <v>749</v>
      </c>
      <c r="F721" s="360" t="s">
        <v>750</v>
      </c>
      <c r="G721" s="360" t="s">
        <v>751</v>
      </c>
      <c r="H721" s="360" t="s">
        <v>752</v>
      </c>
      <c r="I721" s="360" t="s">
        <v>753</v>
      </c>
      <c r="J721" s="360" t="s">
        <v>754</v>
      </c>
      <c r="K721" s="360" t="s">
        <v>755</v>
      </c>
      <c r="L721" s="360" t="s">
        <v>756</v>
      </c>
      <c r="M721" s="360" t="s">
        <v>757</v>
      </c>
      <c r="N721" s="360" t="s">
        <v>758</v>
      </c>
      <c r="O721" s="360" t="s">
        <v>759</v>
      </c>
      <c r="P721" s="360" t="s">
        <v>760</v>
      </c>
      <c r="Q721" s="360" t="s">
        <v>761</v>
      </c>
      <c r="R721" s="360" t="s">
        <v>762</v>
      </c>
      <c r="S721" s="360" t="s">
        <v>763</v>
      </c>
      <c r="T721" s="360" t="s">
        <v>764</v>
      </c>
      <c r="U721" s="360" t="s">
        <v>765</v>
      </c>
      <c r="V721" s="360" t="s">
        <v>766</v>
      </c>
      <c r="W721" s="360" t="s">
        <v>767</v>
      </c>
      <c r="X721" s="360" t="s">
        <v>768</v>
      </c>
      <c r="Y721" s="360" t="s">
        <v>769</v>
      </c>
      <c r="Z721" s="360" t="s">
        <v>770</v>
      </c>
      <c r="AA721" s="360" t="s">
        <v>771</v>
      </c>
      <c r="AB721" s="360" t="s">
        <v>772</v>
      </c>
      <c r="AC721" s="360" t="s">
        <v>773</v>
      </c>
      <c r="AD721" s="360" t="s">
        <v>774</v>
      </c>
      <c r="AE721" s="360" t="s">
        <v>775</v>
      </c>
      <c r="AF721" s="360" t="s">
        <v>776</v>
      </c>
      <c r="AG721" s="360" t="s">
        <v>777</v>
      </c>
      <c r="AH721" s="360" t="s">
        <v>778</v>
      </c>
      <c r="AI721" s="360" t="s">
        <v>779</v>
      </c>
      <c r="AJ721" s="360" t="s">
        <v>780</v>
      </c>
      <c r="AK721" s="360" t="s">
        <v>781</v>
      </c>
      <c r="AL721" s="360" t="s">
        <v>782</v>
      </c>
      <c r="AM721" s="360" t="s">
        <v>783</v>
      </c>
      <c r="AN721" s="360" t="s">
        <v>784</v>
      </c>
      <c r="AO721" s="360" t="s">
        <v>785</v>
      </c>
      <c r="AP721" s="360" t="s">
        <v>786</v>
      </c>
      <c r="AQ721" s="360" t="s">
        <v>787</v>
      </c>
      <c r="AR721" s="360" t="s">
        <v>788</v>
      </c>
      <c r="AS721" s="360" t="s">
        <v>789</v>
      </c>
      <c r="AT721" s="360" t="s">
        <v>790</v>
      </c>
      <c r="AU721" s="360" t="s">
        <v>791</v>
      </c>
      <c r="AV721" s="360" t="s">
        <v>792</v>
      </c>
      <c r="AW721" s="360" t="s">
        <v>793</v>
      </c>
      <c r="AX721" s="360" t="s">
        <v>794</v>
      </c>
      <c r="AY721" s="360" t="s">
        <v>795</v>
      </c>
      <c r="AZ721" s="360" t="s">
        <v>796</v>
      </c>
      <c r="BA721" s="360" t="s">
        <v>797</v>
      </c>
      <c r="BB721" s="360" t="s">
        <v>798</v>
      </c>
      <c r="BC721" s="360" t="s">
        <v>799</v>
      </c>
      <c r="BD721" s="360" t="s">
        <v>800</v>
      </c>
      <c r="BE721" s="360" t="s">
        <v>801</v>
      </c>
      <c r="BF721" s="360" t="s">
        <v>802</v>
      </c>
      <c r="BG721" s="360" t="s">
        <v>803</v>
      </c>
      <c r="BH721" s="360" t="s">
        <v>804</v>
      </c>
      <c r="BI721" s="360" t="s">
        <v>805</v>
      </c>
      <c r="BJ721" s="360" t="s">
        <v>806</v>
      </c>
      <c r="BK721" s="360" t="s">
        <v>807</v>
      </c>
      <c r="BL721" s="360" t="s">
        <v>808</v>
      </c>
      <c r="BM721" s="360" t="s">
        <v>809</v>
      </c>
      <c r="BN721" s="360" t="s">
        <v>810</v>
      </c>
      <c r="BO721" s="360" t="s">
        <v>811</v>
      </c>
      <c r="BP721" s="360" t="s">
        <v>812</v>
      </c>
      <c r="BQ721" s="360" t="s">
        <v>813</v>
      </c>
      <c r="BR721" s="360" t="s">
        <v>814</v>
      </c>
      <c r="BS721" s="360" t="s">
        <v>815</v>
      </c>
      <c r="BT721" s="360" t="s">
        <v>816</v>
      </c>
      <c r="BU721" s="360" t="s">
        <v>817</v>
      </c>
      <c r="BV721" s="360" t="s">
        <v>818</v>
      </c>
      <c r="BW721" s="360" t="s">
        <v>819</v>
      </c>
      <c r="BX721" s="360" t="s">
        <v>820</v>
      </c>
      <c r="BY721" s="360" t="s">
        <v>821</v>
      </c>
      <c r="BZ721" s="360" t="s">
        <v>822</v>
      </c>
      <c r="CA721" s="360" t="s">
        <v>823</v>
      </c>
      <c r="CB721" s="360" t="s">
        <v>824</v>
      </c>
      <c r="CC721" s="360" t="s">
        <v>825</v>
      </c>
      <c r="CD721" s="360" t="s">
        <v>1256</v>
      </c>
    </row>
    <row r="722" spans="1:84" s="358" customFormat="1" ht="12.65" customHeight="1">
      <c r="A722" s="361" t="str">
        <f>RIGHT(C83,3)&amp;"*"&amp;RIGHT(C82,4)&amp;"*"&amp;"A"</f>
        <v>197*2020*A</v>
      </c>
      <c r="B722" s="359">
        <f>ROUND(C165,0)</f>
        <v>2549495</v>
      </c>
      <c r="C722" s="359">
        <f>ROUND(C166,0)</f>
        <v>180400</v>
      </c>
      <c r="D722" s="359">
        <f>ROUND(C167,0)</f>
        <v>389751</v>
      </c>
      <c r="E722" s="359">
        <f>ROUND(C168,0)</f>
        <v>2996157</v>
      </c>
      <c r="F722" s="359">
        <f>ROUND(C169,0)</f>
        <v>-9648</v>
      </c>
      <c r="G722" s="359">
        <f>ROUND(C170,0)</f>
        <v>0</v>
      </c>
      <c r="H722" s="359">
        <f>ROUND(C171+C172,0)</f>
        <v>442605</v>
      </c>
      <c r="I722" s="359">
        <f>ROUND(C175,0)</f>
        <v>705922</v>
      </c>
      <c r="J722" s="359">
        <f>ROUND(C176,0)</f>
        <v>2481128</v>
      </c>
      <c r="K722" s="359">
        <f>ROUND(C179,0)</f>
        <v>587533</v>
      </c>
      <c r="L722" s="359">
        <f>ROUND(C180,0)</f>
        <v>92966</v>
      </c>
      <c r="M722" s="359">
        <f>ROUND(C183,0)</f>
        <v>0</v>
      </c>
      <c r="N722" s="359">
        <f>ROUND(C184,0)</f>
        <v>685198</v>
      </c>
      <c r="O722" s="359">
        <f>ROUND(C185,0)</f>
        <v>3841514</v>
      </c>
      <c r="P722" s="359">
        <f>ROUND(C188,0)</f>
        <v>0</v>
      </c>
      <c r="Q722" s="359">
        <f>ROUND(C189,0)</f>
        <v>9985577</v>
      </c>
      <c r="R722" s="359">
        <f>ROUND(B195,0)</f>
        <v>3160000</v>
      </c>
      <c r="S722" s="359">
        <f>ROUND(C195,0)</f>
        <v>0</v>
      </c>
      <c r="T722" s="359">
        <f>ROUND(D195,0)</f>
        <v>0</v>
      </c>
      <c r="U722" s="359">
        <f>ROUND(B196,0)</f>
        <v>710000</v>
      </c>
      <c r="V722" s="359">
        <f>ROUND(C196,0)</f>
        <v>0</v>
      </c>
      <c r="W722" s="359">
        <f>ROUND(D196,0)</f>
        <v>0</v>
      </c>
      <c r="X722" s="359">
        <f>ROUND(B197,0)</f>
        <v>38437221</v>
      </c>
      <c r="Y722" s="359">
        <f>ROUND(C197,0)</f>
        <v>0</v>
      </c>
      <c r="Z722" s="359">
        <f>ROUND(D197,0)</f>
        <v>0</v>
      </c>
      <c r="AA722" s="359">
        <f>ROUND(B198,0)</f>
        <v>0</v>
      </c>
      <c r="AB722" s="359">
        <f>ROUND(C198,0)</f>
        <v>0</v>
      </c>
      <c r="AC722" s="359">
        <f>ROUND(D198,0)</f>
        <v>0</v>
      </c>
      <c r="AD722" s="359">
        <f>ROUND(B199,0)</f>
        <v>21106338</v>
      </c>
      <c r="AE722" s="359">
        <f>ROUND(C199,0)</f>
        <v>198687</v>
      </c>
      <c r="AF722" s="359">
        <f>ROUND(D199,0)</f>
        <v>0</v>
      </c>
      <c r="AG722" s="359">
        <f>ROUND(B200,0)</f>
        <v>13488264</v>
      </c>
      <c r="AH722" s="359">
        <f>ROUND(C200,0)</f>
        <v>999268</v>
      </c>
      <c r="AI722" s="359">
        <f>ROUND(D200,0)</f>
        <v>0</v>
      </c>
      <c r="AJ722" s="359">
        <f>ROUND(B201,0)</f>
        <v>7501032</v>
      </c>
      <c r="AK722" s="359">
        <f>ROUND(C201,0)</f>
        <v>232683</v>
      </c>
      <c r="AL722" s="359">
        <f>ROUND(D201,0)</f>
        <v>0</v>
      </c>
      <c r="AM722" s="359">
        <f>ROUND(B202,0)</f>
        <v>4521546</v>
      </c>
      <c r="AN722" s="359">
        <f>ROUND(C202,0)</f>
        <v>0</v>
      </c>
      <c r="AO722" s="359">
        <f>ROUND(D202,0)</f>
        <v>0</v>
      </c>
      <c r="AP722" s="359">
        <f>ROUND(B203,0)</f>
        <v>716299</v>
      </c>
      <c r="AQ722" s="359">
        <f>ROUND(C203,0)</f>
        <v>-224321</v>
      </c>
      <c r="AR722" s="359">
        <f>ROUND(D203,0)</f>
        <v>0</v>
      </c>
      <c r="AS722" s="359"/>
      <c r="AT722" s="359"/>
      <c r="AU722" s="359"/>
      <c r="AV722" s="359">
        <f>ROUND(B209,0)</f>
        <v>325416</v>
      </c>
      <c r="AW722" s="359">
        <f>ROUND(C209,0)</f>
        <v>88750</v>
      </c>
      <c r="AX722" s="359">
        <f>ROUND(D209,0)</f>
        <v>0</v>
      </c>
      <c r="AY722" s="359">
        <f>ROUND(B210,0)</f>
        <v>5982709</v>
      </c>
      <c r="AZ722" s="359">
        <f>ROUND(C210,0)</f>
        <v>1736481</v>
      </c>
      <c r="BA722" s="359">
        <f>ROUND(D210,0)</f>
        <v>0</v>
      </c>
      <c r="BB722" s="359">
        <f>ROUND(B211,0)</f>
        <v>0</v>
      </c>
      <c r="BC722" s="359">
        <f>ROUND(C211,0)</f>
        <v>0</v>
      </c>
      <c r="BD722" s="359">
        <f>ROUND(D211,0)</f>
        <v>0</v>
      </c>
      <c r="BE722" s="359">
        <f>ROUND(B212,0)</f>
        <v>2492505</v>
      </c>
      <c r="BF722" s="359">
        <f>ROUND(C212,0)</f>
        <v>1047286</v>
      </c>
      <c r="BG722" s="359">
        <f>ROUND(D212,0)</f>
        <v>0</v>
      </c>
      <c r="BH722" s="359">
        <f>ROUND(B213,0)</f>
        <v>5953969</v>
      </c>
      <c r="BI722" s="359">
        <f>ROUND(C213,0)</f>
        <v>1809974</v>
      </c>
      <c r="BJ722" s="359">
        <f>ROUND(D213,0)</f>
        <v>0</v>
      </c>
      <c r="BK722" s="359">
        <f>ROUND(B214,0)</f>
        <v>2240201</v>
      </c>
      <c r="BL722" s="359">
        <f>ROUND(C214,0)</f>
        <v>890133</v>
      </c>
      <c r="BM722" s="359">
        <f>ROUND(D214,0)</f>
        <v>0</v>
      </c>
      <c r="BN722" s="359">
        <f>ROUND(B215,0)</f>
        <v>1238528</v>
      </c>
      <c r="BO722" s="359">
        <f>ROUND(C215,0)</f>
        <v>314554</v>
      </c>
      <c r="BP722" s="359">
        <f>ROUND(D215,0)</f>
        <v>0</v>
      </c>
      <c r="BQ722" s="359">
        <f>ROUND(B216,0)</f>
        <v>0</v>
      </c>
      <c r="BR722" s="359">
        <f>ROUND(C216,0)</f>
        <v>0</v>
      </c>
      <c r="BS722" s="359">
        <f>ROUND(D216,0)</f>
        <v>0</v>
      </c>
      <c r="BT722" s="359">
        <f>ROUND(C223,0)</f>
        <v>156904983</v>
      </c>
      <c r="BU722" s="359">
        <f>ROUND(C224,0)</f>
        <v>3855869</v>
      </c>
      <c r="BV722" s="359">
        <f>ROUND(C225,0)</f>
        <v>4771352</v>
      </c>
      <c r="BW722" s="359">
        <f>ROUND(C226,0)</f>
        <v>14519254</v>
      </c>
      <c r="BX722" s="359">
        <f>ROUND(C227,0)</f>
        <v>0</v>
      </c>
      <c r="BY722" s="359">
        <f>ROUND(C228,0)</f>
        <v>248858146</v>
      </c>
      <c r="BZ722" s="359">
        <f>ROUND(C231,0)</f>
        <v>0</v>
      </c>
      <c r="CA722" s="359">
        <f>ROUND(C233,0)</f>
        <v>1516817</v>
      </c>
      <c r="CB722" s="359">
        <f>ROUND(C234,0)</f>
        <v>2428432</v>
      </c>
      <c r="CC722" s="359">
        <f>ROUND(C238+C239,0)</f>
        <v>0</v>
      </c>
      <c r="CD722" s="359">
        <f>D221</f>
        <v>3177120</v>
      </c>
      <c r="CE722" s="359"/>
    </row>
    <row r="723" spans="1:84" ht="12.65" customHeight="1">
      <c r="B723" s="362"/>
      <c r="C723" s="362"/>
      <c r="D723" s="362"/>
      <c r="E723" s="362"/>
      <c r="F723" s="362"/>
      <c r="G723" s="362"/>
      <c r="H723" s="362"/>
      <c r="I723" s="362"/>
      <c r="J723" s="362"/>
      <c r="K723" s="362"/>
      <c r="L723" s="362"/>
      <c r="M723" s="362"/>
      <c r="N723" s="362"/>
      <c r="O723" s="362"/>
      <c r="P723" s="362"/>
      <c r="Q723" s="362"/>
      <c r="R723" s="362"/>
      <c r="S723" s="362"/>
      <c r="T723" s="362"/>
      <c r="U723" s="362"/>
      <c r="V723" s="362"/>
      <c r="W723" s="362"/>
      <c r="X723" s="362"/>
      <c r="Y723" s="362"/>
      <c r="Z723" s="362"/>
      <c r="AA723" s="362"/>
      <c r="AB723" s="362"/>
      <c r="AC723" s="362"/>
      <c r="AD723" s="362"/>
      <c r="AE723" s="362"/>
      <c r="AF723" s="362"/>
      <c r="AG723" s="362"/>
      <c r="AH723" s="362"/>
      <c r="AI723" s="362"/>
      <c r="AJ723" s="362"/>
      <c r="AK723" s="362"/>
      <c r="AL723" s="362"/>
      <c r="AM723" s="362"/>
      <c r="AN723" s="362"/>
      <c r="AO723" s="362"/>
      <c r="AP723" s="362"/>
      <c r="AQ723" s="362"/>
      <c r="AR723" s="362"/>
      <c r="AS723" s="362"/>
      <c r="AT723" s="362"/>
      <c r="AU723" s="362"/>
      <c r="AV723" s="362"/>
      <c r="AW723" s="362"/>
      <c r="AX723" s="362"/>
      <c r="AY723" s="362"/>
      <c r="AZ723" s="362"/>
      <c r="BA723" s="362"/>
      <c r="BB723" s="362"/>
      <c r="BC723" s="362"/>
      <c r="BD723" s="362"/>
      <c r="BE723" s="362"/>
      <c r="BF723" s="362"/>
      <c r="BG723" s="362"/>
      <c r="BH723" s="362"/>
      <c r="BI723" s="362"/>
      <c r="BJ723" s="362"/>
      <c r="BK723" s="362"/>
      <c r="BL723" s="362"/>
      <c r="BM723" s="362"/>
      <c r="BN723" s="362"/>
      <c r="BO723" s="362"/>
      <c r="BP723" s="362"/>
      <c r="BQ723" s="362"/>
      <c r="BR723" s="362"/>
      <c r="BS723" s="362"/>
      <c r="BT723" s="362"/>
      <c r="BU723" s="362"/>
      <c r="BV723" s="362"/>
      <c r="BW723" s="362"/>
      <c r="BX723" s="362"/>
      <c r="BY723" s="362"/>
      <c r="BZ723" s="362"/>
      <c r="CA723" s="362"/>
      <c r="CB723" s="362"/>
      <c r="CC723" s="362"/>
      <c r="CD723" s="362"/>
      <c r="CE723" s="362"/>
    </row>
    <row r="724" spans="1:84" s="358" customFormat="1" ht="12.65" customHeight="1">
      <c r="A724" s="358" t="s">
        <v>148</v>
      </c>
      <c r="B724" s="359"/>
      <c r="C724" s="359"/>
      <c r="D724" s="359"/>
      <c r="E724" s="359"/>
      <c r="F724" s="359"/>
      <c r="G724" s="359"/>
      <c r="H724" s="359"/>
      <c r="I724" s="359"/>
      <c r="J724" s="359"/>
      <c r="K724" s="359"/>
      <c r="L724" s="359"/>
      <c r="M724" s="359"/>
      <c r="N724" s="359"/>
      <c r="O724" s="359"/>
      <c r="P724" s="359"/>
      <c r="Q724" s="359"/>
      <c r="R724" s="359"/>
      <c r="S724" s="359"/>
      <c r="T724" s="359"/>
      <c r="U724" s="359"/>
      <c r="V724" s="359"/>
      <c r="W724" s="359"/>
      <c r="X724" s="359"/>
      <c r="Y724" s="359"/>
      <c r="Z724" s="359"/>
      <c r="AA724" s="359"/>
      <c r="AB724" s="359"/>
      <c r="AC724" s="359"/>
      <c r="AD724" s="359"/>
      <c r="AE724" s="359"/>
      <c r="AF724" s="359"/>
      <c r="AG724" s="359"/>
      <c r="AH724" s="359"/>
      <c r="AI724" s="359"/>
      <c r="AJ724" s="359"/>
      <c r="AK724" s="359"/>
      <c r="AL724" s="359"/>
      <c r="AM724" s="359"/>
      <c r="AN724" s="359"/>
      <c r="AO724" s="359"/>
      <c r="AP724" s="359"/>
      <c r="AQ724" s="359"/>
      <c r="AR724" s="359"/>
      <c r="AS724" s="359"/>
      <c r="AT724" s="359"/>
      <c r="AU724" s="359"/>
      <c r="AV724" s="359"/>
      <c r="AW724" s="359"/>
      <c r="AX724" s="359"/>
      <c r="AY724" s="359"/>
      <c r="AZ724" s="359"/>
      <c r="BA724" s="359"/>
      <c r="BB724" s="359"/>
      <c r="BC724" s="359"/>
      <c r="BD724" s="359"/>
      <c r="BE724" s="359"/>
      <c r="BF724" s="359"/>
      <c r="BG724" s="359"/>
      <c r="BH724" s="359"/>
      <c r="BI724" s="359"/>
      <c r="BJ724" s="359"/>
      <c r="BK724" s="359"/>
      <c r="BL724" s="359"/>
      <c r="BM724" s="359"/>
      <c r="BN724" s="359"/>
      <c r="BO724" s="359"/>
      <c r="BP724" s="359"/>
      <c r="BQ724" s="359"/>
      <c r="BR724" s="359"/>
      <c r="BS724" s="359"/>
      <c r="BT724" s="359"/>
      <c r="BU724" s="359"/>
      <c r="BV724" s="359"/>
      <c r="BW724" s="359"/>
      <c r="BX724" s="359"/>
      <c r="BY724" s="359"/>
      <c r="BZ724" s="359"/>
      <c r="CA724" s="359"/>
      <c r="CB724" s="359"/>
      <c r="CC724" s="359"/>
      <c r="CD724" s="359"/>
      <c r="CE724" s="359"/>
    </row>
    <row r="725" spans="1:84" s="360" customFormat="1" ht="12.65" customHeight="1">
      <c r="A725" s="360" t="s">
        <v>745</v>
      </c>
      <c r="B725" s="360" t="s">
        <v>826</v>
      </c>
      <c r="C725" s="360" t="s">
        <v>827</v>
      </c>
      <c r="D725" s="360" t="s">
        <v>828</v>
      </c>
      <c r="E725" s="360" t="s">
        <v>829</v>
      </c>
      <c r="F725" s="360" t="s">
        <v>830</v>
      </c>
      <c r="G725" s="360" t="s">
        <v>831</v>
      </c>
      <c r="H725" s="360" t="s">
        <v>832</v>
      </c>
      <c r="I725" s="360" t="s">
        <v>833</v>
      </c>
      <c r="J725" s="360" t="s">
        <v>834</v>
      </c>
      <c r="K725" s="360" t="s">
        <v>835</v>
      </c>
      <c r="L725" s="360" t="s">
        <v>836</v>
      </c>
      <c r="M725" s="360" t="s">
        <v>837</v>
      </c>
      <c r="N725" s="360" t="s">
        <v>838</v>
      </c>
      <c r="O725" s="360" t="s">
        <v>839</v>
      </c>
      <c r="P725" s="360" t="s">
        <v>840</v>
      </c>
      <c r="Q725" s="360" t="s">
        <v>841</v>
      </c>
      <c r="R725" s="360" t="s">
        <v>842</v>
      </c>
      <c r="S725" s="360" t="s">
        <v>843</v>
      </c>
      <c r="T725" s="360" t="s">
        <v>844</v>
      </c>
      <c r="U725" s="360" t="s">
        <v>845</v>
      </c>
      <c r="V725" s="360" t="s">
        <v>846</v>
      </c>
      <c r="W725" s="360" t="s">
        <v>847</v>
      </c>
      <c r="X725" s="360" t="s">
        <v>848</v>
      </c>
      <c r="Y725" s="360" t="s">
        <v>849</v>
      </c>
      <c r="Z725" s="360" t="s">
        <v>850</v>
      </c>
      <c r="AA725" s="360" t="s">
        <v>851</v>
      </c>
      <c r="AB725" s="360" t="s">
        <v>852</v>
      </c>
      <c r="AC725" s="360" t="s">
        <v>853</v>
      </c>
      <c r="AD725" s="360" t="s">
        <v>854</v>
      </c>
      <c r="AE725" s="360" t="s">
        <v>855</v>
      </c>
      <c r="AF725" s="360" t="s">
        <v>856</v>
      </c>
      <c r="AG725" s="360" t="s">
        <v>857</v>
      </c>
      <c r="AH725" s="360" t="s">
        <v>858</v>
      </c>
      <c r="AI725" s="360" t="s">
        <v>859</v>
      </c>
      <c r="AJ725" s="360" t="s">
        <v>860</v>
      </c>
      <c r="AK725" s="360" t="s">
        <v>861</v>
      </c>
      <c r="AL725" s="360" t="s">
        <v>862</v>
      </c>
      <c r="AM725" s="360" t="s">
        <v>863</v>
      </c>
      <c r="AN725" s="360" t="s">
        <v>864</v>
      </c>
      <c r="AO725" s="360" t="s">
        <v>865</v>
      </c>
      <c r="AP725" s="360" t="s">
        <v>866</v>
      </c>
      <c r="AQ725" s="360" t="s">
        <v>867</v>
      </c>
      <c r="AR725" s="360" t="s">
        <v>868</v>
      </c>
      <c r="AS725" s="360" t="s">
        <v>869</v>
      </c>
      <c r="AT725" s="360" t="s">
        <v>870</v>
      </c>
      <c r="AU725" s="360" t="s">
        <v>871</v>
      </c>
      <c r="AV725" s="360" t="s">
        <v>872</v>
      </c>
      <c r="AW725" s="360" t="s">
        <v>873</v>
      </c>
      <c r="AX725" s="360" t="s">
        <v>874</v>
      </c>
      <c r="AY725" s="360" t="s">
        <v>875</v>
      </c>
      <c r="AZ725" s="360" t="s">
        <v>876</v>
      </c>
      <c r="BA725" s="360" t="s">
        <v>877</v>
      </c>
      <c r="BB725" s="360" t="s">
        <v>878</v>
      </c>
      <c r="BC725" s="360" t="s">
        <v>879</v>
      </c>
      <c r="BD725" s="360" t="s">
        <v>880</v>
      </c>
      <c r="BE725" s="360" t="s">
        <v>881</v>
      </c>
      <c r="BF725" s="360" t="s">
        <v>882</v>
      </c>
      <c r="BG725" s="360" t="s">
        <v>883</v>
      </c>
      <c r="BH725" s="360" t="s">
        <v>884</v>
      </c>
      <c r="BI725" s="360" t="s">
        <v>885</v>
      </c>
      <c r="BJ725" s="360" t="s">
        <v>886</v>
      </c>
      <c r="BK725" s="360" t="s">
        <v>887</v>
      </c>
      <c r="BL725" s="360" t="s">
        <v>888</v>
      </c>
      <c r="BM725" s="360" t="s">
        <v>889</v>
      </c>
      <c r="BN725" s="360" t="s">
        <v>890</v>
      </c>
      <c r="BO725" s="360" t="s">
        <v>891</v>
      </c>
      <c r="BP725" s="360" t="s">
        <v>892</v>
      </c>
      <c r="BQ725" s="360" t="s">
        <v>893</v>
      </c>
      <c r="BR725" s="360" t="s">
        <v>894</v>
      </c>
    </row>
    <row r="726" spans="1:84" s="358" customFormat="1" ht="12.65" customHeight="1">
      <c r="A726" s="361" t="str">
        <f>RIGHT(C83,3)&amp;"*"&amp;RIGHT(C82,4)&amp;"*"&amp;"A"</f>
        <v>197*2020*A</v>
      </c>
      <c r="B726" s="359">
        <f>ROUND(C111,0)</f>
        <v>3464</v>
      </c>
      <c r="C726" s="359">
        <f>ROUND(C112,0)</f>
        <v>0</v>
      </c>
      <c r="D726" s="359">
        <f>ROUND(C113,0)</f>
        <v>0</v>
      </c>
      <c r="E726" s="359">
        <f>ROUND(C114,0)</f>
        <v>647</v>
      </c>
      <c r="F726" s="359">
        <f>ROUND(D111,0)</f>
        <v>12201</v>
      </c>
      <c r="G726" s="359">
        <f>ROUND(D112,0)</f>
        <v>0</v>
      </c>
      <c r="H726" s="359">
        <f>ROUND(D113,0)</f>
        <v>0</v>
      </c>
      <c r="I726" s="359">
        <f>ROUND(D114,0)</f>
        <v>1010</v>
      </c>
      <c r="J726" s="359">
        <f>ROUND(C116,0)</f>
        <v>10</v>
      </c>
      <c r="K726" s="359">
        <f>ROUND(C117,0)</f>
        <v>22</v>
      </c>
      <c r="L726" s="359">
        <f>ROUND(C118,0)</f>
        <v>41</v>
      </c>
      <c r="M726" s="359">
        <f>ROUND(C119,0)</f>
        <v>0</v>
      </c>
      <c r="N726" s="359">
        <f>ROUND(C120,0)</f>
        <v>15</v>
      </c>
      <c r="O726" s="359">
        <f>ROUND(C121,0)</f>
        <v>0</v>
      </c>
      <c r="P726" s="359">
        <f>ROUND(C122,0)</f>
        <v>0</v>
      </c>
      <c r="Q726" s="359">
        <f>ROUND(C123,0)</f>
        <v>0</v>
      </c>
      <c r="R726" s="359">
        <f>ROUND(C124,0)</f>
        <v>0</v>
      </c>
      <c r="S726" s="359">
        <f>ROUND(C125,0)</f>
        <v>0</v>
      </c>
      <c r="T726" s="359"/>
      <c r="U726" s="359">
        <f>ROUND(C126,0)</f>
        <v>0</v>
      </c>
      <c r="V726" s="359">
        <f>ROUND(C128,0)</f>
        <v>107</v>
      </c>
      <c r="W726" s="359">
        <f>ROUND(C129,0)</f>
        <v>7</v>
      </c>
      <c r="X726" s="359">
        <f>ROUND(B138,0)</f>
        <v>1173</v>
      </c>
      <c r="Y726" s="359">
        <f>ROUND(B139,0)</f>
        <v>5003</v>
      </c>
      <c r="Z726" s="359">
        <f>ROUND(B140,0)</f>
        <v>20073</v>
      </c>
      <c r="AA726" s="359">
        <f>ROUND(B141,0)</f>
        <v>81850848</v>
      </c>
      <c r="AB726" s="359">
        <f>ROUND(B142,0)</f>
        <v>100321065</v>
      </c>
      <c r="AC726" s="359">
        <f>ROUND(C138,0)</f>
        <v>89</v>
      </c>
      <c r="AD726" s="359">
        <f>ROUND(C139,0)</f>
        <v>233</v>
      </c>
      <c r="AE726" s="359">
        <f>ROUND(C140,0)</f>
        <v>737</v>
      </c>
      <c r="AF726" s="359">
        <f>ROUND(C141,0)</f>
        <v>3666972</v>
      </c>
      <c r="AG726" s="359">
        <f>ROUND(C142,0)</f>
        <v>4065600</v>
      </c>
      <c r="AH726" s="359">
        <f>ROUND(D138,0)</f>
        <v>2202</v>
      </c>
      <c r="AI726" s="359">
        <f>ROUND(D139,0)</f>
        <v>6965</v>
      </c>
      <c r="AJ726" s="359">
        <f>ROUND(D140,0)</f>
        <v>41090</v>
      </c>
      <c r="AK726" s="359">
        <f>ROUND(D141,0)</f>
        <v>123884782</v>
      </c>
      <c r="AL726" s="359">
        <f>ROUND(D142,0)</f>
        <v>207397947</v>
      </c>
      <c r="AM726" s="359">
        <f>ROUND(B144,0)</f>
        <v>0</v>
      </c>
      <c r="AN726" s="359">
        <f>ROUND(B145,0)</f>
        <v>0</v>
      </c>
      <c r="AO726" s="359">
        <f>ROUND(B146,0)</f>
        <v>0</v>
      </c>
      <c r="AP726" s="359">
        <f>ROUND(B147,0)</f>
        <v>0</v>
      </c>
      <c r="AQ726" s="359">
        <f>ROUND(B148,0)</f>
        <v>0</v>
      </c>
      <c r="AR726" s="359">
        <f>ROUND(C144,0)</f>
        <v>0</v>
      </c>
      <c r="AS726" s="359">
        <f>ROUND(C145,0)</f>
        <v>0</v>
      </c>
      <c r="AT726" s="359">
        <f>ROUND(C146,0)</f>
        <v>0</v>
      </c>
      <c r="AU726" s="359">
        <f>ROUND(C147,0)</f>
        <v>0</v>
      </c>
      <c r="AV726" s="359">
        <f>ROUND(C148,0)</f>
        <v>0</v>
      </c>
      <c r="AW726" s="359">
        <f>ROUND(D144,0)</f>
        <v>0</v>
      </c>
      <c r="AX726" s="359">
        <f>ROUND(D145,0)</f>
        <v>0</v>
      </c>
      <c r="AY726" s="359">
        <f>ROUND(D146,0)</f>
        <v>0</v>
      </c>
      <c r="AZ726" s="359">
        <f>ROUND(D147,0)</f>
        <v>0</v>
      </c>
      <c r="BA726" s="359">
        <f>ROUND(D148,0)</f>
        <v>0</v>
      </c>
      <c r="BB726" s="359">
        <f>ROUND(B150,0)</f>
        <v>0</v>
      </c>
      <c r="BC726" s="359">
        <f>ROUND(B151,0)</f>
        <v>0</v>
      </c>
      <c r="BD726" s="359">
        <f>ROUND(B152,0)</f>
        <v>0</v>
      </c>
      <c r="BE726" s="359">
        <f>ROUND(B153,0)</f>
        <v>0</v>
      </c>
      <c r="BF726" s="359">
        <f>ROUND(B154,0)</f>
        <v>0</v>
      </c>
      <c r="BG726" s="359">
        <f>ROUND(C150,0)</f>
        <v>0</v>
      </c>
      <c r="BH726" s="359">
        <f>ROUND(C151,0)</f>
        <v>0</v>
      </c>
      <c r="BI726" s="359">
        <f>ROUND(C152,0)</f>
        <v>0</v>
      </c>
      <c r="BJ726" s="359">
        <f>ROUND(C153,0)</f>
        <v>0</v>
      </c>
      <c r="BK726" s="359">
        <f>ROUND(C154,0)</f>
        <v>0</v>
      </c>
      <c r="BL726" s="359">
        <f>ROUND(D150,0)</f>
        <v>0</v>
      </c>
      <c r="BM726" s="359">
        <f>ROUND(D151,0)</f>
        <v>0</v>
      </c>
      <c r="BN726" s="359">
        <f>ROUND(D152,0)</f>
        <v>0</v>
      </c>
      <c r="BO726" s="359">
        <f>ROUND(D153,0)</f>
        <v>0</v>
      </c>
      <c r="BP726" s="359">
        <f>ROUND(D154,0)</f>
        <v>0</v>
      </c>
      <c r="BQ726" s="359">
        <f>ROUND(B157,0)</f>
        <v>0</v>
      </c>
      <c r="BR726" s="359">
        <f>ROUND(C157,0)</f>
        <v>0</v>
      </c>
      <c r="BS726" s="359"/>
      <c r="BT726" s="359"/>
      <c r="BU726" s="359"/>
      <c r="BV726" s="359"/>
      <c r="BW726" s="359"/>
      <c r="BX726" s="359"/>
      <c r="BY726" s="359"/>
      <c r="BZ726" s="359"/>
      <c r="CA726" s="359"/>
      <c r="CB726" s="359"/>
      <c r="CC726" s="359"/>
      <c r="CD726" s="359"/>
      <c r="CE726" s="359"/>
    </row>
    <row r="727" spans="1:84" ht="12.65" customHeight="1">
      <c r="B727" s="362"/>
      <c r="C727" s="362"/>
      <c r="D727" s="362"/>
      <c r="E727" s="362"/>
      <c r="F727" s="362"/>
      <c r="G727" s="362"/>
      <c r="H727" s="362"/>
      <c r="I727" s="362"/>
      <c r="J727" s="362"/>
      <c r="K727" s="362"/>
      <c r="L727" s="362"/>
      <c r="M727" s="362"/>
      <c r="N727" s="362"/>
      <c r="O727" s="362"/>
      <c r="P727" s="362"/>
      <c r="Q727" s="362"/>
      <c r="R727" s="362"/>
      <c r="S727" s="362"/>
      <c r="T727" s="362"/>
      <c r="U727" s="362"/>
      <c r="V727" s="362"/>
      <c r="W727" s="362"/>
      <c r="X727" s="362"/>
      <c r="Y727" s="362"/>
      <c r="Z727" s="362"/>
      <c r="AA727" s="362"/>
      <c r="AB727" s="362"/>
      <c r="AC727" s="362"/>
      <c r="AD727" s="362"/>
      <c r="AE727" s="362"/>
      <c r="AF727" s="362"/>
      <c r="AG727" s="362"/>
      <c r="AH727" s="362"/>
      <c r="AI727" s="362"/>
      <c r="AJ727" s="362"/>
      <c r="AK727" s="362"/>
      <c r="AL727" s="362"/>
      <c r="AM727" s="362"/>
      <c r="AN727" s="362"/>
      <c r="AO727" s="362"/>
      <c r="AP727" s="362"/>
      <c r="AQ727" s="362"/>
      <c r="AR727" s="362"/>
      <c r="AS727" s="362"/>
      <c r="AT727" s="362"/>
      <c r="AU727" s="362"/>
      <c r="AV727" s="362"/>
      <c r="AW727" s="362"/>
      <c r="AX727" s="362"/>
      <c r="AY727" s="362"/>
      <c r="AZ727" s="362"/>
      <c r="BA727" s="362"/>
      <c r="BB727" s="362"/>
      <c r="BC727" s="362"/>
      <c r="BD727" s="362"/>
      <c r="BE727" s="362"/>
      <c r="BF727" s="362"/>
      <c r="BG727" s="362"/>
      <c r="BH727" s="362"/>
      <c r="BI727" s="362"/>
      <c r="BJ727" s="362"/>
      <c r="BK727" s="362"/>
      <c r="BL727" s="362"/>
      <c r="BM727" s="362"/>
      <c r="BN727" s="362"/>
      <c r="BO727" s="362"/>
      <c r="BP727" s="362"/>
      <c r="BQ727" s="362"/>
      <c r="BR727" s="362"/>
      <c r="BS727" s="362"/>
      <c r="BT727" s="362"/>
      <c r="BU727" s="362"/>
      <c r="BV727" s="362"/>
      <c r="BW727" s="362"/>
      <c r="BX727" s="362"/>
      <c r="BY727" s="362"/>
      <c r="BZ727" s="362"/>
      <c r="CA727" s="362"/>
      <c r="CB727" s="362"/>
      <c r="CC727" s="362"/>
      <c r="CD727" s="362"/>
      <c r="CE727" s="362"/>
    </row>
    <row r="728" spans="1:84" s="358" customFormat="1" ht="12.65" customHeight="1">
      <c r="A728" s="358" t="s">
        <v>895</v>
      </c>
      <c r="B728" s="359"/>
      <c r="C728" s="359"/>
      <c r="D728" s="359"/>
      <c r="E728" s="359"/>
      <c r="F728" s="359"/>
      <c r="G728" s="359"/>
      <c r="H728" s="359"/>
      <c r="I728" s="359"/>
      <c r="J728" s="359"/>
      <c r="K728" s="359"/>
      <c r="L728" s="359"/>
      <c r="M728" s="359"/>
      <c r="N728" s="359"/>
      <c r="O728" s="359"/>
      <c r="P728" s="359"/>
      <c r="Q728" s="359"/>
      <c r="R728" s="359"/>
      <c r="S728" s="359"/>
      <c r="T728" s="359"/>
      <c r="U728" s="359"/>
      <c r="V728" s="359"/>
      <c r="W728" s="359"/>
      <c r="X728" s="359"/>
      <c r="Y728" s="359"/>
      <c r="Z728" s="359"/>
      <c r="AA728" s="359"/>
      <c r="AB728" s="359"/>
      <c r="AC728" s="359"/>
      <c r="AD728" s="359"/>
      <c r="AE728" s="359"/>
      <c r="AF728" s="359"/>
      <c r="AG728" s="359"/>
      <c r="AH728" s="359"/>
      <c r="AI728" s="359"/>
      <c r="AJ728" s="359"/>
      <c r="AK728" s="359"/>
      <c r="AL728" s="359"/>
      <c r="AM728" s="359"/>
      <c r="AN728" s="359"/>
      <c r="AO728" s="359"/>
      <c r="AP728" s="359"/>
      <c r="AQ728" s="359"/>
      <c r="AR728" s="359"/>
      <c r="AS728" s="359"/>
      <c r="AT728" s="359"/>
      <c r="AU728" s="359"/>
      <c r="AV728" s="359"/>
      <c r="AW728" s="359"/>
      <c r="AX728" s="359"/>
      <c r="AY728" s="359"/>
      <c r="AZ728" s="359"/>
      <c r="BA728" s="359"/>
      <c r="BB728" s="359"/>
      <c r="BC728" s="359"/>
      <c r="BD728" s="359"/>
      <c r="BE728" s="359"/>
      <c r="BF728" s="359"/>
      <c r="BG728" s="359"/>
      <c r="BH728" s="359"/>
      <c r="BI728" s="359"/>
      <c r="BJ728" s="359"/>
      <c r="BK728" s="359"/>
      <c r="BL728" s="359"/>
      <c r="BM728" s="359"/>
      <c r="BN728" s="359"/>
      <c r="BO728" s="359"/>
      <c r="BP728" s="359"/>
      <c r="BQ728" s="359"/>
      <c r="BR728" s="359"/>
      <c r="BS728" s="359"/>
      <c r="BT728" s="359"/>
      <c r="BU728" s="359"/>
      <c r="BV728" s="359"/>
      <c r="BW728" s="359"/>
      <c r="BX728" s="359"/>
      <c r="BY728" s="359"/>
      <c r="BZ728" s="359"/>
      <c r="CA728" s="359"/>
      <c r="CB728" s="359"/>
      <c r="CC728" s="359"/>
      <c r="CD728" s="359"/>
      <c r="CE728" s="359"/>
    </row>
    <row r="729" spans="1:84" s="360" customFormat="1" ht="12.65" customHeight="1">
      <c r="A729" s="360" t="s">
        <v>745</v>
      </c>
      <c r="B729" s="360" t="s">
        <v>896</v>
      </c>
      <c r="C729" s="360" t="s">
        <v>897</v>
      </c>
      <c r="D729" s="360" t="s">
        <v>898</v>
      </c>
      <c r="E729" s="360" t="s">
        <v>899</v>
      </c>
      <c r="F729" s="360" t="s">
        <v>900</v>
      </c>
      <c r="G729" s="360" t="s">
        <v>901</v>
      </c>
      <c r="H729" s="360" t="s">
        <v>902</v>
      </c>
      <c r="I729" s="360" t="s">
        <v>903</v>
      </c>
      <c r="J729" s="360" t="s">
        <v>904</v>
      </c>
      <c r="K729" s="360" t="s">
        <v>905</v>
      </c>
      <c r="L729" s="360" t="s">
        <v>906</v>
      </c>
      <c r="M729" s="360" t="s">
        <v>907</v>
      </c>
      <c r="N729" s="360" t="s">
        <v>908</v>
      </c>
      <c r="O729" s="360" t="s">
        <v>909</v>
      </c>
      <c r="P729" s="360" t="s">
        <v>910</v>
      </c>
      <c r="Q729" s="360" t="s">
        <v>911</v>
      </c>
      <c r="R729" s="360" t="s">
        <v>912</v>
      </c>
      <c r="S729" s="360" t="s">
        <v>913</v>
      </c>
      <c r="T729" s="360" t="s">
        <v>914</v>
      </c>
      <c r="U729" s="360" t="s">
        <v>915</v>
      </c>
      <c r="V729" s="360" t="s">
        <v>916</v>
      </c>
      <c r="W729" s="360" t="s">
        <v>917</v>
      </c>
      <c r="X729" s="360" t="s">
        <v>918</v>
      </c>
      <c r="Y729" s="360" t="s">
        <v>919</v>
      </c>
      <c r="Z729" s="360" t="s">
        <v>920</v>
      </c>
      <c r="AA729" s="360" t="s">
        <v>921</v>
      </c>
      <c r="AB729" s="360" t="s">
        <v>922</v>
      </c>
      <c r="AC729" s="360" t="s">
        <v>923</v>
      </c>
      <c r="AD729" s="360" t="s">
        <v>924</v>
      </c>
      <c r="AE729" s="360" t="s">
        <v>925</v>
      </c>
      <c r="AF729" s="360" t="s">
        <v>926</v>
      </c>
      <c r="AG729" s="360" t="s">
        <v>927</v>
      </c>
      <c r="AH729" s="360" t="s">
        <v>928</v>
      </c>
      <c r="AI729" s="360" t="s">
        <v>929</v>
      </c>
      <c r="AJ729" s="360" t="s">
        <v>930</v>
      </c>
      <c r="AK729" s="360" t="s">
        <v>931</v>
      </c>
      <c r="AL729" s="360" t="s">
        <v>932</v>
      </c>
      <c r="AM729" s="360" t="s">
        <v>933</v>
      </c>
      <c r="AN729" s="360" t="s">
        <v>934</v>
      </c>
      <c r="AO729" s="360" t="s">
        <v>935</v>
      </c>
      <c r="AP729" s="360" t="s">
        <v>936</v>
      </c>
      <c r="AQ729" s="360" t="s">
        <v>937</v>
      </c>
      <c r="AR729" s="360" t="s">
        <v>938</v>
      </c>
      <c r="AS729" s="360" t="s">
        <v>939</v>
      </c>
      <c r="AT729" s="360" t="s">
        <v>940</v>
      </c>
      <c r="AU729" s="360" t="s">
        <v>941</v>
      </c>
      <c r="AV729" s="360" t="s">
        <v>942</v>
      </c>
      <c r="AW729" s="360" t="s">
        <v>943</v>
      </c>
      <c r="AX729" s="360" t="s">
        <v>944</v>
      </c>
      <c r="AY729" s="360" t="s">
        <v>945</v>
      </c>
      <c r="AZ729" s="360" t="s">
        <v>946</v>
      </c>
      <c r="BA729" s="360" t="s">
        <v>947</v>
      </c>
      <c r="BB729" s="360" t="s">
        <v>948</v>
      </c>
      <c r="BC729" s="360" t="s">
        <v>949</v>
      </c>
      <c r="BD729" s="360" t="s">
        <v>950</v>
      </c>
      <c r="BE729" s="360" t="s">
        <v>951</v>
      </c>
      <c r="BF729" s="360" t="s">
        <v>952</v>
      </c>
      <c r="BG729" s="360" t="s">
        <v>953</v>
      </c>
      <c r="BH729" s="360" t="s">
        <v>954</v>
      </c>
      <c r="BI729" s="360" t="s">
        <v>955</v>
      </c>
      <c r="BJ729" s="360" t="s">
        <v>956</v>
      </c>
      <c r="BK729" s="360" t="s">
        <v>957</v>
      </c>
      <c r="BL729" s="360" t="s">
        <v>958</v>
      </c>
      <c r="BM729" s="360" t="s">
        <v>959</v>
      </c>
      <c r="BN729" s="360" t="s">
        <v>960</v>
      </c>
      <c r="BO729" s="360" t="s">
        <v>961</v>
      </c>
      <c r="BP729" s="360" t="s">
        <v>962</v>
      </c>
      <c r="BQ729" s="360" t="s">
        <v>963</v>
      </c>
      <c r="BR729" s="360" t="s">
        <v>964</v>
      </c>
      <c r="BS729" s="360" t="s">
        <v>965</v>
      </c>
      <c r="BT729" s="360" t="s">
        <v>966</v>
      </c>
      <c r="BU729" s="360" t="s">
        <v>967</v>
      </c>
      <c r="BV729" s="360" t="s">
        <v>968</v>
      </c>
      <c r="BW729" s="360" t="s">
        <v>969</v>
      </c>
      <c r="BX729" s="360" t="s">
        <v>970</v>
      </c>
      <c r="BY729" s="360" t="s">
        <v>971</v>
      </c>
      <c r="BZ729" s="360" t="s">
        <v>972</v>
      </c>
      <c r="CA729" s="360" t="s">
        <v>973</v>
      </c>
      <c r="CB729" s="360" t="s">
        <v>974</v>
      </c>
      <c r="CC729" s="360" t="s">
        <v>975</v>
      </c>
      <c r="CD729" s="360" t="s">
        <v>976</v>
      </c>
      <c r="CE729" s="360" t="s">
        <v>977</v>
      </c>
      <c r="CF729" s="360" t="s">
        <v>978</v>
      </c>
    </row>
    <row r="730" spans="1:84" s="358" customFormat="1" ht="12.65" customHeight="1">
      <c r="A730" s="361" t="str">
        <f>RIGHT(C83,3)&amp;"*"&amp;RIGHT(C82,4)&amp;"*"&amp;"A"</f>
        <v>197*2020*A</v>
      </c>
      <c r="B730" s="359">
        <f>ROUND(C250,0)</f>
        <v>-887603</v>
      </c>
      <c r="C730" s="359">
        <f>ROUND(C251,0)</f>
        <v>0</v>
      </c>
      <c r="D730" s="359">
        <f>ROUND(C252,0)</f>
        <v>17529900</v>
      </c>
      <c r="E730" s="359">
        <f>ROUND(C253,0)</f>
        <v>7172725</v>
      </c>
      <c r="F730" s="359">
        <f>ROUND(C254,0)</f>
        <v>0</v>
      </c>
      <c r="G730" s="359">
        <f>ROUND(C255,0)</f>
        <v>900763</v>
      </c>
      <c r="H730" s="359">
        <f>ROUND(C256,0)</f>
        <v>102062</v>
      </c>
      <c r="I730" s="359">
        <f>ROUND(C257,0)</f>
        <v>3763243</v>
      </c>
      <c r="J730" s="359">
        <f>ROUND(C258,0)</f>
        <v>941621</v>
      </c>
      <c r="K730" s="359">
        <f>ROUND(C259,0)</f>
        <v>0</v>
      </c>
      <c r="L730" s="359">
        <f>ROUND(C262,0)</f>
        <v>0</v>
      </c>
      <c r="M730" s="359">
        <f>ROUND(C263,0)</f>
        <v>0</v>
      </c>
      <c r="N730" s="359">
        <f>ROUND(C264,0)</f>
        <v>0</v>
      </c>
      <c r="O730" s="359">
        <f>ROUND(C267,0)</f>
        <v>3160000</v>
      </c>
      <c r="P730" s="359">
        <f>ROUND(C268,0)</f>
        <v>710000</v>
      </c>
      <c r="Q730" s="359">
        <f>ROUND(C269,0)</f>
        <v>44944891</v>
      </c>
      <c r="R730" s="359">
        <f>ROUND(C270,0)</f>
        <v>21305026</v>
      </c>
      <c r="S730" s="359">
        <f>ROUND(C271,0)</f>
        <v>0</v>
      </c>
      <c r="T730" s="359">
        <f>ROUND(C272,0)</f>
        <v>20235122</v>
      </c>
      <c r="U730" s="359">
        <f>ROUND(C273,0)</f>
        <v>0</v>
      </c>
      <c r="V730" s="359">
        <f>ROUND(C274,0)</f>
        <v>491978</v>
      </c>
      <c r="W730" s="359">
        <f>ROUND(C275,0)</f>
        <v>0</v>
      </c>
      <c r="X730" s="359">
        <f>ROUND(C276,0)</f>
        <v>24120505</v>
      </c>
      <c r="Y730" s="359">
        <f>ROUND(C279,0)</f>
        <v>0</v>
      </c>
      <c r="Z730" s="359">
        <f>ROUND(C280,0)</f>
        <v>0</v>
      </c>
      <c r="AA730" s="359">
        <f>ROUND(C281,0)</f>
        <v>448809</v>
      </c>
      <c r="AB730" s="359">
        <f>ROUND(C282,0)</f>
        <v>1871025</v>
      </c>
      <c r="AC730" s="359">
        <f>ROUND(C286,0)</f>
        <v>0</v>
      </c>
      <c r="AD730" s="359">
        <f>ROUND(C287,0)</f>
        <v>0</v>
      </c>
      <c r="AE730" s="359">
        <f>ROUND(C288,0)</f>
        <v>0</v>
      </c>
      <c r="AF730" s="359">
        <f>ROUND(C289,0)</f>
        <v>270898</v>
      </c>
      <c r="AG730" s="359">
        <f>ROUND(C304,0)</f>
        <v>0</v>
      </c>
      <c r="AH730" s="359">
        <f>ROUND(C305,0)</f>
        <v>4661498</v>
      </c>
      <c r="AI730" s="359">
        <f>ROUND(C306,0)</f>
        <v>3656642</v>
      </c>
      <c r="AJ730" s="359">
        <f>ROUND(C307,0)</f>
        <v>994289</v>
      </c>
      <c r="AK730" s="359">
        <f>ROUND(C308,0)</f>
        <v>0</v>
      </c>
      <c r="AL730" s="359">
        <f>ROUND(C309,0)</f>
        <v>0</v>
      </c>
      <c r="AM730" s="359">
        <f>ROUND(C310,0)</f>
        <v>0</v>
      </c>
      <c r="AN730" s="359">
        <f>ROUND(C311,0)</f>
        <v>0</v>
      </c>
      <c r="AO730" s="359">
        <f>ROUND(C312,0)</f>
        <v>19876907</v>
      </c>
      <c r="AP730" s="359">
        <f>ROUND(C313,0)</f>
        <v>0</v>
      </c>
      <c r="AQ730" s="359">
        <f>ROUND(C316,0)</f>
        <v>0</v>
      </c>
      <c r="AR730" s="359">
        <f>ROUND(C317,0)</f>
        <v>0</v>
      </c>
      <c r="AS730" s="359">
        <f>ROUND(C318,0)</f>
        <v>2118185</v>
      </c>
      <c r="AT730" s="359">
        <f>ROUND(C321,0)</f>
        <v>0</v>
      </c>
      <c r="AU730" s="359">
        <f>ROUND(C322,0)</f>
        <v>0</v>
      </c>
      <c r="AV730" s="359">
        <f>ROUND(C323,0)</f>
        <v>0</v>
      </c>
      <c r="AW730" s="359">
        <f>ROUND(C324,0)</f>
        <v>112469652</v>
      </c>
      <c r="AX730" s="359">
        <f>ROUND(C325,0)</f>
        <v>0</v>
      </c>
      <c r="AY730" s="359">
        <f>ROUND(C326,0)</f>
        <v>-52661580</v>
      </c>
      <c r="AZ730" s="359">
        <f>ROUND(C327,0)</f>
        <v>0</v>
      </c>
      <c r="BA730" s="359">
        <f>ROUND(C328,0)</f>
        <v>0</v>
      </c>
      <c r="BB730" s="359">
        <f>ROUND(C332,0)</f>
        <v>0</v>
      </c>
      <c r="BC730" s="359"/>
      <c r="BD730" s="359"/>
      <c r="BE730" s="359">
        <f>ROUND(C337,0)</f>
        <v>-6621087</v>
      </c>
      <c r="BF730" s="359">
        <f>ROUND(C336,0)</f>
        <v>0</v>
      </c>
      <c r="BG730" s="359"/>
      <c r="BH730" s="359"/>
      <c r="BI730" s="359">
        <f>ROUND(CE60,2)</f>
        <v>426.07</v>
      </c>
      <c r="BJ730" s="359">
        <f>ROUND(C359,0)</f>
        <v>209402602</v>
      </c>
      <c r="BK730" s="359">
        <f>ROUND(C360,0)</f>
        <v>311762778</v>
      </c>
      <c r="BL730" s="359">
        <f>ROUND(C364,0)</f>
        <v>426334652</v>
      </c>
      <c r="BM730" s="359">
        <f>ROUND(C365,0)</f>
        <v>6474623</v>
      </c>
      <c r="BN730" s="359">
        <f>ROUND(C366,0)</f>
        <v>45578</v>
      </c>
      <c r="BO730" s="359">
        <f>ROUND(C370,0)</f>
        <v>557924</v>
      </c>
      <c r="BP730" s="359">
        <f>ROUND(C371,0)</f>
        <v>0</v>
      </c>
      <c r="BQ730" s="359">
        <f>ROUND(C378,0)</f>
        <v>37106882</v>
      </c>
      <c r="BR730" s="359">
        <f>ROUND(C379,0)</f>
        <v>6548760</v>
      </c>
      <c r="BS730" s="359">
        <f>ROUND(C380,0)</f>
        <v>4805620</v>
      </c>
      <c r="BT730" s="359">
        <f>ROUND(C381,0)</f>
        <v>15014974</v>
      </c>
      <c r="BU730" s="359">
        <f>ROUND(C382,0)</f>
        <v>1157699</v>
      </c>
      <c r="BV730" s="359">
        <f>ROUND(C383,0)</f>
        <v>9602928</v>
      </c>
      <c r="BW730" s="359">
        <f>ROUND(C384,0)</f>
        <v>5898153</v>
      </c>
      <c r="BX730" s="359">
        <f>ROUND(C385,0)</f>
        <v>3187051</v>
      </c>
      <c r="BY730" s="359">
        <f>ROUND(C386,0)</f>
        <v>680499</v>
      </c>
      <c r="BZ730" s="359">
        <f>ROUND(C387,0)</f>
        <v>4526713</v>
      </c>
      <c r="CA730" s="359">
        <f>ROUND(C388,0)</f>
        <v>9985577</v>
      </c>
      <c r="CB730" s="359">
        <f>C363</f>
        <v>3177120</v>
      </c>
      <c r="CC730" s="359">
        <f>ROUND(C389,0)</f>
        <v>6282172</v>
      </c>
      <c r="CD730" s="359">
        <f>ROUND(C392,0)</f>
        <v>0</v>
      </c>
      <c r="CE730" s="359">
        <f>ROUND(C394,0)</f>
        <v>0</v>
      </c>
      <c r="CF730" s="358">
        <f>ROUND(C395,0)</f>
        <v>0</v>
      </c>
    </row>
    <row r="731" spans="1:84" ht="12.65" customHeight="1">
      <c r="B731" s="362"/>
      <c r="C731" s="362"/>
      <c r="D731" s="362"/>
      <c r="E731" s="362"/>
      <c r="F731" s="362"/>
      <c r="G731" s="362"/>
      <c r="H731" s="362"/>
      <c r="I731" s="362"/>
      <c r="J731" s="362"/>
      <c r="K731" s="362"/>
      <c r="L731" s="362"/>
      <c r="M731" s="362"/>
      <c r="N731" s="362"/>
      <c r="O731" s="362"/>
      <c r="P731" s="362"/>
      <c r="Q731" s="362"/>
      <c r="R731" s="362"/>
      <c r="S731" s="362"/>
      <c r="T731" s="362"/>
      <c r="U731" s="362"/>
      <c r="V731" s="362"/>
      <c r="W731" s="362"/>
      <c r="X731" s="362"/>
      <c r="Y731" s="362"/>
      <c r="Z731" s="362"/>
      <c r="AA731" s="362"/>
      <c r="AB731" s="362"/>
      <c r="AC731" s="362"/>
      <c r="AD731" s="362"/>
      <c r="AE731" s="362"/>
      <c r="AF731" s="362"/>
      <c r="AG731" s="362"/>
      <c r="AH731" s="362"/>
      <c r="AI731" s="362"/>
      <c r="AJ731" s="362"/>
      <c r="AK731" s="362"/>
      <c r="AL731" s="362"/>
      <c r="AM731" s="362"/>
      <c r="AN731" s="362"/>
      <c r="AO731" s="362"/>
      <c r="AP731" s="362"/>
      <c r="AQ731" s="362"/>
      <c r="AR731" s="362"/>
      <c r="AS731" s="362"/>
      <c r="AT731" s="362"/>
      <c r="AU731" s="362"/>
      <c r="AV731" s="362"/>
      <c r="AW731" s="362"/>
      <c r="AX731" s="362"/>
      <c r="AY731" s="362"/>
      <c r="AZ731" s="362"/>
      <c r="BA731" s="362"/>
      <c r="BB731" s="362"/>
      <c r="BC731" s="362"/>
      <c r="BD731" s="362"/>
      <c r="BE731" s="362"/>
      <c r="BF731" s="362"/>
      <c r="BG731" s="362"/>
      <c r="BH731" s="362"/>
      <c r="BI731" s="362"/>
      <c r="BJ731" s="362"/>
      <c r="BK731" s="362"/>
      <c r="BL731" s="362"/>
      <c r="BM731" s="362"/>
      <c r="BN731" s="362"/>
      <c r="BO731" s="362"/>
      <c r="BP731" s="362"/>
      <c r="BQ731" s="362"/>
      <c r="BR731" s="362"/>
      <c r="BS731" s="362"/>
      <c r="BT731" s="362"/>
      <c r="BU731" s="362"/>
      <c r="BV731" s="362"/>
      <c r="BW731" s="362"/>
      <c r="BX731" s="362"/>
      <c r="BY731" s="362"/>
      <c r="BZ731" s="362"/>
      <c r="CA731" s="362"/>
      <c r="CB731" s="362"/>
      <c r="CC731" s="362"/>
      <c r="CD731" s="362"/>
      <c r="CE731" s="362"/>
    </row>
    <row r="732" spans="1:84" s="358" customFormat="1" ht="12.65" customHeight="1">
      <c r="A732" s="358" t="s">
        <v>979</v>
      </c>
      <c r="B732" s="359"/>
      <c r="C732" s="359"/>
      <c r="D732" s="359"/>
      <c r="E732" s="359"/>
      <c r="F732" s="359"/>
      <c r="G732" s="359"/>
      <c r="H732" s="359"/>
      <c r="I732" s="359"/>
      <c r="J732" s="359"/>
      <c r="K732" s="359"/>
      <c r="L732" s="359"/>
      <c r="M732" s="359"/>
      <c r="N732" s="359"/>
      <c r="O732" s="359"/>
      <c r="P732" s="359"/>
      <c r="Q732" s="359"/>
      <c r="R732" s="359"/>
      <c r="S732" s="359"/>
      <c r="T732" s="359"/>
      <c r="U732" s="359"/>
      <c r="V732" s="359"/>
      <c r="W732" s="359"/>
      <c r="X732" s="359"/>
      <c r="Y732" s="359"/>
      <c r="Z732" s="359"/>
      <c r="AA732" s="359"/>
      <c r="AB732" s="359"/>
      <c r="AC732" s="359"/>
      <c r="AD732" s="359"/>
      <c r="AE732" s="359"/>
      <c r="AF732" s="359"/>
      <c r="AG732" s="359"/>
      <c r="AH732" s="359"/>
      <c r="AI732" s="359"/>
      <c r="AJ732" s="359"/>
      <c r="AK732" s="359"/>
      <c r="AL732" s="359"/>
      <c r="AM732" s="359"/>
      <c r="AN732" s="359"/>
      <c r="AO732" s="359"/>
      <c r="AP732" s="359"/>
      <c r="AQ732" s="359"/>
      <c r="AR732" s="359"/>
      <c r="AS732" s="359"/>
      <c r="AT732" s="359"/>
      <c r="AU732" s="359"/>
      <c r="AV732" s="359"/>
      <c r="AW732" s="359"/>
      <c r="AX732" s="359"/>
      <c r="AY732" s="359"/>
      <c r="AZ732" s="359"/>
      <c r="BA732" s="359"/>
      <c r="BB732" s="359"/>
      <c r="BC732" s="359"/>
      <c r="BD732" s="359"/>
      <c r="BE732" s="359"/>
      <c r="BF732" s="359"/>
      <c r="BG732" s="359"/>
      <c r="BH732" s="359"/>
      <c r="BI732" s="359"/>
      <c r="BJ732" s="359"/>
      <c r="BK732" s="359"/>
      <c r="BL732" s="359"/>
      <c r="BM732" s="359"/>
      <c r="BN732" s="359"/>
      <c r="BO732" s="359"/>
      <c r="BP732" s="359"/>
      <c r="BQ732" s="359"/>
      <c r="BR732" s="359"/>
      <c r="BS732" s="359"/>
      <c r="BT732" s="359"/>
      <c r="BU732" s="359"/>
      <c r="BV732" s="359"/>
      <c r="BW732" s="359"/>
      <c r="BX732" s="359"/>
      <c r="BY732" s="359"/>
      <c r="BZ732" s="359"/>
      <c r="CA732" s="359"/>
      <c r="CB732" s="359"/>
      <c r="CC732" s="359"/>
      <c r="CD732" s="359"/>
      <c r="CE732" s="359"/>
    </row>
    <row r="733" spans="1:84" s="360" customFormat="1" ht="12.65" customHeight="1">
      <c r="A733" s="360" t="s">
        <v>745</v>
      </c>
      <c r="B733" s="360" t="s">
        <v>980</v>
      </c>
      <c r="C733" s="360" t="s">
        <v>981</v>
      </c>
      <c r="D733" s="360" t="s">
        <v>982</v>
      </c>
      <c r="E733" s="360" t="s">
        <v>983</v>
      </c>
      <c r="F733" s="360" t="s">
        <v>984</v>
      </c>
      <c r="G733" s="360" t="s">
        <v>985</v>
      </c>
      <c r="H733" s="360" t="s">
        <v>986</v>
      </c>
      <c r="I733" s="360" t="s">
        <v>987</v>
      </c>
      <c r="J733" s="360" t="s">
        <v>988</v>
      </c>
      <c r="K733" s="360" t="s">
        <v>989</v>
      </c>
      <c r="L733" s="360" t="s">
        <v>990</v>
      </c>
      <c r="M733" s="360" t="s">
        <v>991</v>
      </c>
      <c r="N733" s="360" t="s">
        <v>992</v>
      </c>
      <c r="O733" s="360" t="s">
        <v>993</v>
      </c>
      <c r="P733" s="360" t="s">
        <v>994</v>
      </c>
      <c r="Q733" s="360" t="s">
        <v>995</v>
      </c>
      <c r="R733" s="360" t="s">
        <v>996</v>
      </c>
      <c r="S733" s="360" t="s">
        <v>997</v>
      </c>
      <c r="T733" s="360" t="s">
        <v>998</v>
      </c>
      <c r="U733" s="360" t="s">
        <v>999</v>
      </c>
      <c r="V733" s="360" t="s">
        <v>1000</v>
      </c>
      <c r="W733" s="360" t="s">
        <v>1001</v>
      </c>
      <c r="X733" s="360" t="s">
        <v>1002</v>
      </c>
      <c r="Y733" s="360" t="s">
        <v>1003</v>
      </c>
    </row>
    <row r="734" spans="1:84" s="358" customFormat="1" ht="12.65" customHeight="1">
      <c r="A734" s="361" t="str">
        <f>RIGHT($C$83,3)&amp;"*"&amp;RIGHT($C$82,4)&amp;"*"&amp;C$55&amp;"*"&amp;"A"</f>
        <v>197*2020*6010*A</v>
      </c>
      <c r="B734" s="359">
        <f>ROUND(C59,0)</f>
        <v>38191</v>
      </c>
      <c r="C734" s="359">
        <f>ROUND(C60,2)</f>
        <v>59.94</v>
      </c>
      <c r="D734" s="359">
        <f>ROUND(C61,0)</f>
        <v>5264737</v>
      </c>
      <c r="E734" s="359">
        <f>ROUND(C62,0)</f>
        <v>951046</v>
      </c>
      <c r="F734" s="359">
        <f>ROUND(C63,0)</f>
        <v>535170</v>
      </c>
      <c r="G734" s="359">
        <f>ROUND(C64,0)</f>
        <v>340286</v>
      </c>
      <c r="H734" s="359">
        <f>ROUND(C65,0)</f>
        <v>0</v>
      </c>
      <c r="I734" s="359">
        <f>ROUND(C66,0)</f>
        <v>35642</v>
      </c>
      <c r="J734" s="359">
        <f>ROUND(C67,0)</f>
        <v>319328</v>
      </c>
      <c r="K734" s="359">
        <f>ROUND(C68,0)</f>
        <v>68158</v>
      </c>
      <c r="L734" s="359">
        <f>ROUND(C69,0)</f>
        <v>197561</v>
      </c>
      <c r="M734" s="359">
        <f>ROUND(C70,0)</f>
        <v>0</v>
      </c>
      <c r="N734" s="359">
        <f>ROUND(C75,0)</f>
        <v>34286389</v>
      </c>
      <c r="O734" s="359">
        <f>ROUND(C73,0)</f>
        <v>32700503</v>
      </c>
      <c r="P734" s="359">
        <f>IF(C76&gt;0,ROUND(C76,0),0)</f>
        <v>8412</v>
      </c>
      <c r="Q734" s="359">
        <f>IF(C77&gt;0,ROUND(C77,0),0)</f>
        <v>18360</v>
      </c>
      <c r="R734" s="359">
        <f>IF(C78&gt;0,ROUND(C78,0),0)</f>
        <v>2144</v>
      </c>
      <c r="S734" s="359">
        <f>IF(C79&gt;0,ROUND(C79,0),0)</f>
        <v>65369</v>
      </c>
      <c r="T734" s="359">
        <f>IF(C80&gt;0,ROUND(C80,2),0)</f>
        <v>47.9</v>
      </c>
      <c r="U734" s="359"/>
      <c r="V734" s="359"/>
      <c r="W734" s="359"/>
      <c r="X734" s="359"/>
      <c r="Y734" s="359">
        <f>IF(M668&lt;&gt;0,ROUND(M668,0),0)</f>
        <v>5342471</v>
      </c>
      <c r="Z734" s="359"/>
      <c r="AA734" s="359"/>
      <c r="AB734" s="359"/>
      <c r="AC734" s="359"/>
      <c r="AD734" s="359"/>
      <c r="AE734" s="359"/>
      <c r="AF734" s="359"/>
      <c r="AG734" s="359"/>
      <c r="AH734" s="359"/>
      <c r="AI734" s="359"/>
      <c r="AJ734" s="359"/>
      <c r="AK734" s="359"/>
      <c r="AL734" s="359"/>
      <c r="AM734" s="359"/>
      <c r="AN734" s="359"/>
      <c r="AO734" s="359"/>
      <c r="AP734" s="359"/>
      <c r="AQ734" s="359"/>
      <c r="AR734" s="359"/>
      <c r="AS734" s="359"/>
      <c r="AT734" s="359"/>
      <c r="AU734" s="359"/>
      <c r="AV734" s="359"/>
      <c r="AW734" s="359"/>
      <c r="AX734" s="359"/>
      <c r="AY734" s="359"/>
      <c r="AZ734" s="359"/>
      <c r="BA734" s="359"/>
      <c r="BB734" s="359"/>
      <c r="BC734" s="359"/>
      <c r="BD734" s="359"/>
      <c r="BE734" s="359"/>
      <c r="BF734" s="359"/>
      <c r="BG734" s="359"/>
      <c r="BH734" s="359"/>
      <c r="BI734" s="359"/>
      <c r="BJ734" s="359"/>
      <c r="BK734" s="359"/>
      <c r="BL734" s="359"/>
      <c r="BM734" s="359"/>
      <c r="BN734" s="359"/>
      <c r="BO734" s="359"/>
      <c r="BP734" s="359"/>
      <c r="BQ734" s="359"/>
      <c r="BR734" s="359"/>
      <c r="BS734" s="359"/>
      <c r="BT734" s="359"/>
      <c r="BU734" s="359"/>
      <c r="BV734" s="359"/>
      <c r="BW734" s="359"/>
      <c r="BX734" s="359"/>
      <c r="BY734" s="359"/>
      <c r="BZ734" s="359"/>
      <c r="CA734" s="359"/>
      <c r="CB734" s="359"/>
      <c r="CC734" s="359"/>
      <c r="CD734" s="359"/>
      <c r="CE734" s="359"/>
    </row>
    <row r="735" spans="1:84" ht="12.65" customHeight="1">
      <c r="A735" s="363" t="str">
        <f>RIGHT($C$83,3)&amp;"*"&amp;RIGHT($C$82,4)&amp;"*"&amp;D$55&amp;"*"&amp;"A"</f>
        <v>197*2020*6030*A</v>
      </c>
      <c r="B735" s="359">
        <f>ROUND(D59,0)</f>
        <v>0</v>
      </c>
      <c r="C735" s="364">
        <f>ROUND(D60,2)</f>
        <v>0</v>
      </c>
      <c r="D735" s="359">
        <f>ROUND(D61,0)</f>
        <v>0</v>
      </c>
      <c r="E735" s="359">
        <f>ROUND(D62,0)</f>
        <v>0</v>
      </c>
      <c r="F735" s="359">
        <f>ROUND(D63,0)</f>
        <v>0</v>
      </c>
      <c r="G735" s="359">
        <f>ROUND(D64,0)</f>
        <v>0</v>
      </c>
      <c r="H735" s="359">
        <f>ROUND(D65,0)</f>
        <v>0</v>
      </c>
      <c r="I735" s="359">
        <f>ROUND(D66,0)</f>
        <v>0</v>
      </c>
      <c r="J735" s="359">
        <f>ROUND(D67,0)</f>
        <v>0</v>
      </c>
      <c r="K735" s="359">
        <f>ROUND(D68,0)</f>
        <v>0</v>
      </c>
      <c r="L735" s="359">
        <f>ROUND(D69,0)</f>
        <v>0</v>
      </c>
      <c r="M735" s="359">
        <f>ROUND(D70,0)</f>
        <v>0</v>
      </c>
      <c r="N735" s="359">
        <f>ROUND(D75,0)</f>
        <v>0</v>
      </c>
      <c r="O735" s="359">
        <f>ROUND(D73,0)</f>
        <v>0</v>
      </c>
      <c r="P735" s="359">
        <f>IF(D76&gt;0,ROUND(D76,0),0)</f>
        <v>0</v>
      </c>
      <c r="Q735" s="359">
        <f>IF(D77&gt;0,ROUND(D77,0),0)</f>
        <v>0</v>
      </c>
      <c r="R735" s="359">
        <f>IF(D78&gt;0,ROUND(D78,0),0)</f>
        <v>0</v>
      </c>
      <c r="S735" s="359">
        <f>IF(D79&gt;0,ROUND(D79,0),0)</f>
        <v>0</v>
      </c>
      <c r="T735" s="364">
        <f>IF(D80&gt;0,ROUND(D80,2),0)</f>
        <v>0</v>
      </c>
      <c r="U735" s="359"/>
      <c r="V735" s="362"/>
      <c r="W735" s="359"/>
      <c r="X735" s="359"/>
      <c r="Y735" s="359">
        <f t="shared" ref="Y735:Y779" si="21">IF(M669&lt;&gt;0,ROUND(M669,0),0)</f>
        <v>0</v>
      </c>
      <c r="Z735" s="362"/>
      <c r="AA735" s="362"/>
      <c r="AB735" s="362"/>
      <c r="AC735" s="362"/>
      <c r="AD735" s="362"/>
      <c r="AE735" s="362"/>
      <c r="AF735" s="362"/>
      <c r="AG735" s="362"/>
      <c r="AH735" s="362"/>
      <c r="AI735" s="362"/>
      <c r="AJ735" s="362"/>
      <c r="AK735" s="362"/>
      <c r="AL735" s="362"/>
      <c r="AM735" s="362"/>
      <c r="AN735" s="362"/>
      <c r="AO735" s="362"/>
      <c r="AP735" s="362"/>
      <c r="AQ735" s="362"/>
      <c r="AR735" s="362"/>
      <c r="AS735" s="362"/>
      <c r="AT735" s="362"/>
      <c r="AU735" s="362"/>
      <c r="AV735" s="362"/>
      <c r="AW735" s="362"/>
      <c r="AX735" s="362"/>
      <c r="AY735" s="362"/>
      <c r="AZ735" s="362"/>
      <c r="BA735" s="362"/>
      <c r="BB735" s="362"/>
      <c r="BC735" s="362"/>
      <c r="BD735" s="362"/>
      <c r="BE735" s="362"/>
      <c r="BF735" s="362"/>
      <c r="BG735" s="362"/>
      <c r="BH735" s="362"/>
      <c r="BI735" s="362"/>
      <c r="BJ735" s="362"/>
      <c r="BK735" s="362"/>
      <c r="BL735" s="362"/>
      <c r="BM735" s="362"/>
      <c r="BN735" s="362"/>
      <c r="BO735" s="362"/>
      <c r="BP735" s="362"/>
      <c r="BQ735" s="362"/>
      <c r="BR735" s="362"/>
      <c r="BS735" s="362"/>
      <c r="BT735" s="362"/>
      <c r="BU735" s="362"/>
      <c r="BV735" s="362"/>
      <c r="BW735" s="362"/>
      <c r="BX735" s="362"/>
      <c r="BY735" s="362"/>
      <c r="BZ735" s="362"/>
      <c r="CA735" s="362"/>
      <c r="CB735" s="362"/>
      <c r="CC735" s="362"/>
      <c r="CD735" s="362"/>
      <c r="CE735" s="362"/>
    </row>
    <row r="736" spans="1:84" ht="12.65" customHeight="1">
      <c r="A736" s="363" t="str">
        <f>RIGHT($C$83,3)&amp;"*"&amp;RIGHT($C$82,4)&amp;"*"&amp;E$55&amp;"*"&amp;"A"</f>
        <v>197*2020*6070*A</v>
      </c>
      <c r="B736" s="359">
        <f>ROUND(E59,0)</f>
        <v>5379</v>
      </c>
      <c r="C736" s="364">
        <f>ROUND(E60,2)</f>
        <v>33.56</v>
      </c>
      <c r="D736" s="359">
        <f>ROUND(E61,0)</f>
        <v>2878201</v>
      </c>
      <c r="E736" s="359">
        <f>ROUND(E62,0)</f>
        <v>520553</v>
      </c>
      <c r="F736" s="359">
        <f>ROUND(E63,0)</f>
        <v>0</v>
      </c>
      <c r="G736" s="359">
        <f>ROUND(E64,0)</f>
        <v>197712</v>
      </c>
      <c r="H736" s="359">
        <f>ROUND(E65,0)</f>
        <v>0</v>
      </c>
      <c r="I736" s="359">
        <f>ROUND(E66,0)</f>
        <v>6013</v>
      </c>
      <c r="J736" s="359">
        <f>ROUND(E67,0)</f>
        <v>453634</v>
      </c>
      <c r="K736" s="359">
        <f>ROUND(E68,0)</f>
        <v>55036</v>
      </c>
      <c r="L736" s="359">
        <f>ROUND(E69,0)</f>
        <v>54031</v>
      </c>
      <c r="M736" s="359">
        <f>ROUND(E70,0)</f>
        <v>0</v>
      </c>
      <c r="N736" s="359">
        <f>ROUND(E75,0)</f>
        <v>14305495</v>
      </c>
      <c r="O736" s="359">
        <f>ROUND(E73,0)</f>
        <v>12710831</v>
      </c>
      <c r="P736" s="359">
        <f>IF(E76&gt;0,ROUND(E76,0),0)</f>
        <v>11950</v>
      </c>
      <c r="Q736" s="359">
        <f>IF(E77&gt;0,ROUND(E77,0),0)</f>
        <v>14557</v>
      </c>
      <c r="R736" s="359">
        <f>IF(E78&gt;0,ROUND(E78,0),0)</f>
        <v>3046</v>
      </c>
      <c r="S736" s="359">
        <f>IF(E79&gt;0,ROUND(E79,0),0)</f>
        <v>120703</v>
      </c>
      <c r="T736" s="364">
        <f>IF(E80&gt;0,ROUND(E80,2),0)</f>
        <v>27.9</v>
      </c>
      <c r="U736" s="359"/>
      <c r="V736" s="362"/>
      <c r="W736" s="359"/>
      <c r="X736" s="359"/>
      <c r="Y736" s="359">
        <f t="shared" si="21"/>
        <v>4388536</v>
      </c>
      <c r="Z736" s="362"/>
      <c r="AA736" s="362"/>
      <c r="AB736" s="362"/>
      <c r="AC736" s="362"/>
      <c r="AD736" s="362"/>
      <c r="AE736" s="362"/>
      <c r="AF736" s="362"/>
      <c r="AG736" s="362"/>
      <c r="AH736" s="362"/>
      <c r="AI736" s="362"/>
      <c r="AJ736" s="362"/>
      <c r="AK736" s="362"/>
      <c r="AL736" s="362"/>
      <c r="AM736" s="362"/>
      <c r="AN736" s="362"/>
      <c r="AO736" s="362"/>
      <c r="AP736" s="362"/>
      <c r="AQ736" s="362"/>
      <c r="AR736" s="362"/>
      <c r="AS736" s="362"/>
      <c r="AT736" s="362"/>
      <c r="AU736" s="362"/>
      <c r="AV736" s="362"/>
      <c r="AW736" s="362"/>
      <c r="AX736" s="362"/>
      <c r="AY736" s="362"/>
      <c r="AZ736" s="362"/>
      <c r="BA736" s="362"/>
      <c r="BB736" s="362"/>
      <c r="BC736" s="362"/>
      <c r="BD736" s="362"/>
      <c r="BE736" s="362"/>
      <c r="BF736" s="362"/>
      <c r="BG736" s="362"/>
      <c r="BH736" s="362"/>
      <c r="BI736" s="362"/>
      <c r="BJ736" s="362"/>
      <c r="BK736" s="362"/>
      <c r="BL736" s="362"/>
      <c r="BM736" s="362"/>
      <c r="BN736" s="362"/>
      <c r="BO736" s="362"/>
      <c r="BP736" s="362"/>
      <c r="BQ736" s="362"/>
      <c r="BR736" s="362"/>
      <c r="BS736" s="362"/>
      <c r="BT736" s="362"/>
      <c r="BU736" s="362"/>
      <c r="BV736" s="362"/>
      <c r="BW736" s="362"/>
      <c r="BX736" s="362"/>
      <c r="BY736" s="362"/>
      <c r="BZ736" s="362"/>
      <c r="CA736" s="362"/>
      <c r="CB736" s="362"/>
      <c r="CC736" s="362"/>
      <c r="CD736" s="362"/>
      <c r="CE736" s="362"/>
    </row>
    <row r="737" spans="1:83" ht="12.65" customHeight="1">
      <c r="A737" s="363" t="str">
        <f>RIGHT($C$83,3)&amp;"*"&amp;RIGHT($C$82,4)&amp;"*"&amp;F$55&amp;"*"&amp;"A"</f>
        <v>197*2020*6100*A</v>
      </c>
      <c r="B737" s="359">
        <f>ROUND(F59,0)</f>
        <v>0</v>
      </c>
      <c r="C737" s="364">
        <f>ROUND(F60,2)</f>
        <v>0</v>
      </c>
      <c r="D737" s="359">
        <f>ROUND(F61,0)</f>
        <v>0</v>
      </c>
      <c r="E737" s="359">
        <f>ROUND(F62,0)</f>
        <v>0</v>
      </c>
      <c r="F737" s="359">
        <f>ROUND(F63,0)</f>
        <v>0</v>
      </c>
      <c r="G737" s="359">
        <f>ROUND(F64,0)</f>
        <v>0</v>
      </c>
      <c r="H737" s="359">
        <f>ROUND(F65,0)</f>
        <v>0</v>
      </c>
      <c r="I737" s="359">
        <f>ROUND(F66,0)</f>
        <v>0</v>
      </c>
      <c r="J737" s="359">
        <f>ROUND(F67,0)</f>
        <v>0</v>
      </c>
      <c r="K737" s="359">
        <f>ROUND(F68,0)</f>
        <v>0</v>
      </c>
      <c r="L737" s="359">
        <f>ROUND(F69,0)</f>
        <v>0</v>
      </c>
      <c r="M737" s="359">
        <f>ROUND(F70,0)</f>
        <v>0</v>
      </c>
      <c r="N737" s="359">
        <f>ROUND(F75,0)</f>
        <v>0</v>
      </c>
      <c r="O737" s="359">
        <f>ROUND(F73,0)</f>
        <v>0</v>
      </c>
      <c r="P737" s="359">
        <f>IF(F76&gt;0,ROUND(F76,0),0)</f>
        <v>0</v>
      </c>
      <c r="Q737" s="359">
        <f>IF(F77&gt;0,ROUND(F77,0),0)</f>
        <v>0</v>
      </c>
      <c r="R737" s="359">
        <f>IF(F78&gt;0,ROUND(F78,0),0)</f>
        <v>0</v>
      </c>
      <c r="S737" s="359">
        <f>IF(F79&gt;0,ROUND(F79,0),0)</f>
        <v>0</v>
      </c>
      <c r="T737" s="364">
        <f>IF(F80&gt;0,ROUND(F80,2),0)</f>
        <v>0</v>
      </c>
      <c r="U737" s="359"/>
      <c r="V737" s="362"/>
      <c r="W737" s="359"/>
      <c r="X737" s="359"/>
      <c r="Y737" s="359">
        <f t="shared" si="21"/>
        <v>0</v>
      </c>
      <c r="Z737" s="362"/>
      <c r="AA737" s="362"/>
      <c r="AB737" s="362"/>
      <c r="AC737" s="362"/>
      <c r="AD737" s="362"/>
      <c r="AE737" s="362"/>
      <c r="AF737" s="362"/>
      <c r="AG737" s="362"/>
      <c r="AH737" s="362"/>
      <c r="AI737" s="362"/>
      <c r="AJ737" s="362"/>
      <c r="AK737" s="362"/>
      <c r="AL737" s="362"/>
      <c r="AM737" s="362"/>
      <c r="AN737" s="362"/>
      <c r="AO737" s="362"/>
      <c r="AP737" s="362"/>
      <c r="AQ737" s="362"/>
      <c r="AR737" s="362"/>
      <c r="AS737" s="362"/>
      <c r="AT737" s="362"/>
      <c r="AU737" s="362"/>
      <c r="AV737" s="362"/>
      <c r="AW737" s="362"/>
      <c r="AX737" s="362"/>
      <c r="AY737" s="362"/>
      <c r="AZ737" s="362"/>
      <c r="BA737" s="362"/>
      <c r="BB737" s="362"/>
      <c r="BC737" s="362"/>
      <c r="BD737" s="362"/>
      <c r="BE737" s="362"/>
      <c r="BF737" s="362"/>
      <c r="BG737" s="362"/>
      <c r="BH737" s="362"/>
      <c r="BI737" s="362"/>
      <c r="BJ737" s="362"/>
      <c r="BK737" s="362"/>
      <c r="BL737" s="362"/>
      <c r="BM737" s="362"/>
      <c r="BN737" s="362"/>
      <c r="BO737" s="362"/>
      <c r="BP737" s="362"/>
      <c r="BQ737" s="362"/>
      <c r="BR737" s="362"/>
      <c r="BS737" s="362"/>
      <c r="BT737" s="362"/>
      <c r="BU737" s="362"/>
      <c r="BV737" s="362"/>
      <c r="BW737" s="362"/>
      <c r="BX737" s="362"/>
      <c r="BY737" s="362"/>
      <c r="BZ737" s="362"/>
      <c r="CA737" s="362"/>
      <c r="CB737" s="362"/>
      <c r="CC737" s="362"/>
      <c r="CD737" s="362"/>
      <c r="CE737" s="362"/>
    </row>
    <row r="738" spans="1:83" ht="12.65" customHeight="1">
      <c r="A738" s="363" t="str">
        <f>RIGHT($C$83,3)&amp;"*"&amp;RIGHT($C$82,4)&amp;"*"&amp;G$55&amp;"*"&amp;"A"</f>
        <v>197*2020*6120*A</v>
      </c>
      <c r="B738" s="359">
        <f>ROUND(G59,0)</f>
        <v>0</v>
      </c>
      <c r="C738" s="364">
        <f>ROUND(G60,2)</f>
        <v>0</v>
      </c>
      <c r="D738" s="359">
        <f>ROUND(G61,0)</f>
        <v>0</v>
      </c>
      <c r="E738" s="359">
        <f>ROUND(G62,0)</f>
        <v>0</v>
      </c>
      <c r="F738" s="359">
        <f>ROUND(G63,0)</f>
        <v>0</v>
      </c>
      <c r="G738" s="359">
        <f>ROUND(G64,0)</f>
        <v>0</v>
      </c>
      <c r="H738" s="359">
        <f>ROUND(G65,0)</f>
        <v>0</v>
      </c>
      <c r="I738" s="359">
        <f>ROUND(G66,0)</f>
        <v>0</v>
      </c>
      <c r="J738" s="359">
        <f>ROUND(G67,0)</f>
        <v>0</v>
      </c>
      <c r="K738" s="359">
        <f>ROUND(G68,0)</f>
        <v>0</v>
      </c>
      <c r="L738" s="359">
        <f>ROUND(G69,0)</f>
        <v>0</v>
      </c>
      <c r="M738" s="359">
        <f>ROUND(G70,0)</f>
        <v>0</v>
      </c>
      <c r="N738" s="359">
        <f>ROUND(G75,0)</f>
        <v>0</v>
      </c>
      <c r="O738" s="359">
        <f>ROUND(G73,0)</f>
        <v>0</v>
      </c>
      <c r="P738" s="359">
        <f>IF(G76&gt;0,ROUND(G76,0),0)</f>
        <v>0</v>
      </c>
      <c r="Q738" s="359">
        <f>IF(G77&gt;0,ROUND(G77,0),0)</f>
        <v>0</v>
      </c>
      <c r="R738" s="359">
        <f>IF(G78&gt;0,ROUND(G78,0),0)</f>
        <v>0</v>
      </c>
      <c r="S738" s="359">
        <f>IF(G79&gt;0,ROUND(G79,0),0)</f>
        <v>0</v>
      </c>
      <c r="T738" s="364">
        <f>IF(G80&gt;0,ROUND(G80,2),0)</f>
        <v>0</v>
      </c>
      <c r="U738" s="359"/>
      <c r="V738" s="362"/>
      <c r="W738" s="359"/>
      <c r="X738" s="359"/>
      <c r="Y738" s="359">
        <f t="shared" si="21"/>
        <v>0</v>
      </c>
      <c r="Z738" s="362"/>
      <c r="AA738" s="362"/>
      <c r="AB738" s="362"/>
      <c r="AC738" s="362"/>
      <c r="AD738" s="362"/>
      <c r="AE738" s="362"/>
      <c r="AF738" s="362"/>
      <c r="AG738" s="362"/>
      <c r="AH738" s="362"/>
      <c r="AI738" s="362"/>
      <c r="AJ738" s="362"/>
      <c r="AK738" s="362"/>
      <c r="AL738" s="362"/>
      <c r="AM738" s="362"/>
      <c r="AN738" s="362"/>
      <c r="AO738" s="362"/>
      <c r="AP738" s="362"/>
      <c r="AQ738" s="362"/>
      <c r="AR738" s="362"/>
      <c r="AS738" s="362"/>
      <c r="AT738" s="362"/>
      <c r="AU738" s="362"/>
      <c r="AV738" s="362"/>
      <c r="AW738" s="362"/>
      <c r="AX738" s="362"/>
      <c r="AY738" s="362"/>
      <c r="AZ738" s="362"/>
      <c r="BA738" s="362"/>
      <c r="BB738" s="362"/>
      <c r="BC738" s="362"/>
      <c r="BD738" s="362"/>
      <c r="BE738" s="362"/>
      <c r="BF738" s="362"/>
      <c r="BG738" s="362"/>
      <c r="BH738" s="362"/>
      <c r="BI738" s="362"/>
      <c r="BJ738" s="362"/>
      <c r="BK738" s="362"/>
      <c r="BL738" s="362"/>
      <c r="BM738" s="362"/>
      <c r="BN738" s="362"/>
      <c r="BO738" s="362"/>
      <c r="BP738" s="362"/>
      <c r="BQ738" s="362"/>
      <c r="BR738" s="362"/>
      <c r="BS738" s="362"/>
      <c r="BT738" s="362"/>
      <c r="BU738" s="362"/>
      <c r="BV738" s="362"/>
      <c r="BW738" s="362"/>
      <c r="BX738" s="362"/>
      <c r="BY738" s="362"/>
      <c r="BZ738" s="362"/>
      <c r="CA738" s="362"/>
      <c r="CB738" s="362"/>
      <c r="CC738" s="362"/>
      <c r="CD738" s="362"/>
      <c r="CE738" s="362"/>
    </row>
    <row r="739" spans="1:83" ht="12.65" customHeight="1">
      <c r="A739" s="363" t="str">
        <f>RIGHT($C$83,3)&amp;"*"&amp;RIGHT($C$82,4)&amp;"*"&amp;H$55&amp;"*"&amp;"A"</f>
        <v>197*2020*6140*A</v>
      </c>
      <c r="B739" s="359">
        <f>ROUND(H59,0)</f>
        <v>0</v>
      </c>
      <c r="C739" s="364">
        <f>ROUND(H60,2)</f>
        <v>0</v>
      </c>
      <c r="D739" s="359">
        <f>ROUND(H61,0)</f>
        <v>0</v>
      </c>
      <c r="E739" s="359">
        <f>ROUND(H62,0)</f>
        <v>0</v>
      </c>
      <c r="F739" s="359">
        <f>ROUND(H63,0)</f>
        <v>0</v>
      </c>
      <c r="G739" s="359">
        <f>ROUND(H64,0)</f>
        <v>0</v>
      </c>
      <c r="H739" s="359">
        <f>ROUND(H65,0)</f>
        <v>0</v>
      </c>
      <c r="I739" s="359">
        <f>ROUND(H66,0)</f>
        <v>0</v>
      </c>
      <c r="J739" s="359">
        <f>ROUND(H67,0)</f>
        <v>0</v>
      </c>
      <c r="K739" s="359">
        <f>ROUND(H68,0)</f>
        <v>0</v>
      </c>
      <c r="L739" s="359">
        <f>ROUND(H69,0)</f>
        <v>0</v>
      </c>
      <c r="M739" s="359">
        <f>ROUND(H70,0)</f>
        <v>0</v>
      </c>
      <c r="N739" s="359">
        <f>ROUND(H75,0)</f>
        <v>0</v>
      </c>
      <c r="O739" s="359">
        <f>ROUND(H73,0)</f>
        <v>0</v>
      </c>
      <c r="P739" s="359">
        <f>IF(H76&gt;0,ROUND(H76,0),0)</f>
        <v>0</v>
      </c>
      <c r="Q739" s="359">
        <f>IF(H77&gt;0,ROUND(H77,0),0)</f>
        <v>0</v>
      </c>
      <c r="R739" s="359">
        <f>IF(H78&gt;0,ROUND(H78,0),0)</f>
        <v>0</v>
      </c>
      <c r="S739" s="359">
        <f>IF(H79&gt;0,ROUND(H79,0),0)</f>
        <v>0</v>
      </c>
      <c r="T739" s="364">
        <f>IF(H80&gt;0,ROUND(H80,2),0)</f>
        <v>0</v>
      </c>
      <c r="U739" s="359"/>
      <c r="V739" s="362"/>
      <c r="W739" s="359"/>
      <c r="X739" s="359"/>
      <c r="Y739" s="359">
        <f t="shared" si="21"/>
        <v>0</v>
      </c>
      <c r="Z739" s="362"/>
      <c r="AA739" s="362"/>
      <c r="AB739" s="362"/>
      <c r="AC739" s="362"/>
      <c r="AD739" s="362"/>
      <c r="AE739" s="362"/>
      <c r="AF739" s="362"/>
      <c r="AG739" s="362"/>
      <c r="AH739" s="362"/>
      <c r="AI739" s="362"/>
      <c r="AJ739" s="362"/>
      <c r="AK739" s="362"/>
      <c r="AL739" s="362"/>
      <c r="AM739" s="362"/>
      <c r="AN739" s="362"/>
      <c r="AO739" s="362"/>
      <c r="AP739" s="362"/>
      <c r="AQ739" s="362"/>
      <c r="AR739" s="362"/>
      <c r="AS739" s="362"/>
      <c r="AT739" s="362"/>
      <c r="AU739" s="362"/>
      <c r="AV739" s="362"/>
      <c r="AW739" s="362"/>
      <c r="AX739" s="362"/>
      <c r="AY739" s="362"/>
      <c r="AZ739" s="362"/>
      <c r="BA739" s="362"/>
      <c r="BB739" s="362"/>
      <c r="BC739" s="362"/>
      <c r="BD739" s="362"/>
      <c r="BE739" s="362"/>
      <c r="BF739" s="362"/>
      <c r="BG739" s="362"/>
      <c r="BH739" s="362"/>
      <c r="BI739" s="362"/>
      <c r="BJ739" s="362"/>
      <c r="BK739" s="362"/>
      <c r="BL739" s="362"/>
      <c r="BM739" s="362"/>
      <c r="BN739" s="362"/>
      <c r="BO739" s="362"/>
      <c r="BP739" s="362"/>
      <c r="BQ739" s="362"/>
      <c r="BR739" s="362"/>
      <c r="BS739" s="362"/>
      <c r="BT739" s="362"/>
      <c r="BU739" s="362"/>
      <c r="BV739" s="362"/>
      <c r="BW739" s="362"/>
      <c r="BX739" s="362"/>
      <c r="BY739" s="362"/>
      <c r="BZ739" s="362"/>
      <c r="CA739" s="362"/>
      <c r="CB739" s="362"/>
      <c r="CC739" s="362"/>
      <c r="CD739" s="362"/>
      <c r="CE739" s="362"/>
    </row>
    <row r="740" spans="1:83" ht="12.65" customHeight="1">
      <c r="A740" s="363" t="str">
        <f>RIGHT($C$83,3)&amp;"*"&amp;RIGHT($C$82,4)&amp;"*"&amp;I$55&amp;"*"&amp;"A"</f>
        <v>197*2020*6150*A</v>
      </c>
      <c r="B740" s="359">
        <f>ROUND(I59,0)</f>
        <v>0</v>
      </c>
      <c r="C740" s="364">
        <f>ROUND(I60,2)</f>
        <v>0</v>
      </c>
      <c r="D740" s="359">
        <f>ROUND(I61,0)</f>
        <v>0</v>
      </c>
      <c r="E740" s="359">
        <f>ROUND(I62,0)</f>
        <v>0</v>
      </c>
      <c r="F740" s="359">
        <f>ROUND(I63,0)</f>
        <v>0</v>
      </c>
      <c r="G740" s="359">
        <f>ROUND(I64,0)</f>
        <v>0</v>
      </c>
      <c r="H740" s="359">
        <f>ROUND(I65,0)</f>
        <v>0</v>
      </c>
      <c r="I740" s="359">
        <f>ROUND(I66,0)</f>
        <v>0</v>
      </c>
      <c r="J740" s="359">
        <f>ROUND(I67,0)</f>
        <v>0</v>
      </c>
      <c r="K740" s="359">
        <f>ROUND(I68,0)</f>
        <v>0</v>
      </c>
      <c r="L740" s="359">
        <f>ROUND(I69,0)</f>
        <v>0</v>
      </c>
      <c r="M740" s="359">
        <f>ROUND(I70,0)</f>
        <v>0</v>
      </c>
      <c r="N740" s="359">
        <f>ROUND(I75,0)</f>
        <v>0</v>
      </c>
      <c r="O740" s="359">
        <f>ROUND(I73,0)</f>
        <v>0</v>
      </c>
      <c r="P740" s="359">
        <f>IF(I76&gt;0,ROUND(I76,0),0)</f>
        <v>0</v>
      </c>
      <c r="Q740" s="359">
        <f>IF(I77&gt;0,ROUND(I77,0),0)</f>
        <v>0</v>
      </c>
      <c r="R740" s="359">
        <f>IF(I78&gt;0,ROUND(I78,0),0)</f>
        <v>0</v>
      </c>
      <c r="S740" s="359">
        <f>IF(I79&gt;0,ROUND(I79,0),0)</f>
        <v>0</v>
      </c>
      <c r="T740" s="364">
        <f>IF(I80&gt;0,ROUND(I80,2),0)</f>
        <v>0</v>
      </c>
      <c r="U740" s="359"/>
      <c r="V740" s="362"/>
      <c r="W740" s="359"/>
      <c r="X740" s="359"/>
      <c r="Y740" s="359">
        <f t="shared" si="21"/>
        <v>0</v>
      </c>
      <c r="Z740" s="362"/>
      <c r="AA740" s="362"/>
      <c r="AB740" s="362"/>
      <c r="AC740" s="362"/>
      <c r="AD740" s="362"/>
      <c r="AE740" s="362"/>
      <c r="AF740" s="362"/>
      <c r="AG740" s="362"/>
      <c r="AH740" s="362"/>
      <c r="AI740" s="362"/>
      <c r="AJ740" s="362"/>
      <c r="AK740" s="362"/>
      <c r="AL740" s="362"/>
      <c r="AM740" s="362"/>
      <c r="AN740" s="362"/>
      <c r="AO740" s="362"/>
      <c r="AP740" s="362"/>
      <c r="AQ740" s="362"/>
      <c r="AR740" s="362"/>
      <c r="AS740" s="362"/>
      <c r="AT740" s="362"/>
      <c r="AU740" s="362"/>
      <c r="AV740" s="362"/>
      <c r="AW740" s="362"/>
      <c r="AX740" s="362"/>
      <c r="AY740" s="362"/>
      <c r="AZ740" s="362"/>
      <c r="BA740" s="362"/>
      <c r="BB740" s="362"/>
      <c r="BC740" s="362"/>
      <c r="BD740" s="362"/>
      <c r="BE740" s="362"/>
      <c r="BF740" s="362"/>
      <c r="BG740" s="362"/>
      <c r="BH740" s="362"/>
      <c r="BI740" s="362"/>
      <c r="BJ740" s="362"/>
      <c r="BK740" s="362"/>
      <c r="BL740" s="362"/>
      <c r="BM740" s="362"/>
      <c r="BN740" s="362"/>
      <c r="BO740" s="362"/>
      <c r="BP740" s="362"/>
      <c r="BQ740" s="362"/>
      <c r="BR740" s="362"/>
      <c r="BS740" s="362"/>
      <c r="BT740" s="362"/>
      <c r="BU740" s="362"/>
      <c r="BV740" s="362"/>
      <c r="BW740" s="362"/>
      <c r="BX740" s="362"/>
      <c r="BY740" s="362"/>
      <c r="BZ740" s="362"/>
      <c r="CA740" s="362"/>
      <c r="CB740" s="362"/>
      <c r="CC740" s="362"/>
      <c r="CD740" s="362"/>
      <c r="CE740" s="362"/>
    </row>
    <row r="741" spans="1:83" ht="12.65" customHeight="1">
      <c r="A741" s="363" t="str">
        <f>RIGHT($C$83,3)&amp;"*"&amp;RIGHT($C$82,4)&amp;"*"&amp;J$55&amp;"*"&amp;"A"</f>
        <v>197*2020*6170*A</v>
      </c>
      <c r="B741" s="359">
        <f>ROUND(J59,0)</f>
        <v>1066</v>
      </c>
      <c r="C741" s="364">
        <f>ROUND(J60,2)</f>
        <v>0</v>
      </c>
      <c r="D741" s="359">
        <f>ROUND(J61,0)</f>
        <v>0</v>
      </c>
      <c r="E741" s="359">
        <f>ROUND(J62,0)</f>
        <v>0</v>
      </c>
      <c r="F741" s="359">
        <f>ROUND(J63,0)</f>
        <v>503008</v>
      </c>
      <c r="G741" s="359">
        <f>ROUND(J64,0)</f>
        <v>16202</v>
      </c>
      <c r="H741" s="359">
        <f>ROUND(J65,0)</f>
        <v>0</v>
      </c>
      <c r="I741" s="359">
        <f>ROUND(J66,0)</f>
        <v>75817</v>
      </c>
      <c r="J741" s="359">
        <f>ROUND(J67,0)</f>
        <v>27066</v>
      </c>
      <c r="K741" s="359">
        <f>ROUND(J68,0)</f>
        <v>0</v>
      </c>
      <c r="L741" s="359">
        <f>ROUND(J69,0)</f>
        <v>1253</v>
      </c>
      <c r="M741" s="359">
        <f>ROUND(J70,0)</f>
        <v>0</v>
      </c>
      <c r="N741" s="359">
        <f>ROUND(J75,0)</f>
        <v>3637295</v>
      </c>
      <c r="O741" s="359">
        <f>ROUND(J73,0)</f>
        <v>3635216</v>
      </c>
      <c r="P741" s="359">
        <f>IF(J76&gt;0,ROUND(J76,0),0)</f>
        <v>713</v>
      </c>
      <c r="Q741" s="359">
        <f>IF(J77&gt;0,ROUND(J77,0),0)</f>
        <v>3041</v>
      </c>
      <c r="R741" s="359">
        <f>IF(J78&gt;0,ROUND(J78,0),0)</f>
        <v>182</v>
      </c>
      <c r="S741" s="359">
        <f>IF(J79&gt;0,ROUND(J79,0),0)</f>
        <v>431</v>
      </c>
      <c r="T741" s="364">
        <f>IF(J80&gt;0,ROUND(J80,2),0)</f>
        <v>0</v>
      </c>
      <c r="U741" s="359"/>
      <c r="V741" s="362"/>
      <c r="W741" s="359"/>
      <c r="X741" s="359"/>
      <c r="Y741" s="359">
        <f t="shared" si="21"/>
        <v>539112</v>
      </c>
      <c r="Z741" s="362"/>
      <c r="AA741" s="362"/>
      <c r="AB741" s="362"/>
      <c r="AC741" s="362"/>
      <c r="AD741" s="362"/>
      <c r="AE741" s="362"/>
      <c r="AF741" s="362"/>
      <c r="AG741" s="362"/>
      <c r="AH741" s="362"/>
      <c r="AI741" s="362"/>
      <c r="AJ741" s="362"/>
      <c r="AK741" s="362"/>
      <c r="AL741" s="362"/>
      <c r="AM741" s="362"/>
      <c r="AN741" s="362"/>
      <c r="AO741" s="362"/>
      <c r="AP741" s="362"/>
      <c r="AQ741" s="362"/>
      <c r="AR741" s="362"/>
      <c r="AS741" s="362"/>
      <c r="AT741" s="362"/>
      <c r="AU741" s="362"/>
      <c r="AV741" s="362"/>
      <c r="AW741" s="362"/>
      <c r="AX741" s="362"/>
      <c r="AY741" s="362"/>
      <c r="AZ741" s="362"/>
      <c r="BA741" s="362"/>
      <c r="BB741" s="362"/>
      <c r="BC741" s="362"/>
      <c r="BD741" s="362"/>
      <c r="BE741" s="362"/>
      <c r="BF741" s="362"/>
      <c r="BG741" s="362"/>
      <c r="BH741" s="362"/>
      <c r="BI741" s="362"/>
      <c r="BJ741" s="362"/>
      <c r="BK741" s="362"/>
      <c r="BL741" s="362"/>
      <c r="BM741" s="362"/>
      <c r="BN741" s="362"/>
      <c r="BO741" s="362"/>
      <c r="BP741" s="362"/>
      <c r="BQ741" s="362"/>
      <c r="BR741" s="362"/>
      <c r="BS741" s="362"/>
      <c r="BT741" s="362"/>
      <c r="BU741" s="362"/>
      <c r="BV741" s="362"/>
      <c r="BW741" s="362"/>
      <c r="BX741" s="362"/>
      <c r="BY741" s="362"/>
      <c r="BZ741" s="362"/>
      <c r="CA741" s="362"/>
      <c r="CB741" s="362"/>
      <c r="CC741" s="362"/>
      <c r="CD741" s="362"/>
      <c r="CE741" s="362"/>
    </row>
    <row r="742" spans="1:83" ht="12.65" customHeight="1">
      <c r="A742" s="363" t="str">
        <f>RIGHT($C$83,3)&amp;"*"&amp;RIGHT($C$82,4)&amp;"*"&amp;K$55&amp;"*"&amp;"A"</f>
        <v>197*2020*6200*A</v>
      </c>
      <c r="B742" s="359">
        <f>ROUND(K59,0)</f>
        <v>0</v>
      </c>
      <c r="C742" s="364">
        <f>ROUND(K60,2)</f>
        <v>0</v>
      </c>
      <c r="D742" s="359">
        <f>ROUND(K61,0)</f>
        <v>0</v>
      </c>
      <c r="E742" s="359">
        <f>ROUND(K62,0)</f>
        <v>0</v>
      </c>
      <c r="F742" s="359">
        <f>ROUND(K63,0)</f>
        <v>0</v>
      </c>
      <c r="G742" s="359">
        <f>ROUND(K64,0)</f>
        <v>0</v>
      </c>
      <c r="H742" s="359">
        <f>ROUND(K65,0)</f>
        <v>0</v>
      </c>
      <c r="I742" s="359">
        <f>ROUND(K66,0)</f>
        <v>0</v>
      </c>
      <c r="J742" s="359">
        <f>ROUND(K67,0)</f>
        <v>0</v>
      </c>
      <c r="K742" s="359">
        <f>ROUND(K68,0)</f>
        <v>0</v>
      </c>
      <c r="L742" s="359">
        <f>ROUND(K69,0)</f>
        <v>0</v>
      </c>
      <c r="M742" s="359">
        <f>ROUND(K70,0)</f>
        <v>0</v>
      </c>
      <c r="N742" s="359">
        <f>ROUND(K75,0)</f>
        <v>0</v>
      </c>
      <c r="O742" s="359">
        <f>ROUND(K73,0)</f>
        <v>0</v>
      </c>
      <c r="P742" s="359">
        <f>IF(K76&gt;0,ROUND(K76,0),0)</f>
        <v>0</v>
      </c>
      <c r="Q742" s="359">
        <f>IF(K77&gt;0,ROUND(K77,0),0)</f>
        <v>0</v>
      </c>
      <c r="R742" s="359">
        <f>IF(K78&gt;0,ROUND(K78,0),0)</f>
        <v>0</v>
      </c>
      <c r="S742" s="359">
        <f>IF(K79&gt;0,ROUND(K79,0),0)</f>
        <v>0</v>
      </c>
      <c r="T742" s="364">
        <f>IF(K80&gt;0,ROUND(K80,2),0)</f>
        <v>0</v>
      </c>
      <c r="U742" s="359"/>
      <c r="V742" s="362"/>
      <c r="W742" s="359"/>
      <c r="X742" s="359"/>
      <c r="Y742" s="359">
        <f t="shared" si="21"/>
        <v>0</v>
      </c>
      <c r="Z742" s="362"/>
      <c r="AA742" s="362"/>
      <c r="AB742" s="362"/>
      <c r="AC742" s="362"/>
      <c r="AD742" s="362"/>
      <c r="AE742" s="362"/>
      <c r="AF742" s="362"/>
      <c r="AG742" s="362"/>
      <c r="AH742" s="362"/>
      <c r="AI742" s="362"/>
      <c r="AJ742" s="362"/>
      <c r="AK742" s="362"/>
      <c r="AL742" s="362"/>
      <c r="AM742" s="362"/>
      <c r="AN742" s="362"/>
      <c r="AO742" s="362"/>
      <c r="AP742" s="362"/>
      <c r="AQ742" s="362"/>
      <c r="AR742" s="362"/>
      <c r="AS742" s="362"/>
      <c r="AT742" s="362"/>
      <c r="AU742" s="362"/>
      <c r="AV742" s="362"/>
      <c r="AW742" s="362"/>
      <c r="AX742" s="362"/>
      <c r="AY742" s="362"/>
      <c r="AZ742" s="362"/>
      <c r="BA742" s="362"/>
      <c r="BB742" s="362"/>
      <c r="BC742" s="362"/>
      <c r="BD742" s="362"/>
      <c r="BE742" s="362"/>
      <c r="BF742" s="362"/>
      <c r="BG742" s="362"/>
      <c r="BH742" s="362"/>
      <c r="BI742" s="362"/>
      <c r="BJ742" s="362"/>
      <c r="BK742" s="362"/>
      <c r="BL742" s="362"/>
      <c r="BM742" s="362"/>
      <c r="BN742" s="362"/>
      <c r="BO742" s="362"/>
      <c r="BP742" s="362"/>
      <c r="BQ742" s="362"/>
      <c r="BR742" s="362"/>
      <c r="BS742" s="362"/>
      <c r="BT742" s="362"/>
      <c r="BU742" s="362"/>
      <c r="BV742" s="362"/>
      <c r="BW742" s="362"/>
      <c r="BX742" s="362"/>
      <c r="BY742" s="362"/>
      <c r="BZ742" s="362"/>
      <c r="CA742" s="362"/>
      <c r="CB742" s="362"/>
      <c r="CC742" s="362"/>
      <c r="CD742" s="362"/>
      <c r="CE742" s="362"/>
    </row>
    <row r="743" spans="1:83" ht="12.65" customHeight="1">
      <c r="A743" s="363" t="str">
        <f>RIGHT($C$83,3)&amp;"*"&amp;RIGHT($C$82,4)&amp;"*"&amp;L$55&amp;"*"&amp;"A"</f>
        <v>197*2020*6210*A</v>
      </c>
      <c r="B743" s="359">
        <f>ROUND(L59,0)</f>
        <v>0</v>
      </c>
      <c r="C743" s="364">
        <f>ROUND(L60,2)</f>
        <v>0</v>
      </c>
      <c r="D743" s="359">
        <f>ROUND(L61,0)</f>
        <v>0</v>
      </c>
      <c r="E743" s="359">
        <f>ROUND(L62,0)</f>
        <v>0</v>
      </c>
      <c r="F743" s="359">
        <f>ROUND(L63,0)</f>
        <v>0</v>
      </c>
      <c r="G743" s="359">
        <f>ROUND(L64,0)</f>
        <v>0</v>
      </c>
      <c r="H743" s="359">
        <f>ROUND(L65,0)</f>
        <v>0</v>
      </c>
      <c r="I743" s="359">
        <f>ROUND(L66,0)</f>
        <v>0</v>
      </c>
      <c r="J743" s="359">
        <f>ROUND(L67,0)</f>
        <v>0</v>
      </c>
      <c r="K743" s="359">
        <f>ROUND(L68,0)</f>
        <v>0</v>
      </c>
      <c r="L743" s="359">
        <f>ROUND(L69,0)</f>
        <v>0</v>
      </c>
      <c r="M743" s="359">
        <f>ROUND(L70,0)</f>
        <v>0</v>
      </c>
      <c r="N743" s="359">
        <f>ROUND(L75,0)</f>
        <v>0</v>
      </c>
      <c r="O743" s="359">
        <f>ROUND(L73,0)</f>
        <v>0</v>
      </c>
      <c r="P743" s="359">
        <f>IF(L76&gt;0,ROUND(L76,0),0)</f>
        <v>0</v>
      </c>
      <c r="Q743" s="359">
        <f>IF(L77&gt;0,ROUND(L77,0),0)</f>
        <v>0</v>
      </c>
      <c r="R743" s="359">
        <f>IF(L78&gt;0,ROUND(L78,0),0)</f>
        <v>0</v>
      </c>
      <c r="S743" s="359">
        <f>IF(L79&gt;0,ROUND(L79,0),0)</f>
        <v>0</v>
      </c>
      <c r="T743" s="364">
        <f>IF(L80&gt;0,ROUND(L80,2),0)</f>
        <v>0</v>
      </c>
      <c r="U743" s="359"/>
      <c r="V743" s="362"/>
      <c r="W743" s="359"/>
      <c r="X743" s="359"/>
      <c r="Y743" s="359">
        <f t="shared" si="21"/>
        <v>0</v>
      </c>
      <c r="Z743" s="362"/>
      <c r="AA743" s="362"/>
      <c r="AB743" s="362"/>
      <c r="AC743" s="362"/>
      <c r="AD743" s="362"/>
      <c r="AE743" s="362"/>
      <c r="AF743" s="362"/>
      <c r="AG743" s="362"/>
      <c r="AH743" s="362"/>
      <c r="AI743" s="362"/>
      <c r="AJ743" s="362"/>
      <c r="AK743" s="362"/>
      <c r="AL743" s="362"/>
      <c r="AM743" s="362"/>
      <c r="AN743" s="362"/>
      <c r="AO743" s="362"/>
      <c r="AP743" s="362"/>
      <c r="AQ743" s="362"/>
      <c r="AR743" s="362"/>
      <c r="AS743" s="362"/>
      <c r="AT743" s="362"/>
      <c r="AU743" s="362"/>
      <c r="AV743" s="362"/>
      <c r="AW743" s="362"/>
      <c r="AX743" s="362"/>
      <c r="AY743" s="362"/>
      <c r="AZ743" s="362"/>
      <c r="BA743" s="362"/>
      <c r="BB743" s="362"/>
      <c r="BC743" s="362"/>
      <c r="BD743" s="362"/>
      <c r="BE743" s="362"/>
      <c r="BF743" s="362"/>
      <c r="BG743" s="362"/>
      <c r="BH743" s="362"/>
      <c r="BI743" s="362"/>
      <c r="BJ743" s="362"/>
      <c r="BK743" s="362"/>
      <c r="BL743" s="362"/>
      <c r="BM743" s="362"/>
      <c r="BN743" s="362"/>
      <c r="BO743" s="362"/>
      <c r="BP743" s="362"/>
      <c r="BQ743" s="362"/>
      <c r="BR743" s="362"/>
      <c r="BS743" s="362"/>
      <c r="BT743" s="362"/>
      <c r="BU743" s="362"/>
      <c r="BV743" s="362"/>
      <c r="BW743" s="362"/>
      <c r="BX743" s="362"/>
      <c r="BY743" s="362"/>
      <c r="BZ743" s="362"/>
      <c r="CA743" s="362"/>
      <c r="CB743" s="362"/>
      <c r="CC743" s="362"/>
      <c r="CD743" s="362"/>
      <c r="CE743" s="362"/>
    </row>
    <row r="744" spans="1:83" ht="12.65" customHeight="1">
      <c r="A744" s="363" t="str">
        <f>RIGHT($C$83,3)&amp;"*"&amp;RIGHT($C$82,4)&amp;"*"&amp;M$55&amp;"*"&amp;"A"</f>
        <v>197*2020*6330*A</v>
      </c>
      <c r="B744" s="359">
        <f>ROUND(M59,0)</f>
        <v>0</v>
      </c>
      <c r="C744" s="364">
        <f>ROUND(M60,2)</f>
        <v>0</v>
      </c>
      <c r="D744" s="359">
        <f>ROUND(M61,0)</f>
        <v>0</v>
      </c>
      <c r="E744" s="359">
        <f>ROUND(M62,0)</f>
        <v>0</v>
      </c>
      <c r="F744" s="359">
        <f>ROUND(M63,0)</f>
        <v>0</v>
      </c>
      <c r="G744" s="359">
        <f>ROUND(M64,0)</f>
        <v>0</v>
      </c>
      <c r="H744" s="359">
        <f>ROUND(M65,0)</f>
        <v>0</v>
      </c>
      <c r="I744" s="359">
        <f>ROUND(M66,0)</f>
        <v>0</v>
      </c>
      <c r="J744" s="359">
        <f>ROUND(M67,0)</f>
        <v>0</v>
      </c>
      <c r="K744" s="359">
        <f>ROUND(M68,0)</f>
        <v>0</v>
      </c>
      <c r="L744" s="359">
        <f>ROUND(M69,0)</f>
        <v>0</v>
      </c>
      <c r="M744" s="359">
        <f>ROUND(M70,0)</f>
        <v>0</v>
      </c>
      <c r="N744" s="359">
        <f>ROUND(M75,0)</f>
        <v>0</v>
      </c>
      <c r="O744" s="359">
        <f>ROUND(M73,0)</f>
        <v>0</v>
      </c>
      <c r="P744" s="359">
        <f>IF(M76&gt;0,ROUND(M76,0),0)</f>
        <v>0</v>
      </c>
      <c r="Q744" s="359">
        <f>IF(M77&gt;0,ROUND(M77,0),0)</f>
        <v>0</v>
      </c>
      <c r="R744" s="359">
        <f>IF(M78&gt;0,ROUND(M78,0),0)</f>
        <v>0</v>
      </c>
      <c r="S744" s="359">
        <f>IF(M79&gt;0,ROUND(M79,0),0)</f>
        <v>0</v>
      </c>
      <c r="T744" s="364">
        <f>IF(M80&gt;0,ROUND(M80,2),0)</f>
        <v>0</v>
      </c>
      <c r="U744" s="359"/>
      <c r="V744" s="362"/>
      <c r="W744" s="359"/>
      <c r="X744" s="359"/>
      <c r="Y744" s="359">
        <f t="shared" si="21"/>
        <v>0</v>
      </c>
      <c r="Z744" s="362"/>
      <c r="AA744" s="362"/>
      <c r="AB744" s="362"/>
      <c r="AC744" s="362"/>
      <c r="AD744" s="362"/>
      <c r="AE744" s="362"/>
      <c r="AF744" s="362"/>
      <c r="AG744" s="362"/>
      <c r="AH744" s="362"/>
      <c r="AI744" s="362"/>
      <c r="AJ744" s="362"/>
      <c r="AK744" s="362"/>
      <c r="AL744" s="362"/>
      <c r="AM744" s="362"/>
      <c r="AN744" s="362"/>
      <c r="AO744" s="362"/>
      <c r="AP744" s="362"/>
      <c r="AQ744" s="362"/>
      <c r="AR744" s="362"/>
      <c r="AS744" s="362"/>
      <c r="AT744" s="362"/>
      <c r="AU744" s="362"/>
      <c r="AV744" s="362"/>
      <c r="AW744" s="362"/>
      <c r="AX744" s="362"/>
      <c r="AY744" s="362"/>
      <c r="AZ744" s="362"/>
      <c r="BA744" s="362"/>
      <c r="BB744" s="362"/>
      <c r="BC744" s="362"/>
      <c r="BD744" s="362"/>
      <c r="BE744" s="362"/>
      <c r="BF744" s="362"/>
      <c r="BG744" s="362"/>
      <c r="BH744" s="362"/>
      <c r="BI744" s="362"/>
      <c r="BJ744" s="362"/>
      <c r="BK744" s="362"/>
      <c r="BL744" s="362"/>
      <c r="BM744" s="362"/>
      <c r="BN744" s="362"/>
      <c r="BO744" s="362"/>
      <c r="BP744" s="362"/>
      <c r="BQ744" s="362"/>
      <c r="BR744" s="362"/>
      <c r="BS744" s="362"/>
      <c r="BT744" s="362"/>
      <c r="BU744" s="362"/>
      <c r="BV744" s="362"/>
      <c r="BW744" s="362"/>
      <c r="BX744" s="362"/>
      <c r="BY744" s="362"/>
      <c r="BZ744" s="362"/>
      <c r="CA744" s="362"/>
      <c r="CB744" s="362"/>
      <c r="CC744" s="362"/>
      <c r="CD744" s="362"/>
      <c r="CE744" s="362"/>
    </row>
    <row r="745" spans="1:83" ht="12.65" customHeight="1">
      <c r="A745" s="363" t="str">
        <f>RIGHT($C$83,3)&amp;"*"&amp;RIGHT($C$82,4)&amp;"*"&amp;N$55&amp;"*"&amp;"A"</f>
        <v>197*2020*6400*A</v>
      </c>
      <c r="B745" s="359">
        <f>ROUND(N59,0)</f>
        <v>0</v>
      </c>
      <c r="C745" s="364">
        <f>ROUND(N60,2)</f>
        <v>0</v>
      </c>
      <c r="D745" s="359">
        <f>ROUND(N61,0)</f>
        <v>0</v>
      </c>
      <c r="E745" s="359">
        <f>ROUND(N62,0)</f>
        <v>0</v>
      </c>
      <c r="F745" s="359">
        <f>ROUND(N63,0)</f>
        <v>0</v>
      </c>
      <c r="G745" s="359">
        <f>ROUND(N64,0)</f>
        <v>0</v>
      </c>
      <c r="H745" s="359">
        <f>ROUND(N65,0)</f>
        <v>0</v>
      </c>
      <c r="I745" s="359">
        <f>ROUND(N66,0)</f>
        <v>0</v>
      </c>
      <c r="J745" s="359">
        <f>ROUND(N67,0)</f>
        <v>0</v>
      </c>
      <c r="K745" s="359">
        <f>ROUND(N68,0)</f>
        <v>0</v>
      </c>
      <c r="L745" s="359">
        <f>ROUND(N69,0)</f>
        <v>0</v>
      </c>
      <c r="M745" s="359">
        <f>ROUND(N70,0)</f>
        <v>0</v>
      </c>
      <c r="N745" s="359">
        <f>ROUND(N75,0)</f>
        <v>0</v>
      </c>
      <c r="O745" s="359">
        <f>ROUND(N73,0)</f>
        <v>0</v>
      </c>
      <c r="P745" s="359">
        <f>IF(N76&gt;0,ROUND(N76,0),0)</f>
        <v>0</v>
      </c>
      <c r="Q745" s="359">
        <f>IF(N77&gt;0,ROUND(N77,0),0)</f>
        <v>0</v>
      </c>
      <c r="R745" s="359">
        <f>IF(N78&gt;0,ROUND(N78,0),0)</f>
        <v>0</v>
      </c>
      <c r="S745" s="359">
        <f>IF(N79&gt;0,ROUND(N79,0),0)</f>
        <v>0</v>
      </c>
      <c r="T745" s="364">
        <f>IF(N80&gt;0,ROUND(N80,2),0)</f>
        <v>2.62</v>
      </c>
      <c r="U745" s="359"/>
      <c r="V745" s="362"/>
      <c r="W745" s="359"/>
      <c r="X745" s="359"/>
      <c r="Y745" s="359">
        <f t="shared" si="21"/>
        <v>16970</v>
      </c>
      <c r="Z745" s="362"/>
      <c r="AA745" s="362"/>
      <c r="AB745" s="362"/>
      <c r="AC745" s="362"/>
      <c r="AD745" s="362"/>
      <c r="AE745" s="362"/>
      <c r="AF745" s="362"/>
      <c r="AG745" s="362"/>
      <c r="AH745" s="362"/>
      <c r="AI745" s="362"/>
      <c r="AJ745" s="362"/>
      <c r="AK745" s="362"/>
      <c r="AL745" s="362"/>
      <c r="AM745" s="362"/>
      <c r="AN745" s="362"/>
      <c r="AO745" s="362"/>
      <c r="AP745" s="362"/>
      <c r="AQ745" s="362"/>
      <c r="AR745" s="362"/>
      <c r="AS745" s="362"/>
      <c r="AT745" s="362"/>
      <c r="AU745" s="362"/>
      <c r="AV745" s="362"/>
      <c r="AW745" s="362"/>
      <c r="AX745" s="362"/>
      <c r="AY745" s="362"/>
      <c r="AZ745" s="362"/>
      <c r="BA745" s="362"/>
      <c r="BB745" s="362"/>
      <c r="BC745" s="362"/>
      <c r="BD745" s="362"/>
      <c r="BE745" s="362"/>
      <c r="BF745" s="362"/>
      <c r="BG745" s="362"/>
      <c r="BH745" s="362"/>
      <c r="BI745" s="362"/>
      <c r="BJ745" s="362"/>
      <c r="BK745" s="362"/>
      <c r="BL745" s="362"/>
      <c r="BM745" s="362"/>
      <c r="BN745" s="362"/>
      <c r="BO745" s="362"/>
      <c r="BP745" s="362"/>
      <c r="BQ745" s="362"/>
      <c r="BR745" s="362"/>
      <c r="BS745" s="362"/>
      <c r="BT745" s="362"/>
      <c r="BU745" s="362"/>
      <c r="BV745" s="362"/>
      <c r="BW745" s="362"/>
      <c r="BX745" s="362"/>
      <c r="BY745" s="362"/>
      <c r="BZ745" s="362"/>
      <c r="CA745" s="362"/>
      <c r="CB745" s="362"/>
      <c r="CC745" s="362"/>
      <c r="CD745" s="362"/>
      <c r="CE745" s="362"/>
    </row>
    <row r="746" spans="1:83" ht="12.65" customHeight="1">
      <c r="A746" s="363" t="str">
        <f>RIGHT($C$83,3)&amp;"*"&amp;RIGHT($C$82,4)&amp;"*"&amp;O$55&amp;"*"&amp;"A"</f>
        <v>197*2020*7010*A</v>
      </c>
      <c r="B746" s="359">
        <f>ROUND(O59,0)</f>
        <v>1298</v>
      </c>
      <c r="C746" s="364">
        <f>ROUND(O60,2)</f>
        <v>22.32</v>
      </c>
      <c r="D746" s="359">
        <f>ROUND(O61,0)</f>
        <v>2517206</v>
      </c>
      <c r="E746" s="359">
        <f>ROUND(O62,0)</f>
        <v>456426</v>
      </c>
      <c r="F746" s="359">
        <f>ROUND(O63,0)</f>
        <v>84200</v>
      </c>
      <c r="G746" s="359">
        <f>ROUND(O64,0)</f>
        <v>216663</v>
      </c>
      <c r="H746" s="359">
        <f>ROUND(O65,0)</f>
        <v>0</v>
      </c>
      <c r="I746" s="359">
        <f>ROUND(O66,0)</f>
        <v>1167</v>
      </c>
      <c r="J746" s="359">
        <f>ROUND(O67,0)</f>
        <v>856210</v>
      </c>
      <c r="K746" s="359">
        <f>ROUND(O68,0)</f>
        <v>133</v>
      </c>
      <c r="L746" s="359">
        <f>ROUND(O69,0)</f>
        <v>52491</v>
      </c>
      <c r="M746" s="359">
        <f>ROUND(O70,0)</f>
        <v>0</v>
      </c>
      <c r="N746" s="359">
        <f>ROUND(O75,0)</f>
        <v>21563525</v>
      </c>
      <c r="O746" s="359">
        <f>ROUND(O73,0)</f>
        <v>20369337</v>
      </c>
      <c r="P746" s="359">
        <f>IF(O76&gt;0,ROUND(O76,0),0)</f>
        <v>22555</v>
      </c>
      <c r="Q746" s="359">
        <f>IF(O77&gt;0,ROUND(O77,0),0)</f>
        <v>3818</v>
      </c>
      <c r="R746" s="359">
        <f>IF(O78&gt;0,ROUND(O78,0),0)</f>
        <v>5749</v>
      </c>
      <c r="S746" s="359">
        <f>IF(O79&gt;0,ROUND(O79,0),0)</f>
        <v>53326</v>
      </c>
      <c r="T746" s="364">
        <f>IF(O80&gt;0,ROUND(O80,2),0)</f>
        <v>19.46</v>
      </c>
      <c r="U746" s="359"/>
      <c r="V746" s="362"/>
      <c r="W746" s="359"/>
      <c r="X746" s="359"/>
      <c r="Y746" s="359">
        <f t="shared" si="21"/>
        <v>5168911</v>
      </c>
      <c r="Z746" s="362"/>
      <c r="AA746" s="362"/>
      <c r="AB746" s="362"/>
      <c r="AC746" s="362"/>
      <c r="AD746" s="362"/>
      <c r="AE746" s="362"/>
      <c r="AF746" s="362"/>
      <c r="AG746" s="362"/>
      <c r="AH746" s="362"/>
      <c r="AI746" s="362"/>
      <c r="AJ746" s="362"/>
      <c r="AK746" s="362"/>
      <c r="AL746" s="362"/>
      <c r="AM746" s="362"/>
      <c r="AN746" s="362"/>
      <c r="AO746" s="362"/>
      <c r="AP746" s="362"/>
      <c r="AQ746" s="362"/>
      <c r="AR746" s="362"/>
      <c r="AS746" s="362"/>
      <c r="AT746" s="362"/>
      <c r="AU746" s="362"/>
      <c r="AV746" s="362"/>
      <c r="AW746" s="362"/>
      <c r="AX746" s="362"/>
      <c r="AY746" s="362"/>
      <c r="AZ746" s="362"/>
      <c r="BA746" s="362"/>
      <c r="BB746" s="362"/>
      <c r="BC746" s="362"/>
      <c r="BD746" s="362"/>
      <c r="BE746" s="362"/>
      <c r="BF746" s="362"/>
      <c r="BG746" s="362"/>
      <c r="BH746" s="362"/>
      <c r="BI746" s="362"/>
      <c r="BJ746" s="362"/>
      <c r="BK746" s="362"/>
      <c r="BL746" s="362"/>
      <c r="BM746" s="362"/>
      <c r="BN746" s="362"/>
      <c r="BO746" s="362"/>
      <c r="BP746" s="362"/>
      <c r="BQ746" s="362"/>
      <c r="BR746" s="362"/>
      <c r="BS746" s="362"/>
      <c r="BT746" s="362"/>
      <c r="BU746" s="362"/>
      <c r="BV746" s="362"/>
      <c r="BW746" s="362"/>
      <c r="BX746" s="362"/>
      <c r="BY746" s="362"/>
      <c r="BZ746" s="362"/>
      <c r="CA746" s="362"/>
      <c r="CB746" s="362"/>
      <c r="CC746" s="362"/>
      <c r="CD746" s="362"/>
      <c r="CE746" s="362"/>
    </row>
    <row r="747" spans="1:83" ht="12.65" customHeight="1">
      <c r="A747" s="363" t="str">
        <f>RIGHT($C$83,3)&amp;"*"&amp;RIGHT($C$82,4)&amp;"*"&amp;P$55&amp;"*"&amp;"A"</f>
        <v>197*2020*7020*A</v>
      </c>
      <c r="B747" s="359">
        <f>ROUND(P59,0)</f>
        <v>252863</v>
      </c>
      <c r="C747" s="364">
        <f>ROUND(P60,2)</f>
        <v>18.3</v>
      </c>
      <c r="D747" s="359">
        <f>ROUND(P61,0)</f>
        <v>1300874</v>
      </c>
      <c r="E747" s="359">
        <f>ROUND(P62,0)</f>
        <v>235283</v>
      </c>
      <c r="F747" s="359">
        <f>ROUND(P63,0)</f>
        <v>201754</v>
      </c>
      <c r="G747" s="359">
        <f>ROUND(P64,0)</f>
        <v>1222557</v>
      </c>
      <c r="H747" s="359">
        <f>ROUND(P65,0)</f>
        <v>0</v>
      </c>
      <c r="I747" s="359">
        <f>ROUND(P66,0)</f>
        <v>307696</v>
      </c>
      <c r="J747" s="359">
        <f>ROUND(P67,0)</f>
        <v>85754</v>
      </c>
      <c r="K747" s="359">
        <f>ROUND(P68,0)</f>
        <v>330384</v>
      </c>
      <c r="L747" s="359">
        <f>ROUND(P69,0)</f>
        <v>1004035</v>
      </c>
      <c r="M747" s="359">
        <f>ROUND(P70,0)</f>
        <v>0</v>
      </c>
      <c r="N747" s="359">
        <f>ROUND(P75,0)</f>
        <v>109074849</v>
      </c>
      <c r="O747" s="359">
        <f>ROUND(P73,0)</f>
        <v>51681044</v>
      </c>
      <c r="P747" s="359">
        <f>IF(P76&gt;0,ROUND(P76,0),0)</f>
        <v>2259</v>
      </c>
      <c r="Q747" s="359">
        <f>IF(P77&gt;0,ROUND(P77,0),0)</f>
        <v>0</v>
      </c>
      <c r="R747" s="359">
        <f>IF(P78&gt;0,ROUND(P78,0),0)</f>
        <v>576</v>
      </c>
      <c r="S747" s="359">
        <f>IF(P79&gt;0,ROUND(P79,0),0)</f>
        <v>76291</v>
      </c>
      <c r="T747" s="364">
        <f>IF(P80&gt;0,ROUND(P80,2),0)</f>
        <v>12.11</v>
      </c>
      <c r="U747" s="359"/>
      <c r="V747" s="362"/>
      <c r="W747" s="359"/>
      <c r="X747" s="359"/>
      <c r="Y747" s="359">
        <f t="shared" si="21"/>
        <v>5074061</v>
      </c>
      <c r="Z747" s="362"/>
      <c r="AA747" s="362"/>
      <c r="AB747" s="362"/>
      <c r="AC747" s="362"/>
      <c r="AD747" s="362"/>
      <c r="AE747" s="362"/>
      <c r="AF747" s="362"/>
      <c r="AG747" s="362"/>
      <c r="AH747" s="362"/>
      <c r="AI747" s="362"/>
      <c r="AJ747" s="362"/>
      <c r="AK747" s="362"/>
      <c r="AL747" s="362"/>
      <c r="AM747" s="362"/>
      <c r="AN747" s="362"/>
      <c r="AO747" s="362"/>
      <c r="AP747" s="362"/>
      <c r="AQ747" s="362"/>
      <c r="AR747" s="362"/>
      <c r="AS747" s="362"/>
      <c r="AT747" s="362"/>
      <c r="AU747" s="362"/>
      <c r="AV747" s="362"/>
      <c r="AW747" s="362"/>
      <c r="AX747" s="362"/>
      <c r="AY747" s="362"/>
      <c r="AZ747" s="362"/>
      <c r="BA747" s="362"/>
      <c r="BB747" s="362"/>
      <c r="BC747" s="362"/>
      <c r="BD747" s="362"/>
      <c r="BE747" s="362"/>
      <c r="BF747" s="362"/>
      <c r="BG747" s="362"/>
      <c r="BH747" s="362"/>
      <c r="BI747" s="362"/>
      <c r="BJ747" s="362"/>
      <c r="BK747" s="362"/>
      <c r="BL747" s="362"/>
      <c r="BM747" s="362"/>
      <c r="BN747" s="362"/>
      <c r="BO747" s="362"/>
      <c r="BP747" s="362"/>
      <c r="BQ747" s="362"/>
      <c r="BR747" s="362"/>
      <c r="BS747" s="362"/>
      <c r="BT747" s="362"/>
      <c r="BU747" s="362"/>
      <c r="BV747" s="362"/>
      <c r="BW747" s="362"/>
      <c r="BX747" s="362"/>
      <c r="BY747" s="362"/>
      <c r="BZ747" s="362"/>
      <c r="CA747" s="362"/>
      <c r="CB747" s="362"/>
      <c r="CC747" s="362"/>
      <c r="CD747" s="362"/>
      <c r="CE747" s="362"/>
    </row>
    <row r="748" spans="1:83" ht="12.65" customHeight="1">
      <c r="A748" s="363" t="str">
        <f>RIGHT($C$83,3)&amp;"*"&amp;RIGHT($C$82,4)&amp;"*"&amp;Q$55&amp;"*"&amp;"A"</f>
        <v>197*2020*7030*A</v>
      </c>
      <c r="B748" s="359">
        <f>ROUND(Q59,0)</f>
        <v>207782</v>
      </c>
      <c r="C748" s="364">
        <f>ROUND(Q60,2)</f>
        <v>5.27</v>
      </c>
      <c r="D748" s="359">
        <f>ROUND(Q61,0)</f>
        <v>740633</v>
      </c>
      <c r="E748" s="359">
        <f>ROUND(Q62,0)</f>
        <v>134671</v>
      </c>
      <c r="F748" s="359">
        <f>ROUND(Q63,0)</f>
        <v>0</v>
      </c>
      <c r="G748" s="359">
        <f>ROUND(Q64,0)</f>
        <v>19621</v>
      </c>
      <c r="H748" s="359">
        <f>ROUND(Q65,0)</f>
        <v>0</v>
      </c>
      <c r="I748" s="359">
        <f>ROUND(Q66,0)</f>
        <v>2</v>
      </c>
      <c r="J748" s="359">
        <f>ROUND(Q67,0)</f>
        <v>109024</v>
      </c>
      <c r="K748" s="359">
        <f>ROUND(Q68,0)</f>
        <v>0</v>
      </c>
      <c r="L748" s="359">
        <f>ROUND(Q69,0)</f>
        <v>24256</v>
      </c>
      <c r="M748" s="359">
        <f>ROUND(Q70,0)</f>
        <v>0</v>
      </c>
      <c r="N748" s="359">
        <f>ROUND(Q75,0)</f>
        <v>16806893</v>
      </c>
      <c r="O748" s="359">
        <f>ROUND(Q73,0)</f>
        <v>5548716</v>
      </c>
      <c r="P748" s="359">
        <f>IF(Q76&gt;0,ROUND(Q76,0),0)</f>
        <v>2872</v>
      </c>
      <c r="Q748" s="359">
        <f>IF(Q77&gt;0,ROUND(Q77,0),0)</f>
        <v>0</v>
      </c>
      <c r="R748" s="359">
        <f>IF(Q78&gt;0,ROUND(Q78,0),0)</f>
        <v>732</v>
      </c>
      <c r="S748" s="359">
        <f>IF(Q79&gt;0,ROUND(Q79,0),0)</f>
        <v>0</v>
      </c>
      <c r="T748" s="364">
        <f>IF(Q80&gt;0,ROUND(Q80,2),0)</f>
        <v>4.1100000000000003</v>
      </c>
      <c r="U748" s="359"/>
      <c r="V748" s="362"/>
      <c r="W748" s="359"/>
      <c r="X748" s="359"/>
      <c r="Y748" s="359">
        <f t="shared" si="21"/>
        <v>964991</v>
      </c>
      <c r="Z748" s="362"/>
      <c r="AA748" s="362"/>
      <c r="AB748" s="362"/>
      <c r="AC748" s="362"/>
      <c r="AD748" s="362"/>
      <c r="AE748" s="362"/>
      <c r="AF748" s="362"/>
      <c r="AG748" s="362"/>
      <c r="AH748" s="362"/>
      <c r="AI748" s="362"/>
      <c r="AJ748" s="362"/>
      <c r="AK748" s="362"/>
      <c r="AL748" s="362"/>
      <c r="AM748" s="362"/>
      <c r="AN748" s="362"/>
      <c r="AO748" s="362"/>
      <c r="AP748" s="362"/>
      <c r="AQ748" s="362"/>
      <c r="AR748" s="362"/>
      <c r="AS748" s="362"/>
      <c r="AT748" s="362"/>
      <c r="AU748" s="362"/>
      <c r="AV748" s="362"/>
      <c r="AW748" s="362"/>
      <c r="AX748" s="362"/>
      <c r="AY748" s="362"/>
      <c r="AZ748" s="362"/>
      <c r="BA748" s="362"/>
      <c r="BB748" s="362"/>
      <c r="BC748" s="362"/>
      <c r="BD748" s="362"/>
      <c r="BE748" s="362"/>
      <c r="BF748" s="362"/>
      <c r="BG748" s="362"/>
      <c r="BH748" s="362"/>
      <c r="BI748" s="362"/>
      <c r="BJ748" s="362"/>
      <c r="BK748" s="362"/>
      <c r="BL748" s="362"/>
      <c r="BM748" s="362"/>
      <c r="BN748" s="362"/>
      <c r="BO748" s="362"/>
      <c r="BP748" s="362"/>
      <c r="BQ748" s="362"/>
      <c r="BR748" s="362"/>
      <c r="BS748" s="362"/>
      <c r="BT748" s="362"/>
      <c r="BU748" s="362"/>
      <c r="BV748" s="362"/>
      <c r="BW748" s="362"/>
      <c r="BX748" s="362"/>
      <c r="BY748" s="362"/>
      <c r="BZ748" s="362"/>
      <c r="CA748" s="362"/>
      <c r="CB748" s="362"/>
      <c r="CC748" s="362"/>
      <c r="CD748" s="362"/>
      <c r="CE748" s="362"/>
    </row>
    <row r="749" spans="1:83" ht="12.65" customHeight="1">
      <c r="A749" s="363" t="str">
        <f>RIGHT($C$83,3)&amp;"*"&amp;RIGHT($C$82,4)&amp;"*"&amp;R$55&amp;"*"&amp;"A"</f>
        <v>197*2020*7040*A</v>
      </c>
      <c r="B749" s="359">
        <f>ROUND(R59,0)</f>
        <v>306348</v>
      </c>
      <c r="C749" s="364">
        <f>ROUND(R60,2)</f>
        <v>1.61</v>
      </c>
      <c r="D749" s="359">
        <f>ROUND(R61,0)</f>
        <v>136839</v>
      </c>
      <c r="E749" s="359">
        <f>ROUND(R62,0)</f>
        <v>24138</v>
      </c>
      <c r="F749" s="359">
        <f>ROUND(R63,0)</f>
        <v>1249867</v>
      </c>
      <c r="G749" s="359">
        <f>ROUND(R64,0)</f>
        <v>63289</v>
      </c>
      <c r="H749" s="359">
        <f>ROUND(R65,0)</f>
        <v>0</v>
      </c>
      <c r="I749" s="359">
        <f>ROUND(R66,0)</f>
        <v>13</v>
      </c>
      <c r="J749" s="359">
        <f>ROUND(R67,0)</f>
        <v>13021</v>
      </c>
      <c r="K749" s="359">
        <f>ROUND(R68,0)</f>
        <v>123809</v>
      </c>
      <c r="L749" s="359">
        <f>ROUND(R69,0)</f>
        <v>17751</v>
      </c>
      <c r="M749" s="359">
        <f>ROUND(R70,0)</f>
        <v>0</v>
      </c>
      <c r="N749" s="359">
        <f>ROUND(R75,0)</f>
        <v>10899257</v>
      </c>
      <c r="O749" s="359">
        <f>ROUND(R73,0)</f>
        <v>3935103</v>
      </c>
      <c r="P749" s="359">
        <f>IF(R76&gt;0,ROUND(R76,0),0)</f>
        <v>343</v>
      </c>
      <c r="Q749" s="359">
        <f>IF(R77&gt;0,ROUND(R77,0),0)</f>
        <v>0</v>
      </c>
      <c r="R749" s="359">
        <f>IF(R78&gt;0,ROUND(R78,0),0)</f>
        <v>87</v>
      </c>
      <c r="S749" s="359">
        <f>IF(R79&gt;0,ROUND(R79,0),0)</f>
        <v>0</v>
      </c>
      <c r="T749" s="364">
        <f>IF(R80&gt;0,ROUND(R80,2),0)</f>
        <v>1.29</v>
      </c>
      <c r="U749" s="359"/>
      <c r="V749" s="362"/>
      <c r="W749" s="359"/>
      <c r="X749" s="359"/>
      <c r="Y749" s="359">
        <f t="shared" si="21"/>
        <v>540594</v>
      </c>
      <c r="Z749" s="362"/>
      <c r="AA749" s="362"/>
      <c r="AB749" s="362"/>
      <c r="AC749" s="362"/>
      <c r="AD749" s="362"/>
      <c r="AE749" s="362"/>
      <c r="AF749" s="362"/>
      <c r="AG749" s="362"/>
      <c r="AH749" s="362"/>
      <c r="AI749" s="362"/>
      <c r="AJ749" s="362"/>
      <c r="AK749" s="362"/>
      <c r="AL749" s="362"/>
      <c r="AM749" s="362"/>
      <c r="AN749" s="362"/>
      <c r="AO749" s="362"/>
      <c r="AP749" s="362"/>
      <c r="AQ749" s="362"/>
      <c r="AR749" s="362"/>
      <c r="AS749" s="362"/>
      <c r="AT749" s="362"/>
      <c r="AU749" s="362"/>
      <c r="AV749" s="362"/>
      <c r="AW749" s="362"/>
      <c r="AX749" s="362"/>
      <c r="AY749" s="362"/>
      <c r="AZ749" s="362"/>
      <c r="BA749" s="362"/>
      <c r="BB749" s="362"/>
      <c r="BC749" s="362"/>
      <c r="BD749" s="362"/>
      <c r="BE749" s="362"/>
      <c r="BF749" s="362"/>
      <c r="BG749" s="362"/>
      <c r="BH749" s="362"/>
      <c r="BI749" s="362"/>
      <c r="BJ749" s="362"/>
      <c r="BK749" s="362"/>
      <c r="BL749" s="362"/>
      <c r="BM749" s="362"/>
      <c r="BN749" s="362"/>
      <c r="BO749" s="362"/>
      <c r="BP749" s="362"/>
      <c r="BQ749" s="362"/>
      <c r="BR749" s="362"/>
      <c r="BS749" s="362"/>
      <c r="BT749" s="362"/>
      <c r="BU749" s="362"/>
      <c r="BV749" s="362"/>
      <c r="BW749" s="362"/>
      <c r="BX749" s="362"/>
      <c r="BY749" s="362"/>
      <c r="BZ749" s="362"/>
      <c r="CA749" s="362"/>
      <c r="CB749" s="362"/>
      <c r="CC749" s="362"/>
      <c r="CD749" s="362"/>
      <c r="CE749" s="362"/>
    </row>
    <row r="750" spans="1:83" ht="12.65" customHeight="1">
      <c r="A750" s="363" t="str">
        <f>RIGHT($C$83,3)&amp;"*"&amp;RIGHT($C$82,4)&amp;"*"&amp;S$55&amp;"*"&amp;"A"</f>
        <v>197*2020*7050*A</v>
      </c>
      <c r="B750" s="359"/>
      <c r="C750" s="364">
        <f>ROUND(S60,2)</f>
        <v>12.09</v>
      </c>
      <c r="D750" s="359">
        <f>ROUND(S61,0)</f>
        <v>386098</v>
      </c>
      <c r="E750" s="359">
        <f>ROUND(S62,0)</f>
        <v>69773</v>
      </c>
      <c r="F750" s="359">
        <f>ROUND(S63,0)</f>
        <v>0</v>
      </c>
      <c r="G750" s="359">
        <f>ROUND(S64,0)</f>
        <v>335893</v>
      </c>
      <c r="H750" s="359">
        <f>ROUND(S65,0)</f>
        <v>26309</v>
      </c>
      <c r="I750" s="359">
        <f>ROUND(S66,0)</f>
        <v>533425</v>
      </c>
      <c r="J750" s="359">
        <f>ROUND(S67,0)</f>
        <v>109593</v>
      </c>
      <c r="K750" s="359">
        <f>ROUND(S68,0)</f>
        <v>813264</v>
      </c>
      <c r="L750" s="359">
        <f>ROUND(S69,0)</f>
        <v>1225641</v>
      </c>
      <c r="M750" s="359">
        <f>ROUND(S70,0)</f>
        <v>0</v>
      </c>
      <c r="N750" s="359">
        <f>ROUND(S75,0)</f>
        <v>0</v>
      </c>
      <c r="O750" s="359">
        <f>ROUND(S73,0)</f>
        <v>0</v>
      </c>
      <c r="P750" s="359">
        <f>IF(S76&gt;0,ROUND(S76,0),0)</f>
        <v>2887</v>
      </c>
      <c r="Q750" s="359">
        <f>IF(S77&gt;0,ROUND(S77,0),0)</f>
        <v>0</v>
      </c>
      <c r="R750" s="359">
        <f>IF(S78&gt;0,ROUND(S78,0),0)</f>
        <v>736</v>
      </c>
      <c r="S750" s="359">
        <f>IF(S79&gt;0,ROUND(S79,0),0)</f>
        <v>0</v>
      </c>
      <c r="T750" s="364">
        <f>IF(S80&gt;0,ROUND(S80,2),0)</f>
        <v>5.96</v>
      </c>
      <c r="U750" s="359"/>
      <c r="V750" s="362"/>
      <c r="W750" s="359"/>
      <c r="X750" s="359"/>
      <c r="Y750" s="359">
        <f t="shared" si="21"/>
        <v>1338033</v>
      </c>
      <c r="Z750" s="362"/>
      <c r="AA750" s="362"/>
      <c r="AB750" s="362"/>
      <c r="AC750" s="362"/>
      <c r="AD750" s="362"/>
      <c r="AE750" s="362"/>
      <c r="AF750" s="362"/>
      <c r="AG750" s="362"/>
      <c r="AH750" s="362"/>
      <c r="AI750" s="362"/>
      <c r="AJ750" s="362"/>
      <c r="AK750" s="362"/>
      <c r="AL750" s="362"/>
      <c r="AM750" s="362"/>
      <c r="AN750" s="362"/>
      <c r="AO750" s="362"/>
      <c r="AP750" s="362"/>
      <c r="AQ750" s="362"/>
      <c r="AR750" s="362"/>
      <c r="AS750" s="362"/>
      <c r="AT750" s="362"/>
      <c r="AU750" s="362"/>
      <c r="AV750" s="362"/>
      <c r="AW750" s="362"/>
      <c r="AX750" s="362"/>
      <c r="AY750" s="362"/>
      <c r="AZ750" s="362"/>
      <c r="BA750" s="362"/>
      <c r="BB750" s="362"/>
      <c r="BC750" s="362"/>
      <c r="BD750" s="362"/>
      <c r="BE750" s="362"/>
      <c r="BF750" s="362"/>
      <c r="BG750" s="362"/>
      <c r="BH750" s="362"/>
      <c r="BI750" s="362"/>
      <c r="BJ750" s="362"/>
      <c r="BK750" s="362"/>
      <c r="BL750" s="362"/>
      <c r="BM750" s="362"/>
      <c r="BN750" s="362"/>
      <c r="BO750" s="362"/>
      <c r="BP750" s="362"/>
      <c r="BQ750" s="362"/>
      <c r="BR750" s="362"/>
      <c r="BS750" s="362"/>
      <c r="BT750" s="362"/>
      <c r="BU750" s="362"/>
      <c r="BV750" s="362"/>
      <c r="BW750" s="362"/>
      <c r="BX750" s="362"/>
      <c r="BY750" s="362"/>
      <c r="BZ750" s="362"/>
      <c r="CA750" s="362"/>
      <c r="CB750" s="362"/>
      <c r="CC750" s="362"/>
      <c r="CD750" s="362"/>
      <c r="CE750" s="362"/>
    </row>
    <row r="751" spans="1:83" ht="12.65" customHeight="1">
      <c r="A751" s="363" t="str">
        <f>RIGHT($C$83,3)&amp;"*"&amp;RIGHT($C$82,4)&amp;"*"&amp;T$55&amp;"*"&amp;"A"</f>
        <v>197*2020*7060*A</v>
      </c>
      <c r="B751" s="359"/>
      <c r="C751" s="364">
        <f>ROUND(T60,2)</f>
        <v>0</v>
      </c>
      <c r="D751" s="359">
        <f>ROUND(T61,0)</f>
        <v>0</v>
      </c>
      <c r="E751" s="359">
        <f>ROUND(T62,0)</f>
        <v>0</v>
      </c>
      <c r="F751" s="359">
        <f>ROUND(T63,0)</f>
        <v>0</v>
      </c>
      <c r="G751" s="359">
        <f>ROUND(T64,0)</f>
        <v>0</v>
      </c>
      <c r="H751" s="359">
        <f>ROUND(T65,0)</f>
        <v>0</v>
      </c>
      <c r="I751" s="359">
        <f>ROUND(T66,0)</f>
        <v>0</v>
      </c>
      <c r="J751" s="359">
        <f>ROUND(T67,0)</f>
        <v>0</v>
      </c>
      <c r="K751" s="359">
        <f>ROUND(T68,0)</f>
        <v>0</v>
      </c>
      <c r="L751" s="359">
        <f>ROUND(T69,0)</f>
        <v>0</v>
      </c>
      <c r="M751" s="359">
        <f>ROUND(T70,0)</f>
        <v>0</v>
      </c>
      <c r="N751" s="359">
        <f>ROUND(T75,0)</f>
        <v>0</v>
      </c>
      <c r="O751" s="359">
        <f>ROUND(T73,0)</f>
        <v>0</v>
      </c>
      <c r="P751" s="359">
        <f>IF(T76&gt;0,ROUND(T76,0),0)</f>
        <v>0</v>
      </c>
      <c r="Q751" s="359">
        <f>IF(T77&gt;0,ROUND(T77,0),0)</f>
        <v>0</v>
      </c>
      <c r="R751" s="359">
        <f>IF(T78&gt;0,ROUND(T78,0),0)</f>
        <v>0</v>
      </c>
      <c r="S751" s="359">
        <f>IF(T79&gt;0,ROUND(T79,0),0)</f>
        <v>0</v>
      </c>
      <c r="T751" s="364">
        <f>IF(T80&gt;0,ROUND(T80,2),0)</f>
        <v>0</v>
      </c>
      <c r="U751" s="359"/>
      <c r="V751" s="362"/>
      <c r="W751" s="359"/>
      <c r="X751" s="359"/>
      <c r="Y751" s="359">
        <f t="shared" si="21"/>
        <v>0</v>
      </c>
      <c r="Z751" s="362"/>
      <c r="AA751" s="362"/>
      <c r="AB751" s="362"/>
      <c r="AC751" s="362"/>
      <c r="AD751" s="362"/>
      <c r="AE751" s="362"/>
      <c r="AF751" s="362"/>
      <c r="AG751" s="362"/>
      <c r="AH751" s="362"/>
      <c r="AI751" s="362"/>
      <c r="AJ751" s="362"/>
      <c r="AK751" s="362"/>
      <c r="AL751" s="362"/>
      <c r="AM751" s="362"/>
      <c r="AN751" s="362"/>
      <c r="AO751" s="362"/>
      <c r="AP751" s="362"/>
      <c r="AQ751" s="362"/>
      <c r="AR751" s="362"/>
      <c r="AS751" s="362"/>
      <c r="AT751" s="362"/>
      <c r="AU751" s="362"/>
      <c r="AV751" s="362"/>
      <c r="AW751" s="362"/>
      <c r="AX751" s="362"/>
      <c r="AY751" s="362"/>
      <c r="AZ751" s="362"/>
      <c r="BA751" s="362"/>
      <c r="BB751" s="362"/>
      <c r="BC751" s="362"/>
      <c r="BD751" s="362"/>
      <c r="BE751" s="362"/>
      <c r="BF751" s="362"/>
      <c r="BG751" s="362"/>
      <c r="BH751" s="362"/>
      <c r="BI751" s="362"/>
      <c r="BJ751" s="362"/>
      <c r="BK751" s="362"/>
      <c r="BL751" s="362"/>
      <c r="BM751" s="362"/>
      <c r="BN751" s="362"/>
      <c r="BO751" s="362"/>
      <c r="BP751" s="362"/>
      <c r="BQ751" s="362"/>
      <c r="BR751" s="362"/>
      <c r="BS751" s="362"/>
      <c r="BT751" s="362"/>
      <c r="BU751" s="362"/>
      <c r="BV751" s="362"/>
      <c r="BW751" s="362"/>
      <c r="BX751" s="362"/>
      <c r="BY751" s="362"/>
      <c r="BZ751" s="362"/>
      <c r="CA751" s="362"/>
      <c r="CB751" s="362"/>
      <c r="CC751" s="362"/>
      <c r="CD751" s="362"/>
      <c r="CE751" s="362"/>
    </row>
    <row r="752" spans="1:83" ht="12.65" customHeight="1">
      <c r="A752" s="363" t="str">
        <f>RIGHT($C$83,3)&amp;"*"&amp;RIGHT($C$82,4)&amp;"*"&amp;U$55&amp;"*"&amp;"A"</f>
        <v>197*2020*7070*A</v>
      </c>
      <c r="B752" s="359">
        <f>ROUND(U59,0)</f>
        <v>209106</v>
      </c>
      <c r="C752" s="364">
        <f>ROUND(U60,2)</f>
        <v>19.37</v>
      </c>
      <c r="D752" s="359">
        <f>ROUND(U61,0)</f>
        <v>1489093</v>
      </c>
      <c r="E752" s="359">
        <f>ROUND(U62,0)</f>
        <v>269338</v>
      </c>
      <c r="F752" s="359">
        <f>ROUND(U63,0)</f>
        <v>19107</v>
      </c>
      <c r="G752" s="359">
        <f>ROUND(U64,0)</f>
        <v>1120469</v>
      </c>
      <c r="H752" s="359">
        <f>ROUND(U65,0)</f>
        <v>0</v>
      </c>
      <c r="I752" s="359">
        <f>ROUND(U66,0)</f>
        <v>501063</v>
      </c>
      <c r="J752" s="359">
        <f>ROUND(U67,0)</f>
        <v>104165</v>
      </c>
      <c r="K752" s="359">
        <f>ROUND(U68,0)</f>
        <v>167418</v>
      </c>
      <c r="L752" s="359">
        <f>ROUND(U69,0)</f>
        <v>143886</v>
      </c>
      <c r="M752" s="359">
        <f>ROUND(U70,0)</f>
        <v>0</v>
      </c>
      <c r="N752" s="359">
        <f>ROUND(U75,0)</f>
        <v>41898210</v>
      </c>
      <c r="O752" s="359">
        <f>ROUND(U73,0)</f>
        <v>21110852</v>
      </c>
      <c r="P752" s="359">
        <f>IF(U76&gt;0,ROUND(U76,0),0)</f>
        <v>2744</v>
      </c>
      <c r="Q752" s="359">
        <f>IF(U77&gt;0,ROUND(U77,0),0)</f>
        <v>0</v>
      </c>
      <c r="R752" s="359">
        <f>IF(U78&gt;0,ROUND(U78,0),0)</f>
        <v>699</v>
      </c>
      <c r="S752" s="359">
        <f>IF(U79&gt;0,ROUND(U79,0),0)</f>
        <v>2404</v>
      </c>
      <c r="T752" s="364">
        <f>IF(U80&gt;0,ROUND(U80,2),0)</f>
        <v>17.350000000000001</v>
      </c>
      <c r="U752" s="359"/>
      <c r="V752" s="362"/>
      <c r="W752" s="359"/>
      <c r="X752" s="359"/>
      <c r="Y752" s="359">
        <f t="shared" si="21"/>
        <v>3517076</v>
      </c>
      <c r="Z752" s="362"/>
      <c r="AA752" s="362"/>
      <c r="AB752" s="362"/>
      <c r="AC752" s="362"/>
      <c r="AD752" s="362"/>
      <c r="AE752" s="362"/>
      <c r="AF752" s="362"/>
      <c r="AG752" s="362"/>
      <c r="AH752" s="362"/>
      <c r="AI752" s="362"/>
      <c r="AJ752" s="362"/>
      <c r="AK752" s="362"/>
      <c r="AL752" s="362"/>
      <c r="AM752" s="362"/>
      <c r="AN752" s="362"/>
      <c r="AO752" s="362"/>
      <c r="AP752" s="362"/>
      <c r="AQ752" s="362"/>
      <c r="AR752" s="362"/>
      <c r="AS752" s="362"/>
      <c r="AT752" s="362"/>
      <c r="AU752" s="362"/>
      <c r="AV752" s="362"/>
      <c r="AW752" s="362"/>
      <c r="AX752" s="362"/>
      <c r="AY752" s="362"/>
      <c r="AZ752" s="362"/>
      <c r="BA752" s="362"/>
      <c r="BB752" s="362"/>
      <c r="BC752" s="362"/>
      <c r="BD752" s="362"/>
      <c r="BE752" s="362"/>
      <c r="BF752" s="362"/>
      <c r="BG752" s="362"/>
      <c r="BH752" s="362"/>
      <c r="BI752" s="362"/>
      <c r="BJ752" s="362"/>
      <c r="BK752" s="362"/>
      <c r="BL752" s="362"/>
      <c r="BM752" s="362"/>
      <c r="BN752" s="362"/>
      <c r="BO752" s="362"/>
      <c r="BP752" s="362"/>
      <c r="BQ752" s="362"/>
      <c r="BR752" s="362"/>
      <c r="BS752" s="362"/>
      <c r="BT752" s="362"/>
      <c r="BU752" s="362"/>
      <c r="BV752" s="362"/>
      <c r="BW752" s="362"/>
      <c r="BX752" s="362"/>
      <c r="BY752" s="362"/>
      <c r="BZ752" s="362"/>
      <c r="CA752" s="362"/>
      <c r="CB752" s="362"/>
      <c r="CC752" s="362"/>
      <c r="CD752" s="362"/>
      <c r="CE752" s="362"/>
    </row>
    <row r="753" spans="1:83" ht="12.65" customHeight="1">
      <c r="A753" s="363" t="str">
        <f>RIGHT($C$83,3)&amp;"*"&amp;RIGHT($C$82,4)&amp;"*"&amp;V$55&amp;"*"&amp;"A"</f>
        <v>197*2020*7110*A</v>
      </c>
      <c r="B753" s="359">
        <f>ROUND(V59,0)</f>
        <v>0</v>
      </c>
      <c r="C753" s="364">
        <f>ROUND(V60,2)</f>
        <v>0</v>
      </c>
      <c r="D753" s="359">
        <f>ROUND(V61,0)</f>
        <v>0</v>
      </c>
      <c r="E753" s="359">
        <f>ROUND(V62,0)</f>
        <v>0</v>
      </c>
      <c r="F753" s="359">
        <f>ROUND(V63,0)</f>
        <v>0</v>
      </c>
      <c r="G753" s="359">
        <f>ROUND(V64,0)</f>
        <v>0</v>
      </c>
      <c r="H753" s="359">
        <f>ROUND(V65,0)</f>
        <v>0</v>
      </c>
      <c r="I753" s="359">
        <f>ROUND(V66,0)</f>
        <v>0</v>
      </c>
      <c r="J753" s="359">
        <f>ROUND(V67,0)</f>
        <v>0</v>
      </c>
      <c r="K753" s="359">
        <f>ROUND(V68,0)</f>
        <v>0</v>
      </c>
      <c r="L753" s="359">
        <f>ROUND(V69,0)</f>
        <v>0</v>
      </c>
      <c r="M753" s="359">
        <f>ROUND(V70,0)</f>
        <v>0</v>
      </c>
      <c r="N753" s="359">
        <f>ROUND(V75,0)</f>
        <v>0</v>
      </c>
      <c r="O753" s="359">
        <f>ROUND(V73,0)</f>
        <v>0</v>
      </c>
      <c r="P753" s="359">
        <f>IF(V76&gt;0,ROUND(V76,0),0)</f>
        <v>0</v>
      </c>
      <c r="Q753" s="359">
        <f>IF(V77&gt;0,ROUND(V77,0),0)</f>
        <v>0</v>
      </c>
      <c r="R753" s="359">
        <f>IF(V78&gt;0,ROUND(V78,0),0)</f>
        <v>0</v>
      </c>
      <c r="S753" s="359">
        <f>IF(V79&gt;0,ROUND(V79,0),0)</f>
        <v>0</v>
      </c>
      <c r="T753" s="364">
        <f>IF(V80&gt;0,ROUND(V80,2),0)</f>
        <v>0</v>
      </c>
      <c r="U753" s="359"/>
      <c r="V753" s="362"/>
      <c r="W753" s="359"/>
      <c r="X753" s="359"/>
      <c r="Y753" s="359">
        <f t="shared" si="21"/>
        <v>0</v>
      </c>
      <c r="Z753" s="362"/>
      <c r="AA753" s="362"/>
      <c r="AB753" s="362"/>
      <c r="AC753" s="362"/>
      <c r="AD753" s="362"/>
      <c r="AE753" s="362"/>
      <c r="AF753" s="362"/>
      <c r="AG753" s="362"/>
      <c r="AH753" s="362"/>
      <c r="AI753" s="362"/>
      <c r="AJ753" s="362"/>
      <c r="AK753" s="362"/>
      <c r="AL753" s="362"/>
      <c r="AM753" s="362"/>
      <c r="AN753" s="362"/>
      <c r="AO753" s="362"/>
      <c r="AP753" s="362"/>
      <c r="AQ753" s="362"/>
      <c r="AR753" s="362"/>
      <c r="AS753" s="362"/>
      <c r="AT753" s="362"/>
      <c r="AU753" s="362"/>
      <c r="AV753" s="362"/>
      <c r="AW753" s="362"/>
      <c r="AX753" s="362"/>
      <c r="AY753" s="362"/>
      <c r="AZ753" s="362"/>
      <c r="BA753" s="362"/>
      <c r="BB753" s="362"/>
      <c r="BC753" s="362"/>
      <c r="BD753" s="362"/>
      <c r="BE753" s="362"/>
      <c r="BF753" s="362"/>
      <c r="BG753" s="362"/>
      <c r="BH753" s="362"/>
      <c r="BI753" s="362"/>
      <c r="BJ753" s="362"/>
      <c r="BK753" s="362"/>
      <c r="BL753" s="362"/>
      <c r="BM753" s="362"/>
      <c r="BN753" s="362"/>
      <c r="BO753" s="362"/>
      <c r="BP753" s="362"/>
      <c r="BQ753" s="362"/>
      <c r="BR753" s="362"/>
      <c r="BS753" s="362"/>
      <c r="BT753" s="362"/>
      <c r="BU753" s="362"/>
      <c r="BV753" s="362"/>
      <c r="BW753" s="362"/>
      <c r="BX753" s="362"/>
      <c r="BY753" s="362"/>
      <c r="BZ753" s="362"/>
      <c r="CA753" s="362"/>
      <c r="CB753" s="362"/>
      <c r="CC753" s="362"/>
      <c r="CD753" s="362"/>
      <c r="CE753" s="362"/>
    </row>
    <row r="754" spans="1:83" ht="12.65" customHeight="1">
      <c r="A754" s="363" t="str">
        <f>RIGHT($C$83,3)&amp;"*"&amp;RIGHT($C$82,4)&amp;"*"&amp;W$55&amp;"*"&amp;"A"</f>
        <v>197*2020*7120*A</v>
      </c>
      <c r="B754" s="359">
        <f>ROUND(W59,0)</f>
        <v>812</v>
      </c>
      <c r="C754" s="364">
        <f>ROUND(W60,2)</f>
        <v>1.22</v>
      </c>
      <c r="D754" s="359">
        <f>ROUND(W61,0)</f>
        <v>152918</v>
      </c>
      <c r="E754" s="359">
        <f>ROUND(W62,0)</f>
        <v>27279</v>
      </c>
      <c r="F754" s="359">
        <f>ROUND(W63,0)</f>
        <v>0</v>
      </c>
      <c r="G754" s="359">
        <f>ROUND(W64,0)</f>
        <v>4408</v>
      </c>
      <c r="H754" s="359">
        <f>ROUND(W65,0)</f>
        <v>0</v>
      </c>
      <c r="I754" s="359">
        <f>ROUND(W66,0)</f>
        <v>0</v>
      </c>
      <c r="J754" s="359">
        <f>ROUND(W67,0)</f>
        <v>33482</v>
      </c>
      <c r="K754" s="359">
        <f>ROUND(W68,0)</f>
        <v>0</v>
      </c>
      <c r="L754" s="359">
        <f>ROUND(W69,0)</f>
        <v>95098</v>
      </c>
      <c r="M754" s="359">
        <f>ROUND(W70,0)</f>
        <v>0</v>
      </c>
      <c r="N754" s="359">
        <f>ROUND(W75,0)</f>
        <v>5425306</v>
      </c>
      <c r="O754" s="359">
        <f>ROUND(W73,0)</f>
        <v>1706816</v>
      </c>
      <c r="P754" s="359">
        <f>IF(W76&gt;0,ROUND(W76,0),0)</f>
        <v>882</v>
      </c>
      <c r="Q754" s="359">
        <f>IF(W77&gt;0,ROUND(W77,0),0)</f>
        <v>0</v>
      </c>
      <c r="R754" s="359">
        <f>IF(W78&gt;0,ROUND(W78,0),0)</f>
        <v>225</v>
      </c>
      <c r="S754" s="359">
        <f>IF(W79&gt;0,ROUND(W79,0),0)</f>
        <v>3934</v>
      </c>
      <c r="T754" s="364">
        <f>IF(W80&gt;0,ROUND(W80,2),0)</f>
        <v>1.08</v>
      </c>
      <c r="U754" s="359"/>
      <c r="V754" s="362"/>
      <c r="W754" s="359"/>
      <c r="X754" s="359"/>
      <c r="Y754" s="359">
        <f t="shared" si="21"/>
        <v>297092</v>
      </c>
      <c r="Z754" s="362"/>
      <c r="AA754" s="362"/>
      <c r="AB754" s="362"/>
      <c r="AC754" s="362"/>
      <c r="AD754" s="362"/>
      <c r="AE754" s="362"/>
      <c r="AF754" s="362"/>
      <c r="AG754" s="362"/>
      <c r="AH754" s="362"/>
      <c r="AI754" s="362"/>
      <c r="AJ754" s="362"/>
      <c r="AK754" s="362"/>
      <c r="AL754" s="362"/>
      <c r="AM754" s="362"/>
      <c r="AN754" s="362"/>
      <c r="AO754" s="362"/>
      <c r="AP754" s="362"/>
      <c r="AQ754" s="362"/>
      <c r="AR754" s="362"/>
      <c r="AS754" s="362"/>
      <c r="AT754" s="362"/>
      <c r="AU754" s="362"/>
      <c r="AV754" s="362"/>
      <c r="AW754" s="362"/>
      <c r="AX754" s="362"/>
      <c r="AY754" s="362"/>
      <c r="AZ754" s="362"/>
      <c r="BA754" s="362"/>
      <c r="BB754" s="362"/>
      <c r="BC754" s="362"/>
      <c r="BD754" s="362"/>
      <c r="BE754" s="362"/>
      <c r="BF754" s="362"/>
      <c r="BG754" s="362"/>
      <c r="BH754" s="362"/>
      <c r="BI754" s="362"/>
      <c r="BJ754" s="362"/>
      <c r="BK754" s="362"/>
      <c r="BL754" s="362"/>
      <c r="BM754" s="362"/>
      <c r="BN754" s="362"/>
      <c r="BO754" s="362"/>
      <c r="BP754" s="362"/>
      <c r="BQ754" s="362"/>
      <c r="BR754" s="362"/>
      <c r="BS754" s="362"/>
      <c r="BT754" s="362"/>
      <c r="BU754" s="362"/>
      <c r="BV754" s="362"/>
      <c r="BW754" s="362"/>
      <c r="BX754" s="362"/>
      <c r="BY754" s="362"/>
      <c r="BZ754" s="362"/>
      <c r="CA754" s="362"/>
      <c r="CB754" s="362"/>
      <c r="CC754" s="362"/>
      <c r="CD754" s="362"/>
      <c r="CE754" s="362"/>
    </row>
    <row r="755" spans="1:83" ht="12.65" customHeight="1">
      <c r="A755" s="363" t="str">
        <f>RIGHT($C$83,3)&amp;"*"&amp;RIGHT($C$82,4)&amp;"*"&amp;X$55&amp;"*"&amp;"A"</f>
        <v>197*2020*7130*A</v>
      </c>
      <c r="B755" s="359">
        <f>ROUND(X59,0)</f>
        <v>15832</v>
      </c>
      <c r="C755" s="364">
        <f>ROUND(X60,2)</f>
        <v>4.79</v>
      </c>
      <c r="D755" s="359">
        <f>ROUND(X61,0)</f>
        <v>458413</v>
      </c>
      <c r="E755" s="359">
        <f>ROUND(X62,0)</f>
        <v>82934</v>
      </c>
      <c r="F755" s="359">
        <f>ROUND(X63,0)</f>
        <v>0</v>
      </c>
      <c r="G755" s="359">
        <f>ROUND(X64,0)</f>
        <v>56763</v>
      </c>
      <c r="H755" s="359">
        <f>ROUND(X65,0)</f>
        <v>8530</v>
      </c>
      <c r="I755" s="359">
        <f>ROUND(X66,0)</f>
        <v>476880</v>
      </c>
      <c r="J755" s="359">
        <f>ROUND(X67,0)</f>
        <v>227159</v>
      </c>
      <c r="K755" s="359">
        <f>ROUND(X68,0)</f>
        <v>625257</v>
      </c>
      <c r="L755" s="359">
        <f>ROUND(X69,0)</f>
        <v>283319</v>
      </c>
      <c r="M755" s="359">
        <f>ROUND(X70,0)</f>
        <v>0</v>
      </c>
      <c r="N755" s="359">
        <f>ROUND(X75,0)</f>
        <v>74902467</v>
      </c>
      <c r="O755" s="359">
        <f>ROUND(X73,0)</f>
        <v>11121100</v>
      </c>
      <c r="P755" s="359">
        <f>IF(X76&gt;0,ROUND(X76,0),0)</f>
        <v>5984</v>
      </c>
      <c r="Q755" s="359">
        <f>IF(X77&gt;0,ROUND(X77,0),0)</f>
        <v>0</v>
      </c>
      <c r="R755" s="359">
        <f>IF(X78&gt;0,ROUND(X78,0),0)</f>
        <v>1525</v>
      </c>
      <c r="S755" s="359">
        <f>IF(X79&gt;0,ROUND(X79,0),0)</f>
        <v>5910</v>
      </c>
      <c r="T755" s="364">
        <f>IF(X80&gt;0,ROUND(X80,2),0)</f>
        <v>4.7300000000000004</v>
      </c>
      <c r="U755" s="359"/>
      <c r="V755" s="362"/>
      <c r="W755" s="359"/>
      <c r="X755" s="359"/>
      <c r="Y755" s="359">
        <f t="shared" si="21"/>
        <v>2852717</v>
      </c>
      <c r="Z755" s="362"/>
      <c r="AA755" s="362"/>
      <c r="AB755" s="362"/>
      <c r="AC755" s="362"/>
      <c r="AD755" s="362"/>
      <c r="AE755" s="362"/>
      <c r="AF755" s="362"/>
      <c r="AG755" s="362"/>
      <c r="AH755" s="362"/>
      <c r="AI755" s="362"/>
      <c r="AJ755" s="362"/>
      <c r="AK755" s="362"/>
      <c r="AL755" s="362"/>
      <c r="AM755" s="362"/>
      <c r="AN755" s="362"/>
      <c r="AO755" s="362"/>
      <c r="AP755" s="362"/>
      <c r="AQ755" s="362"/>
      <c r="AR755" s="362"/>
      <c r="AS755" s="362"/>
      <c r="AT755" s="362"/>
      <c r="AU755" s="362"/>
      <c r="AV755" s="362"/>
      <c r="AW755" s="362"/>
      <c r="AX755" s="362"/>
      <c r="AY755" s="362"/>
      <c r="AZ755" s="362"/>
      <c r="BA755" s="362"/>
      <c r="BB755" s="362"/>
      <c r="BC755" s="362"/>
      <c r="BD755" s="362"/>
      <c r="BE755" s="362"/>
      <c r="BF755" s="362"/>
      <c r="BG755" s="362"/>
      <c r="BH755" s="362"/>
      <c r="BI755" s="362"/>
      <c r="BJ755" s="362"/>
      <c r="BK755" s="362"/>
      <c r="BL755" s="362"/>
      <c r="BM755" s="362"/>
      <c r="BN755" s="362"/>
      <c r="BO755" s="362"/>
      <c r="BP755" s="362"/>
      <c r="BQ755" s="362"/>
      <c r="BR755" s="362"/>
      <c r="BS755" s="362"/>
      <c r="BT755" s="362"/>
      <c r="BU755" s="362"/>
      <c r="BV755" s="362"/>
      <c r="BW755" s="362"/>
      <c r="BX755" s="362"/>
      <c r="BY755" s="362"/>
      <c r="BZ755" s="362"/>
      <c r="CA755" s="362"/>
      <c r="CB755" s="362"/>
      <c r="CC755" s="362"/>
      <c r="CD755" s="362"/>
      <c r="CE755" s="362"/>
    </row>
    <row r="756" spans="1:83" ht="12.65" customHeight="1">
      <c r="A756" s="363" t="str">
        <f>RIGHT($C$83,3)&amp;"*"&amp;RIGHT($C$82,4)&amp;"*"&amp;Y$55&amp;"*"&amp;"A"</f>
        <v>197*2020*7140*A</v>
      </c>
      <c r="B756" s="359">
        <f>ROUND(Y59,0)</f>
        <v>25113</v>
      </c>
      <c r="C756" s="364">
        <f>ROUND(Y60,2)</f>
        <v>28.33</v>
      </c>
      <c r="D756" s="359">
        <f>ROUND(Y61,0)</f>
        <v>2905878</v>
      </c>
      <c r="E756" s="359">
        <f>ROUND(Y62,0)</f>
        <v>516111</v>
      </c>
      <c r="F756" s="359">
        <f>ROUND(Y63,0)</f>
        <v>254025</v>
      </c>
      <c r="G756" s="359">
        <f>ROUND(Y64,0)</f>
        <v>84967</v>
      </c>
      <c r="H756" s="359">
        <f>ROUND(Y65,0)</f>
        <v>73</v>
      </c>
      <c r="I756" s="359">
        <f>ROUND(Y66,0)</f>
        <v>6795</v>
      </c>
      <c r="J756" s="359">
        <f>ROUND(Y67,0)</f>
        <v>533770</v>
      </c>
      <c r="K756" s="359">
        <f>ROUND(Y68,0)</f>
        <v>11082</v>
      </c>
      <c r="L756" s="359">
        <f>ROUND(Y69,0)</f>
        <v>798304</v>
      </c>
      <c r="M756" s="359">
        <f>ROUND(Y70,0)</f>
        <v>0</v>
      </c>
      <c r="N756" s="359">
        <f>ROUND(Y75,0)</f>
        <v>44685231</v>
      </c>
      <c r="O756" s="359">
        <f>ROUND(Y73,0)</f>
        <v>14559218</v>
      </c>
      <c r="P756" s="359">
        <f>IF(Y76&gt;0,ROUND(Y76,0),0)</f>
        <v>14061</v>
      </c>
      <c r="Q756" s="359">
        <f>IF(Y77&gt;0,ROUND(Y77,0),0)</f>
        <v>0</v>
      </c>
      <c r="R756" s="359">
        <f>IF(Y78&gt;0,ROUND(Y78,0),0)</f>
        <v>3584</v>
      </c>
      <c r="S756" s="359">
        <f>IF(Y79&gt;0,ROUND(Y79,0),0)</f>
        <v>34642</v>
      </c>
      <c r="T756" s="364">
        <f>IF(Y80&gt;0,ROUND(Y80,2),0)</f>
        <v>23.48</v>
      </c>
      <c r="U756" s="359"/>
      <c r="V756" s="362"/>
      <c r="W756" s="359"/>
      <c r="X756" s="359"/>
      <c r="Y756" s="359">
        <f t="shared" si="21"/>
        <v>3939517</v>
      </c>
      <c r="Z756" s="362"/>
      <c r="AA756" s="362"/>
      <c r="AB756" s="362"/>
      <c r="AC756" s="362"/>
      <c r="AD756" s="362"/>
      <c r="AE756" s="362"/>
      <c r="AF756" s="362"/>
      <c r="AG756" s="362"/>
      <c r="AH756" s="362"/>
      <c r="AI756" s="362"/>
      <c r="AJ756" s="362"/>
      <c r="AK756" s="362"/>
      <c r="AL756" s="362"/>
      <c r="AM756" s="362"/>
      <c r="AN756" s="362"/>
      <c r="AO756" s="362"/>
      <c r="AP756" s="362"/>
      <c r="AQ756" s="362"/>
      <c r="AR756" s="362"/>
      <c r="AS756" s="362"/>
      <c r="AT756" s="362"/>
      <c r="AU756" s="362"/>
      <c r="AV756" s="362"/>
      <c r="AW756" s="362"/>
      <c r="AX756" s="362"/>
      <c r="AY756" s="362"/>
      <c r="AZ756" s="362"/>
      <c r="BA756" s="362"/>
      <c r="BB756" s="362"/>
      <c r="BC756" s="362"/>
      <c r="BD756" s="362"/>
      <c r="BE756" s="362"/>
      <c r="BF756" s="362"/>
      <c r="BG756" s="362"/>
      <c r="BH756" s="362"/>
      <c r="BI756" s="362"/>
      <c r="BJ756" s="362"/>
      <c r="BK756" s="362"/>
      <c r="BL756" s="362"/>
      <c r="BM756" s="362"/>
      <c r="BN756" s="362"/>
      <c r="BO756" s="362"/>
      <c r="BP756" s="362"/>
      <c r="BQ756" s="362"/>
      <c r="BR756" s="362"/>
      <c r="BS756" s="362"/>
      <c r="BT756" s="362"/>
      <c r="BU756" s="362"/>
      <c r="BV756" s="362"/>
      <c r="BW756" s="362"/>
      <c r="BX756" s="362"/>
      <c r="BY756" s="362"/>
      <c r="BZ756" s="362"/>
      <c r="CA756" s="362"/>
      <c r="CB756" s="362"/>
      <c r="CC756" s="362"/>
      <c r="CD756" s="362"/>
      <c r="CE756" s="362"/>
    </row>
    <row r="757" spans="1:83" ht="12.65" customHeight="1">
      <c r="A757" s="363" t="str">
        <f>RIGHT($C$83,3)&amp;"*"&amp;RIGHT($C$82,4)&amp;"*"&amp;Z$55&amp;"*"&amp;"A"</f>
        <v>197*2020*7150*A</v>
      </c>
      <c r="B757" s="359">
        <f>ROUND(Z59,0)</f>
        <v>15433</v>
      </c>
      <c r="C757" s="364">
        <f>ROUND(Z60,2)</f>
        <v>5.86</v>
      </c>
      <c r="D757" s="359">
        <f>ROUND(Z61,0)</f>
        <v>575882</v>
      </c>
      <c r="E757" s="359">
        <f>ROUND(Z62,0)</f>
        <v>104036</v>
      </c>
      <c r="F757" s="359">
        <f>ROUND(Z63,0)</f>
        <v>0</v>
      </c>
      <c r="G757" s="359">
        <f>ROUND(Z64,0)</f>
        <v>28954</v>
      </c>
      <c r="H757" s="359">
        <f>ROUND(Z65,0)</f>
        <v>0</v>
      </c>
      <c r="I757" s="359">
        <f>ROUND(Z66,0)</f>
        <v>410002</v>
      </c>
      <c r="J757" s="359">
        <f>ROUND(Z67,0)</f>
        <v>191096</v>
      </c>
      <c r="K757" s="359">
        <f>ROUND(Z68,0)</f>
        <v>1369</v>
      </c>
      <c r="L757" s="359">
        <f>ROUND(Z69,0)</f>
        <v>296037</v>
      </c>
      <c r="M757" s="359">
        <f>ROUND(Z70,0)</f>
        <v>0</v>
      </c>
      <c r="N757" s="359">
        <f>ROUND(Z75,0)</f>
        <v>42351197</v>
      </c>
      <c r="O757" s="359">
        <f>ROUND(Z73,0)</f>
        <v>271768</v>
      </c>
      <c r="P757" s="359">
        <f>IF(Z76&gt;0,ROUND(Z76,0),0)</f>
        <v>5034</v>
      </c>
      <c r="Q757" s="359">
        <f>IF(Z77&gt;0,ROUND(Z77,0),0)</f>
        <v>0</v>
      </c>
      <c r="R757" s="359">
        <f>IF(Z78&gt;0,ROUND(Z78,0),0)</f>
        <v>1283</v>
      </c>
      <c r="S757" s="359">
        <f>IF(Z79&gt;0,ROUND(Z79,0),0)</f>
        <v>0</v>
      </c>
      <c r="T757" s="364">
        <f>IF(Z80&gt;0,ROUND(Z80,2),0)</f>
        <v>5</v>
      </c>
      <c r="U757" s="359"/>
      <c r="V757" s="362"/>
      <c r="W757" s="359"/>
      <c r="X757" s="359"/>
      <c r="Y757" s="359">
        <f t="shared" si="21"/>
        <v>1917993</v>
      </c>
      <c r="Z757" s="362"/>
      <c r="AA757" s="362"/>
      <c r="AB757" s="362"/>
      <c r="AC757" s="362"/>
      <c r="AD757" s="362"/>
      <c r="AE757" s="362"/>
      <c r="AF757" s="362"/>
      <c r="AG757" s="362"/>
      <c r="AH757" s="362"/>
      <c r="AI757" s="362"/>
      <c r="AJ757" s="362"/>
      <c r="AK757" s="362"/>
      <c r="AL757" s="362"/>
      <c r="AM757" s="362"/>
      <c r="AN757" s="362"/>
      <c r="AO757" s="362"/>
      <c r="AP757" s="362"/>
      <c r="AQ757" s="362"/>
      <c r="AR757" s="362"/>
      <c r="AS757" s="362"/>
      <c r="AT757" s="362"/>
      <c r="AU757" s="362"/>
      <c r="AV757" s="362"/>
      <c r="AW757" s="362"/>
      <c r="AX757" s="362"/>
      <c r="AY757" s="362"/>
      <c r="AZ757" s="362"/>
      <c r="BA757" s="362"/>
      <c r="BB757" s="362"/>
      <c r="BC757" s="362"/>
      <c r="BD757" s="362"/>
      <c r="BE757" s="362"/>
      <c r="BF757" s="362"/>
      <c r="BG757" s="362"/>
      <c r="BH757" s="362"/>
      <c r="BI757" s="362"/>
      <c r="BJ757" s="362"/>
      <c r="BK757" s="362"/>
      <c r="BL757" s="362"/>
      <c r="BM757" s="362"/>
      <c r="BN757" s="362"/>
      <c r="BO757" s="362"/>
      <c r="BP757" s="362"/>
      <c r="BQ757" s="362"/>
      <c r="BR757" s="362"/>
      <c r="BS757" s="362"/>
      <c r="BT757" s="362"/>
      <c r="BU757" s="362"/>
      <c r="BV757" s="362"/>
      <c r="BW757" s="362"/>
      <c r="BX757" s="362"/>
      <c r="BY757" s="362"/>
      <c r="BZ757" s="362"/>
      <c r="CA757" s="362"/>
      <c r="CB757" s="362"/>
      <c r="CC757" s="362"/>
      <c r="CD757" s="362"/>
      <c r="CE757" s="362"/>
    </row>
    <row r="758" spans="1:83" ht="12.65" customHeight="1">
      <c r="A758" s="363" t="str">
        <f>RIGHT($C$83,3)&amp;"*"&amp;RIGHT($C$82,4)&amp;"*"&amp;AA$55&amp;"*"&amp;"A"</f>
        <v>197*2020*7160*A</v>
      </c>
      <c r="B758" s="359">
        <f>ROUND(AA59,0)</f>
        <v>1077</v>
      </c>
      <c r="C758" s="364">
        <f>ROUND(AA60,2)</f>
        <v>1.1599999999999999</v>
      </c>
      <c r="D758" s="359">
        <f>ROUND(AA61,0)</f>
        <v>165513</v>
      </c>
      <c r="E758" s="359">
        <f>ROUND(AA62,0)</f>
        <v>30125</v>
      </c>
      <c r="F758" s="359">
        <f>ROUND(AA63,0)</f>
        <v>0</v>
      </c>
      <c r="G758" s="359">
        <f>ROUND(AA64,0)</f>
        <v>24978</v>
      </c>
      <c r="H758" s="359">
        <f>ROUND(AA65,0)</f>
        <v>0</v>
      </c>
      <c r="I758" s="359">
        <f>ROUND(AA66,0)</f>
        <v>995</v>
      </c>
      <c r="J758" s="359">
        <f>ROUND(AA67,0)</f>
        <v>13818</v>
      </c>
      <c r="K758" s="359">
        <f>ROUND(AA68,0)</f>
        <v>0</v>
      </c>
      <c r="L758" s="359">
        <f>ROUND(AA69,0)</f>
        <v>25815</v>
      </c>
      <c r="M758" s="359">
        <f>ROUND(AA70,0)</f>
        <v>0</v>
      </c>
      <c r="N758" s="359">
        <f>ROUND(AA75,0)</f>
        <v>2825986</v>
      </c>
      <c r="O758" s="359">
        <f>ROUND(AA73,0)</f>
        <v>689862</v>
      </c>
      <c r="P758" s="359">
        <f>IF(AA76&gt;0,ROUND(AA76,0),0)</f>
        <v>364</v>
      </c>
      <c r="Q758" s="359">
        <f>IF(AA77&gt;0,ROUND(AA77,0),0)</f>
        <v>0</v>
      </c>
      <c r="R758" s="359">
        <f>IF(AA78&gt;0,ROUND(AA78,0),0)</f>
        <v>93</v>
      </c>
      <c r="S758" s="359">
        <f>IF(AA79&gt;0,ROUND(AA79,0),0)</f>
        <v>1164</v>
      </c>
      <c r="T758" s="364">
        <f>IF(AA80&gt;0,ROUND(AA80,2),0)</f>
        <v>1.05</v>
      </c>
      <c r="U758" s="359"/>
      <c r="V758" s="362"/>
      <c r="W758" s="359"/>
      <c r="X758" s="359"/>
      <c r="Y758" s="359">
        <f t="shared" si="21"/>
        <v>187656</v>
      </c>
      <c r="Z758" s="362"/>
      <c r="AA758" s="362"/>
      <c r="AB758" s="362"/>
      <c r="AC758" s="362"/>
      <c r="AD758" s="362"/>
      <c r="AE758" s="362"/>
      <c r="AF758" s="362"/>
      <c r="AG758" s="362"/>
      <c r="AH758" s="362"/>
      <c r="AI758" s="362"/>
      <c r="AJ758" s="362"/>
      <c r="AK758" s="362"/>
      <c r="AL758" s="362"/>
      <c r="AM758" s="362"/>
      <c r="AN758" s="362"/>
      <c r="AO758" s="362"/>
      <c r="AP758" s="362"/>
      <c r="AQ758" s="362"/>
      <c r="AR758" s="362"/>
      <c r="AS758" s="362"/>
      <c r="AT758" s="362"/>
      <c r="AU758" s="362"/>
      <c r="AV758" s="362"/>
      <c r="AW758" s="362"/>
      <c r="AX758" s="362"/>
      <c r="AY758" s="362"/>
      <c r="AZ758" s="362"/>
      <c r="BA758" s="362"/>
      <c r="BB758" s="362"/>
      <c r="BC758" s="362"/>
      <c r="BD758" s="362"/>
      <c r="BE758" s="362"/>
      <c r="BF758" s="362"/>
      <c r="BG758" s="362"/>
      <c r="BH758" s="362"/>
      <c r="BI758" s="362"/>
      <c r="BJ758" s="362"/>
      <c r="BK758" s="362"/>
      <c r="BL758" s="362"/>
      <c r="BM758" s="362"/>
      <c r="BN758" s="362"/>
      <c r="BO758" s="362"/>
      <c r="BP758" s="362"/>
      <c r="BQ758" s="362"/>
      <c r="BR758" s="362"/>
      <c r="BS758" s="362"/>
      <c r="BT758" s="362"/>
      <c r="BU758" s="362"/>
      <c r="BV758" s="362"/>
      <c r="BW758" s="362"/>
      <c r="BX758" s="362"/>
      <c r="BY758" s="362"/>
      <c r="BZ758" s="362"/>
      <c r="CA758" s="362"/>
      <c r="CB758" s="362"/>
      <c r="CC758" s="362"/>
      <c r="CD758" s="362"/>
      <c r="CE758" s="362"/>
    </row>
    <row r="759" spans="1:83" ht="12.65" customHeight="1">
      <c r="A759" s="363" t="str">
        <f>RIGHT($C$83,3)&amp;"*"&amp;RIGHT($C$82,4)&amp;"*"&amp;AB$55&amp;"*"&amp;"A"</f>
        <v>197*2020*7170*A</v>
      </c>
      <c r="B759" s="359"/>
      <c r="C759" s="364">
        <f>ROUND(AB60,2)</f>
        <v>11.87</v>
      </c>
      <c r="D759" s="359">
        <f>ROUND(AB61,0)</f>
        <v>1242895</v>
      </c>
      <c r="E759" s="359">
        <f>ROUND(AB62,0)</f>
        <v>224280</v>
      </c>
      <c r="F759" s="359">
        <f>ROUND(AB63,0)</f>
        <v>0</v>
      </c>
      <c r="G759" s="359">
        <f>ROUND(AB64,0)</f>
        <v>1416552</v>
      </c>
      <c r="H759" s="359">
        <f>ROUND(AB65,0)</f>
        <v>0</v>
      </c>
      <c r="I759" s="359">
        <f>ROUND(AB66,0)</f>
        <v>70746</v>
      </c>
      <c r="J759" s="359">
        <f>ROUND(AB67,0)</f>
        <v>47755</v>
      </c>
      <c r="K759" s="359">
        <f>ROUND(AB68,0)</f>
        <v>238320</v>
      </c>
      <c r="L759" s="359">
        <f>ROUND(AB69,0)</f>
        <v>58761</v>
      </c>
      <c r="M759" s="359">
        <f>ROUND(AB70,0)</f>
        <v>0</v>
      </c>
      <c r="N759" s="359">
        <f>ROUND(AB75,0)</f>
        <v>18569399</v>
      </c>
      <c r="O759" s="359">
        <f>ROUND(AB73,0)</f>
        <v>10275948</v>
      </c>
      <c r="P759" s="359">
        <f>IF(AB76&gt;0,ROUND(AB76,0),0)</f>
        <v>1258</v>
      </c>
      <c r="Q759" s="359">
        <f>IF(AB77&gt;0,ROUND(AB77,0),0)</f>
        <v>0</v>
      </c>
      <c r="R759" s="359">
        <f>IF(AB78&gt;0,ROUND(AB78,0),0)</f>
        <v>321</v>
      </c>
      <c r="S759" s="359">
        <f>IF(AB79&gt;0,ROUND(AB79,0),0)</f>
        <v>10670</v>
      </c>
      <c r="T759" s="364">
        <f>IF(AB80&gt;0,ROUND(AB80,2),0)</f>
        <v>10.58</v>
      </c>
      <c r="U759" s="359"/>
      <c r="V759" s="362"/>
      <c r="W759" s="359"/>
      <c r="X759" s="359"/>
      <c r="Y759" s="359">
        <f t="shared" si="21"/>
        <v>3126067</v>
      </c>
      <c r="Z759" s="362"/>
      <c r="AA759" s="362"/>
      <c r="AB759" s="362"/>
      <c r="AC759" s="362"/>
      <c r="AD759" s="362"/>
      <c r="AE759" s="362"/>
      <c r="AF759" s="362"/>
      <c r="AG759" s="362"/>
      <c r="AH759" s="362"/>
      <c r="AI759" s="362"/>
      <c r="AJ759" s="362"/>
      <c r="AK759" s="362"/>
      <c r="AL759" s="362"/>
      <c r="AM759" s="362"/>
      <c r="AN759" s="362"/>
      <c r="AO759" s="362"/>
      <c r="AP759" s="362"/>
      <c r="AQ759" s="362"/>
      <c r="AR759" s="362"/>
      <c r="AS759" s="362"/>
      <c r="AT759" s="362"/>
      <c r="AU759" s="362"/>
      <c r="AV759" s="362"/>
      <c r="AW759" s="362"/>
      <c r="AX759" s="362"/>
      <c r="AY759" s="362"/>
      <c r="AZ759" s="362"/>
      <c r="BA759" s="362"/>
      <c r="BB759" s="362"/>
      <c r="BC759" s="362"/>
      <c r="BD759" s="362"/>
      <c r="BE759" s="362"/>
      <c r="BF759" s="362"/>
      <c r="BG759" s="362"/>
      <c r="BH759" s="362"/>
      <c r="BI759" s="362"/>
      <c r="BJ759" s="362"/>
      <c r="BK759" s="362"/>
      <c r="BL759" s="362"/>
      <c r="BM759" s="362"/>
      <c r="BN759" s="362"/>
      <c r="BO759" s="362"/>
      <c r="BP759" s="362"/>
      <c r="BQ759" s="362"/>
      <c r="BR759" s="362"/>
      <c r="BS759" s="362"/>
      <c r="BT759" s="362"/>
      <c r="BU759" s="362"/>
      <c r="BV759" s="362"/>
      <c r="BW759" s="362"/>
      <c r="BX759" s="362"/>
      <c r="BY759" s="362"/>
      <c r="BZ759" s="362"/>
      <c r="CA759" s="362"/>
      <c r="CB759" s="362"/>
      <c r="CC759" s="362"/>
      <c r="CD759" s="362"/>
      <c r="CE759" s="362"/>
    </row>
    <row r="760" spans="1:83" ht="12.65" customHeight="1">
      <c r="A760" s="363" t="str">
        <f>RIGHT($C$83,3)&amp;"*"&amp;RIGHT($C$82,4)&amp;"*"&amp;AC$55&amp;"*"&amp;"A"</f>
        <v>197*2020*7180*A</v>
      </c>
      <c r="B760" s="359">
        <f>ROUND(AC59,0)</f>
        <v>16963</v>
      </c>
      <c r="C760" s="364">
        <f>ROUND(AC60,2)</f>
        <v>10.65</v>
      </c>
      <c r="D760" s="359">
        <f>ROUND(AC61,0)</f>
        <v>941878</v>
      </c>
      <c r="E760" s="359">
        <f>ROUND(AC62,0)</f>
        <v>170422</v>
      </c>
      <c r="F760" s="359">
        <f>ROUND(AC63,0)</f>
        <v>32058</v>
      </c>
      <c r="G760" s="359">
        <f>ROUND(AC64,0)</f>
        <v>78314</v>
      </c>
      <c r="H760" s="359">
        <f>ROUND(AC65,0)</f>
        <v>0</v>
      </c>
      <c r="I760" s="359">
        <f>ROUND(AC66,0)</f>
        <v>4148</v>
      </c>
      <c r="J760" s="359">
        <f>ROUND(AC67,0)</f>
        <v>160765</v>
      </c>
      <c r="K760" s="359">
        <f>ROUND(AC68,0)</f>
        <v>131065</v>
      </c>
      <c r="L760" s="359">
        <f>ROUND(AC69,0)</f>
        <v>48659</v>
      </c>
      <c r="M760" s="359">
        <f>ROUND(AC70,0)</f>
        <v>0</v>
      </c>
      <c r="N760" s="359">
        <f>ROUND(AC75,0)</f>
        <v>9969123</v>
      </c>
      <c r="O760" s="359">
        <f>ROUND(AC73,0)</f>
        <v>6254717</v>
      </c>
      <c r="P760" s="359">
        <f>IF(AC76&gt;0,ROUND(AC76,0),0)</f>
        <v>4235</v>
      </c>
      <c r="Q760" s="359">
        <f>IF(AC77&gt;0,ROUND(AC77,0),0)</f>
        <v>0</v>
      </c>
      <c r="R760" s="359">
        <f>IF(AC78&gt;0,ROUND(AC78,0),0)</f>
        <v>1079</v>
      </c>
      <c r="S760" s="359">
        <f>IF(AC79&gt;0,ROUND(AC79,0),0)</f>
        <v>2389</v>
      </c>
      <c r="T760" s="364">
        <f>IF(AC80&gt;0,ROUND(AC80,2),0)</f>
        <v>9.3800000000000008</v>
      </c>
      <c r="U760" s="359"/>
      <c r="V760" s="362"/>
      <c r="W760" s="359"/>
      <c r="X760" s="359"/>
      <c r="Y760" s="359">
        <f t="shared" si="21"/>
        <v>1214585</v>
      </c>
      <c r="Z760" s="362"/>
      <c r="AA760" s="362"/>
      <c r="AB760" s="362"/>
      <c r="AC760" s="362"/>
      <c r="AD760" s="362"/>
      <c r="AE760" s="362"/>
      <c r="AF760" s="362"/>
      <c r="AG760" s="362"/>
      <c r="AH760" s="362"/>
      <c r="AI760" s="362"/>
      <c r="AJ760" s="362"/>
      <c r="AK760" s="362"/>
      <c r="AL760" s="362"/>
      <c r="AM760" s="362"/>
      <c r="AN760" s="362"/>
      <c r="AO760" s="362"/>
      <c r="AP760" s="362"/>
      <c r="AQ760" s="362"/>
      <c r="AR760" s="362"/>
      <c r="AS760" s="362"/>
      <c r="AT760" s="362"/>
      <c r="AU760" s="362"/>
      <c r="AV760" s="362"/>
      <c r="AW760" s="362"/>
      <c r="AX760" s="362"/>
      <c r="AY760" s="362"/>
      <c r="AZ760" s="362"/>
      <c r="BA760" s="362"/>
      <c r="BB760" s="362"/>
      <c r="BC760" s="362"/>
      <c r="BD760" s="362"/>
      <c r="BE760" s="362"/>
      <c r="BF760" s="362"/>
      <c r="BG760" s="362"/>
      <c r="BH760" s="362"/>
      <c r="BI760" s="362"/>
      <c r="BJ760" s="362"/>
      <c r="BK760" s="362"/>
      <c r="BL760" s="362"/>
      <c r="BM760" s="362"/>
      <c r="BN760" s="362"/>
      <c r="BO760" s="362"/>
      <c r="BP760" s="362"/>
      <c r="BQ760" s="362"/>
      <c r="BR760" s="362"/>
      <c r="BS760" s="362"/>
      <c r="BT760" s="362"/>
      <c r="BU760" s="362"/>
      <c r="BV760" s="362"/>
      <c r="BW760" s="362"/>
      <c r="BX760" s="362"/>
      <c r="BY760" s="362"/>
      <c r="BZ760" s="362"/>
      <c r="CA760" s="362"/>
      <c r="CB760" s="362"/>
      <c r="CC760" s="362"/>
      <c r="CD760" s="362"/>
      <c r="CE760" s="362"/>
    </row>
    <row r="761" spans="1:83" ht="12.65" customHeight="1">
      <c r="A761" s="363" t="str">
        <f>RIGHT($C$83,3)&amp;"*"&amp;RIGHT($C$82,4)&amp;"*"&amp;AD$55&amp;"*"&amp;"A"</f>
        <v>197*2020*7190*A</v>
      </c>
      <c r="B761" s="359">
        <f>ROUND(AD59,0)</f>
        <v>0</v>
      </c>
      <c r="C761" s="364">
        <f>ROUND(AD60,2)</f>
        <v>0</v>
      </c>
      <c r="D761" s="359">
        <f>ROUND(AD61,0)</f>
        <v>0</v>
      </c>
      <c r="E761" s="359">
        <f>ROUND(AD62,0)</f>
        <v>0</v>
      </c>
      <c r="F761" s="359">
        <f>ROUND(AD63,0)</f>
        <v>0</v>
      </c>
      <c r="G761" s="359">
        <f>ROUND(AD64,0)</f>
        <v>0</v>
      </c>
      <c r="H761" s="359">
        <f>ROUND(AD65,0)</f>
        <v>0</v>
      </c>
      <c r="I761" s="359">
        <f>ROUND(AD66,0)</f>
        <v>0</v>
      </c>
      <c r="J761" s="359">
        <f>ROUND(AD67,0)</f>
        <v>0</v>
      </c>
      <c r="K761" s="359">
        <f>ROUND(AD68,0)</f>
        <v>0</v>
      </c>
      <c r="L761" s="359">
        <f>ROUND(AD69,0)</f>
        <v>0</v>
      </c>
      <c r="M761" s="359">
        <f>ROUND(AD70,0)</f>
        <v>0</v>
      </c>
      <c r="N761" s="359">
        <f>ROUND(AD75,0)</f>
        <v>0</v>
      </c>
      <c r="O761" s="359">
        <f>ROUND(AD73,0)</f>
        <v>0</v>
      </c>
      <c r="P761" s="359">
        <f>IF(AD76&gt;0,ROUND(AD76,0),0)</f>
        <v>0</v>
      </c>
      <c r="Q761" s="359">
        <f>IF(AD77&gt;0,ROUND(AD77,0),0)</f>
        <v>0</v>
      </c>
      <c r="R761" s="359">
        <f>IF(AD78&gt;0,ROUND(AD78,0),0)</f>
        <v>0</v>
      </c>
      <c r="S761" s="359">
        <f>IF(AD79&gt;0,ROUND(AD79,0),0)</f>
        <v>0</v>
      </c>
      <c r="T761" s="364">
        <f>IF(AD80&gt;0,ROUND(AD80,2),0)</f>
        <v>0</v>
      </c>
      <c r="U761" s="359"/>
      <c r="V761" s="362"/>
      <c r="W761" s="359"/>
      <c r="X761" s="359"/>
      <c r="Y761" s="359">
        <f t="shared" si="21"/>
        <v>0</v>
      </c>
      <c r="Z761" s="362"/>
      <c r="AA761" s="362"/>
      <c r="AB761" s="362"/>
      <c r="AC761" s="362"/>
      <c r="AD761" s="362"/>
      <c r="AE761" s="362"/>
      <c r="AF761" s="362"/>
      <c r="AG761" s="362"/>
      <c r="AH761" s="362"/>
      <c r="AI761" s="362"/>
      <c r="AJ761" s="362"/>
      <c r="AK761" s="362"/>
      <c r="AL761" s="362"/>
      <c r="AM761" s="362"/>
      <c r="AN761" s="362"/>
      <c r="AO761" s="362"/>
      <c r="AP761" s="362"/>
      <c r="AQ761" s="362"/>
      <c r="AR761" s="362"/>
      <c r="AS761" s="362"/>
      <c r="AT761" s="362"/>
      <c r="AU761" s="362"/>
      <c r="AV761" s="362"/>
      <c r="AW761" s="362"/>
      <c r="AX761" s="362"/>
      <c r="AY761" s="362"/>
      <c r="AZ761" s="362"/>
      <c r="BA761" s="362"/>
      <c r="BB761" s="362"/>
      <c r="BC761" s="362"/>
      <c r="BD761" s="362"/>
      <c r="BE761" s="362"/>
      <c r="BF761" s="362"/>
      <c r="BG761" s="362"/>
      <c r="BH761" s="362"/>
      <c r="BI761" s="362"/>
      <c r="BJ761" s="362"/>
      <c r="BK761" s="362"/>
      <c r="BL761" s="362"/>
      <c r="BM761" s="362"/>
      <c r="BN761" s="362"/>
      <c r="BO761" s="362"/>
      <c r="BP761" s="362"/>
      <c r="BQ761" s="362"/>
      <c r="BR761" s="362"/>
      <c r="BS761" s="362"/>
      <c r="BT761" s="362"/>
      <c r="BU761" s="362"/>
      <c r="BV761" s="362"/>
      <c r="BW761" s="362"/>
      <c r="BX761" s="362"/>
      <c r="BY761" s="362"/>
      <c r="BZ761" s="362"/>
      <c r="CA761" s="362"/>
      <c r="CB761" s="362"/>
      <c r="CC761" s="362"/>
      <c r="CD761" s="362"/>
      <c r="CE761" s="362"/>
    </row>
    <row r="762" spans="1:83" ht="12.65" customHeight="1">
      <c r="A762" s="363" t="str">
        <f>RIGHT($C$83,3)&amp;"*"&amp;RIGHT($C$82,4)&amp;"*"&amp;AE$55&amp;"*"&amp;"A"</f>
        <v>197*2020*7200*A</v>
      </c>
      <c r="B762" s="359">
        <f>ROUND(AE59,0)</f>
        <v>19366</v>
      </c>
      <c r="C762" s="364">
        <f>ROUND(AE60,2)</f>
        <v>7.67</v>
      </c>
      <c r="D762" s="359">
        <f>ROUND(AE61,0)</f>
        <v>609066</v>
      </c>
      <c r="E762" s="359">
        <f>ROUND(AE62,0)</f>
        <v>109857</v>
      </c>
      <c r="F762" s="359">
        <f>ROUND(AE63,0)</f>
        <v>0</v>
      </c>
      <c r="G762" s="359">
        <f>ROUND(AE64,0)</f>
        <v>6559</v>
      </c>
      <c r="H762" s="359">
        <f>ROUND(AE65,0)</f>
        <v>2686</v>
      </c>
      <c r="I762" s="359">
        <f>ROUND(AE66,0)</f>
        <v>13707</v>
      </c>
      <c r="J762" s="359">
        <f>ROUND(AE67,0)</f>
        <v>159930</v>
      </c>
      <c r="K762" s="359">
        <f>ROUND(AE68,0)</f>
        <v>89870</v>
      </c>
      <c r="L762" s="359">
        <f>ROUND(AE69,0)</f>
        <v>44194</v>
      </c>
      <c r="M762" s="359">
        <f>ROUND(AE70,0)</f>
        <v>0</v>
      </c>
      <c r="N762" s="359">
        <f>ROUND(AE75,0)</f>
        <v>3633715</v>
      </c>
      <c r="O762" s="359">
        <f>ROUND(AE73,0)</f>
        <v>1509470</v>
      </c>
      <c r="P762" s="359">
        <f>IF(AE76&gt;0,ROUND(AE76,0),0)</f>
        <v>4213</v>
      </c>
      <c r="Q762" s="359">
        <f>IF(AE77&gt;0,ROUND(AE77,0),0)</f>
        <v>0</v>
      </c>
      <c r="R762" s="359">
        <f>IF(AE78&gt;0,ROUND(AE78,0),0)</f>
        <v>1074</v>
      </c>
      <c r="S762" s="359">
        <f>IF(AE79&gt;0,ROUND(AE79,0),0)</f>
        <v>5177</v>
      </c>
      <c r="T762" s="364">
        <f>IF(AE80&gt;0,ROUND(AE80,2),0)</f>
        <v>6.23</v>
      </c>
      <c r="U762" s="359"/>
      <c r="V762" s="362"/>
      <c r="W762" s="359"/>
      <c r="X762" s="359"/>
      <c r="Y762" s="359">
        <f t="shared" si="21"/>
        <v>891368</v>
      </c>
      <c r="Z762" s="362"/>
      <c r="AA762" s="362"/>
      <c r="AB762" s="362"/>
      <c r="AC762" s="362"/>
      <c r="AD762" s="362"/>
      <c r="AE762" s="362"/>
      <c r="AF762" s="362"/>
      <c r="AG762" s="362"/>
      <c r="AH762" s="362"/>
      <c r="AI762" s="362"/>
      <c r="AJ762" s="362"/>
      <c r="AK762" s="362"/>
      <c r="AL762" s="362"/>
      <c r="AM762" s="362"/>
      <c r="AN762" s="362"/>
      <c r="AO762" s="362"/>
      <c r="AP762" s="362"/>
      <c r="AQ762" s="362"/>
      <c r="AR762" s="362"/>
      <c r="AS762" s="362"/>
      <c r="AT762" s="362"/>
      <c r="AU762" s="362"/>
      <c r="AV762" s="362"/>
      <c r="AW762" s="362"/>
      <c r="AX762" s="362"/>
      <c r="AY762" s="362"/>
      <c r="AZ762" s="362"/>
      <c r="BA762" s="362"/>
      <c r="BB762" s="362"/>
      <c r="BC762" s="362"/>
      <c r="BD762" s="362"/>
      <c r="BE762" s="362"/>
      <c r="BF762" s="362"/>
      <c r="BG762" s="362"/>
      <c r="BH762" s="362"/>
      <c r="BI762" s="362"/>
      <c r="BJ762" s="362"/>
      <c r="BK762" s="362"/>
      <c r="BL762" s="362"/>
      <c r="BM762" s="362"/>
      <c r="BN762" s="362"/>
      <c r="BO762" s="362"/>
      <c r="BP762" s="362"/>
      <c r="BQ762" s="362"/>
      <c r="BR762" s="362"/>
      <c r="BS762" s="362"/>
      <c r="BT762" s="362"/>
      <c r="BU762" s="362"/>
      <c r="BV762" s="362"/>
      <c r="BW762" s="362"/>
      <c r="BX762" s="362"/>
      <c r="BY762" s="362"/>
      <c r="BZ762" s="362"/>
      <c r="CA762" s="362"/>
      <c r="CB762" s="362"/>
      <c r="CC762" s="362"/>
      <c r="CD762" s="362"/>
      <c r="CE762" s="362"/>
    </row>
    <row r="763" spans="1:83" ht="12.65" customHeight="1">
      <c r="A763" s="363" t="str">
        <f>RIGHT($C$83,3)&amp;"*"&amp;RIGHT($C$82,4)&amp;"*"&amp;AF$55&amp;"*"&amp;"A"</f>
        <v>197*2020*7220*A</v>
      </c>
      <c r="B763" s="359">
        <f>ROUND(AF59,0)</f>
        <v>0</v>
      </c>
      <c r="C763" s="364">
        <f>ROUND(AF60,2)</f>
        <v>0</v>
      </c>
      <c r="D763" s="359">
        <f>ROUND(AF61,0)</f>
        <v>0</v>
      </c>
      <c r="E763" s="359">
        <f>ROUND(AF62,0)</f>
        <v>0</v>
      </c>
      <c r="F763" s="359">
        <f>ROUND(AF63,0)</f>
        <v>0</v>
      </c>
      <c r="G763" s="359">
        <f>ROUND(AF64,0)</f>
        <v>0</v>
      </c>
      <c r="H763" s="359">
        <f>ROUND(AF65,0)</f>
        <v>0</v>
      </c>
      <c r="I763" s="359">
        <f>ROUND(AF66,0)</f>
        <v>0</v>
      </c>
      <c r="J763" s="359">
        <f>ROUND(AF67,0)</f>
        <v>0</v>
      </c>
      <c r="K763" s="359">
        <f>ROUND(AF68,0)</f>
        <v>0</v>
      </c>
      <c r="L763" s="359">
        <f>ROUND(AF69,0)</f>
        <v>0</v>
      </c>
      <c r="M763" s="359">
        <f>ROUND(AF70,0)</f>
        <v>0</v>
      </c>
      <c r="N763" s="359">
        <f>ROUND(AF75,0)</f>
        <v>0</v>
      </c>
      <c r="O763" s="359">
        <f>ROUND(AF73,0)</f>
        <v>0</v>
      </c>
      <c r="P763" s="359">
        <f>IF(AF76&gt;0,ROUND(AF76,0),0)</f>
        <v>0</v>
      </c>
      <c r="Q763" s="359">
        <f>IF(AF77&gt;0,ROUND(AF77,0),0)</f>
        <v>0</v>
      </c>
      <c r="R763" s="359">
        <f>IF(AF78&gt;0,ROUND(AF78,0),0)</f>
        <v>0</v>
      </c>
      <c r="S763" s="359">
        <f>IF(AF79&gt;0,ROUND(AF79,0),0)</f>
        <v>0</v>
      </c>
      <c r="T763" s="364">
        <f>IF(AF80&gt;0,ROUND(AF80,2),0)</f>
        <v>0</v>
      </c>
      <c r="U763" s="359"/>
      <c r="V763" s="362"/>
      <c r="W763" s="359"/>
      <c r="X763" s="359"/>
      <c r="Y763" s="359">
        <f t="shared" si="21"/>
        <v>0</v>
      </c>
      <c r="Z763" s="362"/>
      <c r="AA763" s="362"/>
      <c r="AB763" s="362"/>
      <c r="AC763" s="362"/>
      <c r="AD763" s="362"/>
      <c r="AE763" s="362"/>
      <c r="AF763" s="362"/>
      <c r="AG763" s="362"/>
      <c r="AH763" s="362"/>
      <c r="AI763" s="362"/>
      <c r="AJ763" s="362"/>
      <c r="AK763" s="362"/>
      <c r="AL763" s="362"/>
      <c r="AM763" s="362"/>
      <c r="AN763" s="362"/>
      <c r="AO763" s="362"/>
      <c r="AP763" s="362"/>
      <c r="AQ763" s="362"/>
      <c r="AR763" s="362"/>
      <c r="AS763" s="362"/>
      <c r="AT763" s="362"/>
      <c r="AU763" s="362"/>
      <c r="AV763" s="362"/>
      <c r="AW763" s="362"/>
      <c r="AX763" s="362"/>
      <c r="AY763" s="362"/>
      <c r="AZ763" s="362"/>
      <c r="BA763" s="362"/>
      <c r="BB763" s="362"/>
      <c r="BC763" s="362"/>
      <c r="BD763" s="362"/>
      <c r="BE763" s="362"/>
      <c r="BF763" s="362"/>
      <c r="BG763" s="362"/>
      <c r="BH763" s="362"/>
      <c r="BI763" s="362"/>
      <c r="BJ763" s="362"/>
      <c r="BK763" s="362"/>
      <c r="BL763" s="362"/>
      <c r="BM763" s="362"/>
      <c r="BN763" s="362"/>
      <c r="BO763" s="362"/>
      <c r="BP763" s="362"/>
      <c r="BQ763" s="362"/>
      <c r="BR763" s="362"/>
      <c r="BS763" s="362"/>
      <c r="BT763" s="362"/>
      <c r="BU763" s="362"/>
      <c r="BV763" s="362"/>
      <c r="BW763" s="362"/>
      <c r="BX763" s="362"/>
      <c r="BY763" s="362"/>
      <c r="BZ763" s="362"/>
      <c r="CA763" s="362"/>
      <c r="CB763" s="362"/>
      <c r="CC763" s="362"/>
      <c r="CD763" s="362"/>
      <c r="CE763" s="362"/>
    </row>
    <row r="764" spans="1:83" ht="12.65" customHeight="1">
      <c r="A764" s="363" t="str">
        <f>RIGHT($C$83,3)&amp;"*"&amp;RIGHT($C$82,4)&amp;"*"&amp;AG$55&amp;"*"&amp;"A"</f>
        <v>197*2020*7230*A</v>
      </c>
      <c r="B764" s="359">
        <f>ROUND(AG59,0)</f>
        <v>15301</v>
      </c>
      <c r="C764" s="364">
        <f>ROUND(AG60,2)</f>
        <v>22.17</v>
      </c>
      <c r="D764" s="359">
        <f>ROUND(AG61,0)</f>
        <v>2561720</v>
      </c>
      <c r="E764" s="359">
        <f>ROUND(AG62,0)</f>
        <v>457706</v>
      </c>
      <c r="F764" s="359">
        <f>ROUND(AG63,0)</f>
        <v>181723</v>
      </c>
      <c r="G764" s="359">
        <f>ROUND(AG64,0)</f>
        <v>238513</v>
      </c>
      <c r="H764" s="359">
        <f>ROUND(AG65,0)</f>
        <v>0</v>
      </c>
      <c r="I764" s="359">
        <f>ROUND(AG66,0)</f>
        <v>47212</v>
      </c>
      <c r="J764" s="359">
        <f>ROUND(AG67,0)</f>
        <v>161258</v>
      </c>
      <c r="K764" s="359">
        <f>ROUND(AG68,0)</f>
        <v>8009</v>
      </c>
      <c r="L764" s="359">
        <f>ROUND(AG69,0)</f>
        <v>127496</v>
      </c>
      <c r="M764" s="359">
        <f>ROUND(AG70,0)</f>
        <v>0</v>
      </c>
      <c r="N764" s="359">
        <f>ROUND(AG75,0)</f>
        <v>46899596</v>
      </c>
      <c r="O764" s="359">
        <f>ROUND(AG73,0)</f>
        <v>9600071</v>
      </c>
      <c r="P764" s="359">
        <f>IF(AG76&gt;0,ROUND(AG76,0),0)</f>
        <v>4248</v>
      </c>
      <c r="Q764" s="359">
        <f>IF(AG77&gt;0,ROUND(AG77,0),0)</f>
        <v>0</v>
      </c>
      <c r="R764" s="359">
        <f>IF(AG78&gt;0,ROUND(AG78,0),0)</f>
        <v>1083</v>
      </c>
      <c r="S764" s="359">
        <f>IF(AG79&gt;0,ROUND(AG79,0),0)</f>
        <v>43803</v>
      </c>
      <c r="T764" s="364">
        <f>IF(AG80&gt;0,ROUND(AG80,2),0)</f>
        <v>19.37</v>
      </c>
      <c r="U764" s="359"/>
      <c r="V764" s="362"/>
      <c r="W764" s="359"/>
      <c r="X764" s="359"/>
      <c r="Y764" s="359">
        <f t="shared" si="21"/>
        <v>2542526</v>
      </c>
      <c r="Z764" s="362"/>
      <c r="AA764" s="362"/>
      <c r="AB764" s="362"/>
      <c r="AC764" s="362"/>
      <c r="AD764" s="362"/>
      <c r="AE764" s="362"/>
      <c r="AF764" s="362"/>
      <c r="AG764" s="362"/>
      <c r="AH764" s="362"/>
      <c r="AI764" s="362"/>
      <c r="AJ764" s="362"/>
      <c r="AK764" s="362"/>
      <c r="AL764" s="362"/>
      <c r="AM764" s="362"/>
      <c r="AN764" s="362"/>
      <c r="AO764" s="362"/>
      <c r="AP764" s="362"/>
      <c r="AQ764" s="362"/>
      <c r="AR764" s="362"/>
      <c r="AS764" s="362"/>
      <c r="AT764" s="362"/>
      <c r="AU764" s="362"/>
      <c r="AV764" s="362"/>
      <c r="AW764" s="362"/>
      <c r="AX764" s="362"/>
      <c r="AY764" s="362"/>
      <c r="AZ764" s="362"/>
      <c r="BA764" s="362"/>
      <c r="BB764" s="362"/>
      <c r="BC764" s="362"/>
      <c r="BD764" s="362"/>
      <c r="BE764" s="362"/>
      <c r="BF764" s="362"/>
      <c r="BG764" s="362"/>
      <c r="BH764" s="362"/>
      <c r="BI764" s="362"/>
      <c r="BJ764" s="362"/>
      <c r="BK764" s="362"/>
      <c r="BL764" s="362"/>
      <c r="BM764" s="362"/>
      <c r="BN764" s="362"/>
      <c r="BO764" s="362"/>
      <c r="BP764" s="362"/>
      <c r="BQ764" s="362"/>
      <c r="BR764" s="362"/>
      <c r="BS764" s="362"/>
      <c r="BT764" s="362"/>
      <c r="BU764" s="362"/>
      <c r="BV764" s="362"/>
      <c r="BW764" s="362"/>
      <c r="BX764" s="362"/>
      <c r="BY764" s="362"/>
      <c r="BZ764" s="362"/>
      <c r="CA764" s="362"/>
      <c r="CB764" s="362"/>
      <c r="CC764" s="362"/>
      <c r="CD764" s="362"/>
      <c r="CE764" s="362"/>
    </row>
    <row r="765" spans="1:83" ht="12.65" customHeight="1">
      <c r="A765" s="363" t="str">
        <f>RIGHT($C$83,3)&amp;"*"&amp;RIGHT($C$82,4)&amp;"*"&amp;AH$55&amp;"*"&amp;"A"</f>
        <v>197*2020*7240*A</v>
      </c>
      <c r="B765" s="359">
        <f>ROUND(AH59,0)</f>
        <v>0</v>
      </c>
      <c r="C765" s="364">
        <f>ROUND(AH60,2)</f>
        <v>0</v>
      </c>
      <c r="D765" s="359">
        <f>ROUND(AH61,0)</f>
        <v>0</v>
      </c>
      <c r="E765" s="359">
        <f>ROUND(AH62,0)</f>
        <v>0</v>
      </c>
      <c r="F765" s="359">
        <f>ROUND(AH63,0)</f>
        <v>0</v>
      </c>
      <c r="G765" s="359">
        <f>ROUND(AH64,0)</f>
        <v>0</v>
      </c>
      <c r="H765" s="359">
        <f>ROUND(AH65,0)</f>
        <v>0</v>
      </c>
      <c r="I765" s="359">
        <f>ROUND(AH66,0)</f>
        <v>0</v>
      </c>
      <c r="J765" s="359">
        <f>ROUND(AH67,0)</f>
        <v>0</v>
      </c>
      <c r="K765" s="359">
        <f>ROUND(AH68,0)</f>
        <v>0</v>
      </c>
      <c r="L765" s="359">
        <f>ROUND(AH69,0)</f>
        <v>0</v>
      </c>
      <c r="M765" s="359">
        <f>ROUND(AH70,0)</f>
        <v>0</v>
      </c>
      <c r="N765" s="359">
        <f>ROUND(AH75,0)</f>
        <v>0</v>
      </c>
      <c r="O765" s="359">
        <f>ROUND(AH73,0)</f>
        <v>0</v>
      </c>
      <c r="P765" s="359">
        <f>IF(AH76&gt;0,ROUND(AH76,0),0)</f>
        <v>0</v>
      </c>
      <c r="Q765" s="359">
        <f>IF(AH77&gt;0,ROUND(AH77,0),0)</f>
        <v>0</v>
      </c>
      <c r="R765" s="359">
        <f>IF(AH78&gt;0,ROUND(AH78,0),0)</f>
        <v>0</v>
      </c>
      <c r="S765" s="359">
        <f>IF(AH79&gt;0,ROUND(AH79,0),0)</f>
        <v>0</v>
      </c>
      <c r="T765" s="364">
        <f>IF(AH80&gt;0,ROUND(AH80,2),0)</f>
        <v>0</v>
      </c>
      <c r="U765" s="359"/>
      <c r="V765" s="362"/>
      <c r="W765" s="359"/>
      <c r="X765" s="359"/>
      <c r="Y765" s="359">
        <f t="shared" si="21"/>
        <v>0</v>
      </c>
      <c r="Z765" s="362"/>
      <c r="AA765" s="362"/>
      <c r="AB765" s="362"/>
      <c r="AC765" s="362"/>
      <c r="AD765" s="362"/>
      <c r="AE765" s="362"/>
      <c r="AF765" s="362"/>
      <c r="AG765" s="362"/>
      <c r="AH765" s="362"/>
      <c r="AI765" s="362"/>
      <c r="AJ765" s="362"/>
      <c r="AK765" s="362"/>
      <c r="AL765" s="362"/>
      <c r="AM765" s="362"/>
      <c r="AN765" s="362"/>
      <c r="AO765" s="362"/>
      <c r="AP765" s="362"/>
      <c r="AQ765" s="362"/>
      <c r="AR765" s="362"/>
      <c r="AS765" s="362"/>
      <c r="AT765" s="362"/>
      <c r="AU765" s="362"/>
      <c r="AV765" s="362"/>
      <c r="AW765" s="362"/>
      <c r="AX765" s="362"/>
      <c r="AY765" s="362"/>
      <c r="AZ765" s="362"/>
      <c r="BA765" s="362"/>
      <c r="BB765" s="362"/>
      <c r="BC765" s="362"/>
      <c r="BD765" s="362"/>
      <c r="BE765" s="362"/>
      <c r="BF765" s="362"/>
      <c r="BG765" s="362"/>
      <c r="BH765" s="362"/>
      <c r="BI765" s="362"/>
      <c r="BJ765" s="362"/>
      <c r="BK765" s="362"/>
      <c r="BL765" s="362"/>
      <c r="BM765" s="362"/>
      <c r="BN765" s="362"/>
      <c r="BO765" s="362"/>
      <c r="BP765" s="362"/>
      <c r="BQ765" s="362"/>
      <c r="BR765" s="362"/>
      <c r="BS765" s="362"/>
      <c r="BT765" s="362"/>
      <c r="BU765" s="362"/>
      <c r="BV765" s="362"/>
      <c r="BW765" s="362"/>
      <c r="BX765" s="362"/>
      <c r="BY765" s="362"/>
      <c r="BZ765" s="362"/>
      <c r="CA765" s="362"/>
      <c r="CB765" s="362"/>
      <c r="CC765" s="362"/>
      <c r="CD765" s="362"/>
      <c r="CE765" s="362"/>
    </row>
    <row r="766" spans="1:83" ht="12.65" customHeight="1">
      <c r="A766" s="363" t="str">
        <f>RIGHT($C$83,3)&amp;"*"&amp;RIGHT($C$82,4)&amp;"*"&amp;AI$55&amp;"*"&amp;"A"</f>
        <v>197*2020*7250*A</v>
      </c>
      <c r="B766" s="359">
        <f>ROUND(AI59,0)</f>
        <v>7280</v>
      </c>
      <c r="C766" s="364">
        <f>ROUND(AI60,2)</f>
        <v>16.100000000000001</v>
      </c>
      <c r="D766" s="359">
        <f>ROUND(AI61,0)</f>
        <v>1542406</v>
      </c>
      <c r="E766" s="359">
        <f>ROUND(AI62,0)</f>
        <v>277242</v>
      </c>
      <c r="F766" s="359">
        <f>ROUND(AI63,0)</f>
        <v>0</v>
      </c>
      <c r="G766" s="359">
        <f>ROUND(AI64,0)</f>
        <v>270991</v>
      </c>
      <c r="H766" s="359">
        <f>ROUND(AI65,0)</f>
        <v>0</v>
      </c>
      <c r="I766" s="359">
        <f>ROUND(AI66,0)</f>
        <v>1016</v>
      </c>
      <c r="J766" s="359">
        <f>ROUND(AI67,0)</f>
        <v>189008</v>
      </c>
      <c r="K766" s="359">
        <f>ROUND(AI68,0)</f>
        <v>2</v>
      </c>
      <c r="L766" s="359">
        <f>ROUND(AI69,0)</f>
        <v>79418</v>
      </c>
      <c r="M766" s="359">
        <f>ROUND(AI70,0)</f>
        <v>0</v>
      </c>
      <c r="N766" s="359">
        <f>ROUND(AI75,0)</f>
        <v>7532899</v>
      </c>
      <c r="O766" s="359">
        <f>ROUND(AI73,0)</f>
        <v>1259027</v>
      </c>
      <c r="P766" s="359">
        <f>IF(AI76&gt;0,ROUND(AI76,0),0)</f>
        <v>4979</v>
      </c>
      <c r="Q766" s="359">
        <f>IF(AI77&gt;0,ROUND(AI77,0),0)</f>
        <v>0</v>
      </c>
      <c r="R766" s="359">
        <f>IF(AI78&gt;0,ROUND(AI78,0),0)</f>
        <v>1269</v>
      </c>
      <c r="S766" s="359">
        <f>IF(AI79&gt;0,ROUND(AI79,0),0)</f>
        <v>31081</v>
      </c>
      <c r="T766" s="364">
        <f>IF(AI80&gt;0,ROUND(AI80,2),0)</f>
        <v>13.65</v>
      </c>
      <c r="U766" s="359"/>
      <c r="V766" s="362"/>
      <c r="W766" s="359"/>
      <c r="X766" s="359"/>
      <c r="Y766" s="359">
        <f t="shared" si="21"/>
        <v>1681595</v>
      </c>
      <c r="Z766" s="362"/>
      <c r="AA766" s="362"/>
      <c r="AB766" s="362"/>
      <c r="AC766" s="362"/>
      <c r="AD766" s="362"/>
      <c r="AE766" s="362"/>
      <c r="AF766" s="362"/>
      <c r="AG766" s="362"/>
      <c r="AH766" s="362"/>
      <c r="AI766" s="362"/>
      <c r="AJ766" s="362"/>
      <c r="AK766" s="362"/>
      <c r="AL766" s="362"/>
      <c r="AM766" s="362"/>
      <c r="AN766" s="362"/>
      <c r="AO766" s="362"/>
      <c r="AP766" s="362"/>
      <c r="AQ766" s="362"/>
      <c r="AR766" s="362"/>
      <c r="AS766" s="362"/>
      <c r="AT766" s="362"/>
      <c r="AU766" s="362"/>
      <c r="AV766" s="362"/>
      <c r="AW766" s="362"/>
      <c r="AX766" s="362"/>
      <c r="AY766" s="362"/>
      <c r="AZ766" s="362"/>
      <c r="BA766" s="362"/>
      <c r="BB766" s="362"/>
      <c r="BC766" s="362"/>
      <c r="BD766" s="362"/>
      <c r="BE766" s="362"/>
      <c r="BF766" s="362"/>
      <c r="BG766" s="362"/>
      <c r="BH766" s="362"/>
      <c r="BI766" s="362"/>
      <c r="BJ766" s="362"/>
      <c r="BK766" s="362"/>
      <c r="BL766" s="362"/>
      <c r="BM766" s="362"/>
      <c r="BN766" s="362"/>
      <c r="BO766" s="362"/>
      <c r="BP766" s="362"/>
      <c r="BQ766" s="362"/>
      <c r="BR766" s="362"/>
      <c r="BS766" s="362"/>
      <c r="BT766" s="362"/>
      <c r="BU766" s="362"/>
      <c r="BV766" s="362"/>
      <c r="BW766" s="362"/>
      <c r="BX766" s="362"/>
      <c r="BY766" s="362"/>
      <c r="BZ766" s="362"/>
      <c r="CA766" s="362"/>
      <c r="CB766" s="362"/>
      <c r="CC766" s="362"/>
      <c r="CD766" s="362"/>
      <c r="CE766" s="362"/>
    </row>
    <row r="767" spans="1:83" ht="12.65" customHeight="1">
      <c r="A767" s="363" t="str">
        <f>RIGHT($C$83,3)&amp;"*"&amp;RIGHT($C$82,4)&amp;"*"&amp;AJ$55&amp;"*"&amp;"A"</f>
        <v>197*2020*7260*A</v>
      </c>
      <c r="B767" s="359">
        <f>ROUND(AJ59,0)</f>
        <v>0</v>
      </c>
      <c r="C767" s="364">
        <f>ROUND(AJ60,2)</f>
        <v>0</v>
      </c>
      <c r="D767" s="359">
        <f>ROUND(AJ61,0)</f>
        <v>0</v>
      </c>
      <c r="E767" s="359">
        <f>ROUND(AJ62,0)</f>
        <v>0</v>
      </c>
      <c r="F767" s="359">
        <f>ROUND(AJ63,0)</f>
        <v>0</v>
      </c>
      <c r="G767" s="359">
        <f>ROUND(AJ64,0)</f>
        <v>0</v>
      </c>
      <c r="H767" s="359">
        <f>ROUND(AJ65,0)</f>
        <v>0</v>
      </c>
      <c r="I767" s="359">
        <f>ROUND(AJ66,0)</f>
        <v>0</v>
      </c>
      <c r="J767" s="359">
        <f>ROUND(AJ67,0)</f>
        <v>0</v>
      </c>
      <c r="K767" s="359">
        <f>ROUND(AJ68,0)</f>
        <v>0</v>
      </c>
      <c r="L767" s="359">
        <f>ROUND(AJ69,0)</f>
        <v>0</v>
      </c>
      <c r="M767" s="359">
        <f>ROUND(AJ70,0)</f>
        <v>0</v>
      </c>
      <c r="N767" s="359">
        <f>ROUND(AJ75,0)</f>
        <v>0</v>
      </c>
      <c r="O767" s="359">
        <f>ROUND(AJ73,0)</f>
        <v>0</v>
      </c>
      <c r="P767" s="359">
        <f>IF(AJ76&gt;0,ROUND(AJ76,0),0)</f>
        <v>0</v>
      </c>
      <c r="Q767" s="359">
        <f>IF(AJ77&gt;0,ROUND(AJ77,0),0)</f>
        <v>0</v>
      </c>
      <c r="R767" s="359">
        <f>IF(AJ78&gt;0,ROUND(AJ78,0),0)</f>
        <v>0</v>
      </c>
      <c r="S767" s="359">
        <f>IF(AJ79&gt;0,ROUND(AJ79,0),0)</f>
        <v>0</v>
      </c>
      <c r="T767" s="364">
        <f>IF(AJ80&gt;0,ROUND(AJ80,2),0)</f>
        <v>0</v>
      </c>
      <c r="U767" s="359"/>
      <c r="V767" s="362"/>
      <c r="W767" s="359"/>
      <c r="X767" s="359"/>
      <c r="Y767" s="359">
        <f t="shared" si="21"/>
        <v>0</v>
      </c>
      <c r="Z767" s="362"/>
      <c r="AA767" s="362"/>
      <c r="AB767" s="362"/>
      <c r="AC767" s="362"/>
      <c r="AD767" s="362"/>
      <c r="AE767" s="362"/>
      <c r="AF767" s="362"/>
      <c r="AG767" s="362"/>
      <c r="AH767" s="362"/>
      <c r="AI767" s="362"/>
      <c r="AJ767" s="362"/>
      <c r="AK767" s="362"/>
      <c r="AL767" s="362"/>
      <c r="AM767" s="362"/>
      <c r="AN767" s="362"/>
      <c r="AO767" s="362"/>
      <c r="AP767" s="362"/>
      <c r="AQ767" s="362"/>
      <c r="AR767" s="362"/>
      <c r="AS767" s="362"/>
      <c r="AT767" s="362"/>
      <c r="AU767" s="362"/>
      <c r="AV767" s="362"/>
      <c r="AW767" s="362"/>
      <c r="AX767" s="362"/>
      <c r="AY767" s="362"/>
      <c r="AZ767" s="362"/>
      <c r="BA767" s="362"/>
      <c r="BB767" s="362"/>
      <c r="BC767" s="362"/>
      <c r="BD767" s="362"/>
      <c r="BE767" s="362"/>
      <c r="BF767" s="362"/>
      <c r="BG767" s="362"/>
      <c r="BH767" s="362"/>
      <c r="BI767" s="362"/>
      <c r="BJ767" s="362"/>
      <c r="BK767" s="362"/>
      <c r="BL767" s="362"/>
      <c r="BM767" s="362"/>
      <c r="BN767" s="362"/>
      <c r="BO767" s="362"/>
      <c r="BP767" s="362"/>
      <c r="BQ767" s="362"/>
      <c r="BR767" s="362"/>
      <c r="BS767" s="362"/>
      <c r="BT767" s="362"/>
      <c r="BU767" s="362"/>
      <c r="BV767" s="362"/>
      <c r="BW767" s="362"/>
      <c r="BX767" s="362"/>
      <c r="BY767" s="362"/>
      <c r="BZ767" s="362"/>
      <c r="CA767" s="362"/>
      <c r="CB767" s="362"/>
      <c r="CC767" s="362"/>
      <c r="CD767" s="362"/>
      <c r="CE767" s="362"/>
    </row>
    <row r="768" spans="1:83" ht="12.65" customHeight="1">
      <c r="A768" s="363" t="str">
        <f>RIGHT($C$83,3)&amp;"*"&amp;RIGHT($C$82,4)&amp;"*"&amp;AK$55&amp;"*"&amp;"A"</f>
        <v>197*2020*7310*A</v>
      </c>
      <c r="B768" s="359">
        <f>ROUND(AK59,0)</f>
        <v>2715</v>
      </c>
      <c r="C768" s="364">
        <f>ROUND(AK60,2)</f>
        <v>0.54</v>
      </c>
      <c r="D768" s="359">
        <f>ROUND(AK61,0)</f>
        <v>63002</v>
      </c>
      <c r="E768" s="359">
        <f>ROUND(AK62,0)</f>
        <v>11589</v>
      </c>
      <c r="F768" s="359">
        <f>ROUND(AK63,0)</f>
        <v>0</v>
      </c>
      <c r="G768" s="359">
        <f>ROUND(AK64,0)</f>
        <v>2478</v>
      </c>
      <c r="H768" s="359">
        <f>ROUND(AK65,0)</f>
        <v>256</v>
      </c>
      <c r="I768" s="359">
        <f>ROUND(AK66,0)</f>
        <v>0</v>
      </c>
      <c r="J768" s="359">
        <f>ROUND(AK67,0)</f>
        <v>0</v>
      </c>
      <c r="K768" s="359">
        <f>ROUND(AK68,0)</f>
        <v>5</v>
      </c>
      <c r="L768" s="359">
        <f>ROUND(AK69,0)</f>
        <v>103</v>
      </c>
      <c r="M768" s="359">
        <f>ROUND(AK70,0)</f>
        <v>0</v>
      </c>
      <c r="N768" s="359">
        <f>ROUND(AK75,0)</f>
        <v>583385</v>
      </c>
      <c r="O768" s="359">
        <f>ROUND(AK73,0)</f>
        <v>316968</v>
      </c>
      <c r="P768" s="359">
        <f>IF(AK76&gt;0,ROUND(AK76,0),0)</f>
        <v>0</v>
      </c>
      <c r="Q768" s="359">
        <f>IF(AK77&gt;0,ROUND(AK77,0),0)</f>
        <v>0</v>
      </c>
      <c r="R768" s="359">
        <f>IF(AK78&gt;0,ROUND(AK78,0),0)</f>
        <v>0</v>
      </c>
      <c r="S768" s="359">
        <f>IF(AK79&gt;0,ROUND(AK79,0),0)</f>
        <v>0</v>
      </c>
      <c r="T768" s="364">
        <f>IF(AK80&gt;0,ROUND(AK80,2),0)</f>
        <v>0.54</v>
      </c>
      <c r="U768" s="359"/>
      <c r="V768" s="362"/>
      <c r="W768" s="359"/>
      <c r="X768" s="359"/>
      <c r="Y768" s="359">
        <f t="shared" si="21"/>
        <v>28109</v>
      </c>
      <c r="Z768" s="362"/>
      <c r="AA768" s="362"/>
      <c r="AB768" s="362"/>
      <c r="AC768" s="362"/>
      <c r="AD768" s="362"/>
      <c r="AE768" s="362"/>
      <c r="AF768" s="362"/>
      <c r="AG768" s="362"/>
      <c r="AH768" s="362"/>
      <c r="AI768" s="362"/>
      <c r="AJ768" s="362"/>
      <c r="AK768" s="362"/>
      <c r="AL768" s="362"/>
      <c r="AM768" s="362"/>
      <c r="AN768" s="362"/>
      <c r="AO768" s="362"/>
      <c r="AP768" s="362"/>
      <c r="AQ768" s="362"/>
      <c r="AR768" s="362"/>
      <c r="AS768" s="362"/>
      <c r="AT768" s="362"/>
      <c r="AU768" s="362"/>
      <c r="AV768" s="362"/>
      <c r="AW768" s="362"/>
      <c r="AX768" s="362"/>
      <c r="AY768" s="362"/>
      <c r="AZ768" s="362"/>
      <c r="BA768" s="362"/>
      <c r="BB768" s="362"/>
      <c r="BC768" s="362"/>
      <c r="BD768" s="362"/>
      <c r="BE768" s="362"/>
      <c r="BF768" s="362"/>
      <c r="BG768" s="362"/>
      <c r="BH768" s="362"/>
      <c r="BI768" s="362"/>
      <c r="BJ768" s="362"/>
      <c r="BK768" s="362"/>
      <c r="BL768" s="362"/>
      <c r="BM768" s="362"/>
      <c r="BN768" s="362"/>
      <c r="BO768" s="362"/>
      <c r="BP768" s="362"/>
      <c r="BQ768" s="362"/>
      <c r="BR768" s="362"/>
      <c r="BS768" s="362"/>
      <c r="BT768" s="362"/>
      <c r="BU768" s="362"/>
      <c r="BV768" s="362"/>
      <c r="BW768" s="362"/>
      <c r="BX768" s="362"/>
      <c r="BY768" s="362"/>
      <c r="BZ768" s="362"/>
      <c r="CA768" s="362"/>
      <c r="CB768" s="362"/>
      <c r="CC768" s="362"/>
      <c r="CD768" s="362"/>
      <c r="CE768" s="362"/>
    </row>
    <row r="769" spans="1:83" ht="12.65" customHeight="1">
      <c r="A769" s="363" t="str">
        <f>RIGHT($C$83,3)&amp;"*"&amp;RIGHT($C$82,4)&amp;"*"&amp;AL$55&amp;"*"&amp;"A"</f>
        <v>197*2020*7320*A</v>
      </c>
      <c r="B769" s="359">
        <f>ROUND(AL59,0)</f>
        <v>798</v>
      </c>
      <c r="C769" s="364">
        <f>ROUND(AL60,2)</f>
        <v>0.44</v>
      </c>
      <c r="D769" s="359">
        <f>ROUND(AL61,0)</f>
        <v>0</v>
      </c>
      <c r="E769" s="359">
        <f>ROUND(AL62,0)</f>
        <v>0</v>
      </c>
      <c r="F769" s="359">
        <f>ROUND(AL63,0)</f>
        <v>0</v>
      </c>
      <c r="G769" s="359">
        <f>ROUND(AL64,0)</f>
        <v>0</v>
      </c>
      <c r="H769" s="359">
        <f>ROUND(AL65,0)</f>
        <v>0</v>
      </c>
      <c r="I769" s="359">
        <f>ROUND(AL66,0)</f>
        <v>0</v>
      </c>
      <c r="J769" s="359">
        <f>ROUND(AL67,0)</f>
        <v>0</v>
      </c>
      <c r="K769" s="359">
        <f>ROUND(AL68,0)</f>
        <v>0</v>
      </c>
      <c r="L769" s="359">
        <f>ROUND(AL69,0)</f>
        <v>56145</v>
      </c>
      <c r="M769" s="359">
        <f>ROUND(AL70,0)</f>
        <v>0</v>
      </c>
      <c r="N769" s="359">
        <f>ROUND(AL75,0)</f>
        <v>376622</v>
      </c>
      <c r="O769" s="359">
        <f>ROUND(AL73,0)</f>
        <v>139600</v>
      </c>
      <c r="P769" s="359">
        <f>IF(AL76&gt;0,ROUND(AL76,0),0)</f>
        <v>0</v>
      </c>
      <c r="Q769" s="359">
        <f>IF(AL77&gt;0,ROUND(AL77,0),0)</f>
        <v>0</v>
      </c>
      <c r="R769" s="359">
        <f>IF(AL78&gt;0,ROUND(AL78,0),0)</f>
        <v>0</v>
      </c>
      <c r="S769" s="359">
        <f>IF(AL79&gt;0,ROUND(AL79,0),0)</f>
        <v>0</v>
      </c>
      <c r="T769" s="364">
        <f>IF(AL80&gt;0,ROUND(AL80,2),0)</f>
        <v>0</v>
      </c>
      <c r="U769" s="359"/>
      <c r="V769" s="362"/>
      <c r="W769" s="359"/>
      <c r="X769" s="359"/>
      <c r="Y769" s="359">
        <f t="shared" si="21"/>
        <v>14271</v>
      </c>
      <c r="Z769" s="362"/>
      <c r="AA769" s="362"/>
      <c r="AB769" s="362"/>
      <c r="AC769" s="362"/>
      <c r="AD769" s="362"/>
      <c r="AE769" s="362"/>
      <c r="AF769" s="362"/>
      <c r="AG769" s="362"/>
      <c r="AH769" s="362"/>
      <c r="AI769" s="362"/>
      <c r="AJ769" s="362"/>
      <c r="AK769" s="362"/>
      <c r="AL769" s="362"/>
      <c r="AM769" s="362"/>
      <c r="AN769" s="362"/>
      <c r="AO769" s="362"/>
      <c r="AP769" s="362"/>
      <c r="AQ769" s="362"/>
      <c r="AR769" s="362"/>
      <c r="AS769" s="362"/>
      <c r="AT769" s="362"/>
      <c r="AU769" s="362"/>
      <c r="AV769" s="362"/>
      <c r="AW769" s="362"/>
      <c r="AX769" s="362"/>
      <c r="AY769" s="362"/>
      <c r="AZ769" s="362"/>
      <c r="BA769" s="362"/>
      <c r="BB769" s="362"/>
      <c r="BC769" s="362"/>
      <c r="BD769" s="362"/>
      <c r="BE769" s="362"/>
      <c r="BF769" s="362"/>
      <c r="BG769" s="362"/>
      <c r="BH769" s="362"/>
      <c r="BI769" s="362"/>
      <c r="BJ769" s="362"/>
      <c r="BK769" s="362"/>
      <c r="BL769" s="362"/>
      <c r="BM769" s="362"/>
      <c r="BN769" s="362"/>
      <c r="BO769" s="362"/>
      <c r="BP769" s="362"/>
      <c r="BQ769" s="362"/>
      <c r="BR769" s="362"/>
      <c r="BS769" s="362"/>
      <c r="BT769" s="362"/>
      <c r="BU769" s="362"/>
      <c r="BV769" s="362"/>
      <c r="BW769" s="362"/>
      <c r="BX769" s="362"/>
      <c r="BY769" s="362"/>
      <c r="BZ769" s="362"/>
      <c r="CA769" s="362"/>
      <c r="CB769" s="362"/>
      <c r="CC769" s="362"/>
      <c r="CD769" s="362"/>
      <c r="CE769" s="362"/>
    </row>
    <row r="770" spans="1:83" ht="12.65" customHeight="1">
      <c r="A770" s="363" t="str">
        <f>RIGHT($C$83,3)&amp;"*"&amp;RIGHT($C$82,4)&amp;"*"&amp;AM$55&amp;"*"&amp;"A"</f>
        <v>197*2020*7330*A</v>
      </c>
      <c r="B770" s="359">
        <f>ROUND(AM59,0)</f>
        <v>0</v>
      </c>
      <c r="C770" s="364">
        <f>ROUND(AM60,2)</f>
        <v>0</v>
      </c>
      <c r="D770" s="359">
        <f>ROUND(AM61,0)</f>
        <v>0</v>
      </c>
      <c r="E770" s="359">
        <f>ROUND(AM62,0)</f>
        <v>0</v>
      </c>
      <c r="F770" s="359">
        <f>ROUND(AM63,0)</f>
        <v>0</v>
      </c>
      <c r="G770" s="359">
        <f>ROUND(AM64,0)</f>
        <v>0</v>
      </c>
      <c r="H770" s="359">
        <f>ROUND(AM65,0)</f>
        <v>0</v>
      </c>
      <c r="I770" s="359">
        <f>ROUND(AM66,0)</f>
        <v>0</v>
      </c>
      <c r="J770" s="359">
        <f>ROUND(AM67,0)</f>
        <v>0</v>
      </c>
      <c r="K770" s="359">
        <f>ROUND(AM68,0)</f>
        <v>0</v>
      </c>
      <c r="L770" s="359">
        <f>ROUND(AM69,0)</f>
        <v>0</v>
      </c>
      <c r="M770" s="359">
        <f>ROUND(AM70,0)</f>
        <v>0</v>
      </c>
      <c r="N770" s="359">
        <f>ROUND(AM75,0)</f>
        <v>0</v>
      </c>
      <c r="O770" s="359">
        <f>ROUND(AM73,0)</f>
        <v>0</v>
      </c>
      <c r="P770" s="359">
        <f>IF(AM76&gt;0,ROUND(AM76,0),0)</f>
        <v>0</v>
      </c>
      <c r="Q770" s="359">
        <f>IF(AM77&gt;0,ROUND(AM77,0),0)</f>
        <v>0</v>
      </c>
      <c r="R770" s="359">
        <f>IF(AM78&gt;0,ROUND(AM78,0),0)</f>
        <v>0</v>
      </c>
      <c r="S770" s="359">
        <f>IF(AM79&gt;0,ROUND(AM79,0),0)</f>
        <v>0</v>
      </c>
      <c r="T770" s="364">
        <f>IF(AM80&gt;0,ROUND(AM80,2),0)</f>
        <v>0</v>
      </c>
      <c r="U770" s="359"/>
      <c r="V770" s="362"/>
      <c r="W770" s="359"/>
      <c r="X770" s="359"/>
      <c r="Y770" s="359">
        <f t="shared" si="21"/>
        <v>0</v>
      </c>
      <c r="Z770" s="362"/>
      <c r="AA770" s="362"/>
      <c r="AB770" s="362"/>
      <c r="AC770" s="362"/>
      <c r="AD770" s="362"/>
      <c r="AE770" s="362"/>
      <c r="AF770" s="362"/>
      <c r="AG770" s="362"/>
      <c r="AH770" s="362"/>
      <c r="AI770" s="362"/>
      <c r="AJ770" s="362"/>
      <c r="AK770" s="362"/>
      <c r="AL770" s="362"/>
      <c r="AM770" s="362"/>
      <c r="AN770" s="362"/>
      <c r="AO770" s="362"/>
      <c r="AP770" s="362"/>
      <c r="AQ770" s="362"/>
      <c r="AR770" s="362"/>
      <c r="AS770" s="362"/>
      <c r="AT770" s="362"/>
      <c r="AU770" s="362"/>
      <c r="AV770" s="362"/>
      <c r="AW770" s="362"/>
      <c r="AX770" s="362"/>
      <c r="AY770" s="362"/>
      <c r="AZ770" s="362"/>
      <c r="BA770" s="362"/>
      <c r="BB770" s="362"/>
      <c r="BC770" s="362"/>
      <c r="BD770" s="362"/>
      <c r="BE770" s="362"/>
      <c r="BF770" s="362"/>
      <c r="BG770" s="362"/>
      <c r="BH770" s="362"/>
      <c r="BI770" s="362"/>
      <c r="BJ770" s="362"/>
      <c r="BK770" s="362"/>
      <c r="BL770" s="362"/>
      <c r="BM770" s="362"/>
      <c r="BN770" s="362"/>
      <c r="BO770" s="362"/>
      <c r="BP770" s="362"/>
      <c r="BQ770" s="362"/>
      <c r="BR770" s="362"/>
      <c r="BS770" s="362"/>
      <c r="BT770" s="362"/>
      <c r="BU770" s="362"/>
      <c r="BV770" s="362"/>
      <c r="BW770" s="362"/>
      <c r="BX770" s="362"/>
      <c r="BY770" s="362"/>
      <c r="BZ770" s="362"/>
      <c r="CA770" s="362"/>
      <c r="CB770" s="362"/>
      <c r="CC770" s="362"/>
      <c r="CD770" s="362"/>
      <c r="CE770" s="362"/>
    </row>
    <row r="771" spans="1:83" ht="12.65" customHeight="1">
      <c r="A771" s="363" t="str">
        <f>RIGHT($C$83,3)&amp;"*"&amp;RIGHT($C$82,4)&amp;"*"&amp;AN$55&amp;"*"&amp;"A"</f>
        <v>197*2020*7340*A</v>
      </c>
      <c r="B771" s="359">
        <f>ROUND(AN59,0)</f>
        <v>0</v>
      </c>
      <c r="C771" s="364">
        <f>ROUND(AN60,2)</f>
        <v>0</v>
      </c>
      <c r="D771" s="359">
        <f>ROUND(AN61,0)</f>
        <v>0</v>
      </c>
      <c r="E771" s="359">
        <f>ROUND(AN62,0)</f>
        <v>0</v>
      </c>
      <c r="F771" s="359">
        <f>ROUND(AN63,0)</f>
        <v>0</v>
      </c>
      <c r="G771" s="359">
        <f>ROUND(AN64,0)</f>
        <v>0</v>
      </c>
      <c r="H771" s="359">
        <f>ROUND(AN65,0)</f>
        <v>0</v>
      </c>
      <c r="I771" s="359">
        <f>ROUND(AN66,0)</f>
        <v>0</v>
      </c>
      <c r="J771" s="359">
        <f>ROUND(AN67,0)</f>
        <v>0</v>
      </c>
      <c r="K771" s="359">
        <f>ROUND(AN68,0)</f>
        <v>0</v>
      </c>
      <c r="L771" s="359">
        <f>ROUND(AN69,0)</f>
        <v>0</v>
      </c>
      <c r="M771" s="359">
        <f>ROUND(AN70,0)</f>
        <v>0</v>
      </c>
      <c r="N771" s="359">
        <f>ROUND(AN75,0)</f>
        <v>0</v>
      </c>
      <c r="O771" s="359">
        <f>ROUND(AN73,0)</f>
        <v>0</v>
      </c>
      <c r="P771" s="359">
        <f>IF(AN76&gt;0,ROUND(AN76,0),0)</f>
        <v>0</v>
      </c>
      <c r="Q771" s="359">
        <f>IF(AN77&gt;0,ROUND(AN77,0),0)</f>
        <v>0</v>
      </c>
      <c r="R771" s="359">
        <f>IF(AN78&gt;0,ROUND(AN78,0),0)</f>
        <v>0</v>
      </c>
      <c r="S771" s="359">
        <f>IF(AN79&gt;0,ROUND(AN79,0),0)</f>
        <v>0</v>
      </c>
      <c r="T771" s="364">
        <f>IF(AN80&gt;0,ROUND(AN80,2),0)</f>
        <v>0</v>
      </c>
      <c r="U771" s="359"/>
      <c r="V771" s="362"/>
      <c r="W771" s="359"/>
      <c r="X771" s="359"/>
      <c r="Y771" s="359">
        <f t="shared" si="21"/>
        <v>0</v>
      </c>
      <c r="Z771" s="362"/>
      <c r="AA771" s="362"/>
      <c r="AB771" s="362"/>
      <c r="AC771" s="362"/>
      <c r="AD771" s="362"/>
      <c r="AE771" s="362"/>
      <c r="AF771" s="362"/>
      <c r="AG771" s="362"/>
      <c r="AH771" s="362"/>
      <c r="AI771" s="362"/>
      <c r="AJ771" s="362"/>
      <c r="AK771" s="362"/>
      <c r="AL771" s="362"/>
      <c r="AM771" s="362"/>
      <c r="AN771" s="362"/>
      <c r="AO771" s="362"/>
      <c r="AP771" s="362"/>
      <c r="AQ771" s="362"/>
      <c r="AR771" s="362"/>
      <c r="AS771" s="362"/>
      <c r="AT771" s="362"/>
      <c r="AU771" s="362"/>
      <c r="AV771" s="362"/>
      <c r="AW771" s="362"/>
      <c r="AX771" s="362"/>
      <c r="AY771" s="362"/>
      <c r="AZ771" s="362"/>
      <c r="BA771" s="362"/>
      <c r="BB771" s="362"/>
      <c r="BC771" s="362"/>
      <c r="BD771" s="362"/>
      <c r="BE771" s="362"/>
      <c r="BF771" s="362"/>
      <c r="BG771" s="362"/>
      <c r="BH771" s="362"/>
      <c r="BI771" s="362"/>
      <c r="BJ771" s="362"/>
      <c r="BK771" s="362"/>
      <c r="BL771" s="362"/>
      <c r="BM771" s="362"/>
      <c r="BN771" s="362"/>
      <c r="BO771" s="362"/>
      <c r="BP771" s="362"/>
      <c r="BQ771" s="362"/>
      <c r="BR771" s="362"/>
      <c r="BS771" s="362"/>
      <c r="BT771" s="362"/>
      <c r="BU771" s="362"/>
      <c r="BV771" s="362"/>
      <c r="BW771" s="362"/>
      <c r="BX771" s="362"/>
      <c r="BY771" s="362"/>
      <c r="BZ771" s="362"/>
      <c r="CA771" s="362"/>
      <c r="CB771" s="362"/>
      <c r="CC771" s="362"/>
      <c r="CD771" s="362"/>
      <c r="CE771" s="362"/>
    </row>
    <row r="772" spans="1:83" ht="12.65" customHeight="1">
      <c r="A772" s="363" t="str">
        <f>RIGHT($C$83,3)&amp;"*"&amp;RIGHT($C$82,4)&amp;"*"&amp;AO$55&amp;"*"&amp;"A"</f>
        <v>197*2020*7350*A</v>
      </c>
      <c r="B772" s="359">
        <f>ROUND(AO59,0)</f>
        <v>0</v>
      </c>
      <c r="C772" s="364">
        <f>ROUND(AO60,2)</f>
        <v>0</v>
      </c>
      <c r="D772" s="359">
        <f>ROUND(AO61,0)</f>
        <v>0</v>
      </c>
      <c r="E772" s="359">
        <f>ROUND(AO62,0)</f>
        <v>0</v>
      </c>
      <c r="F772" s="359">
        <f>ROUND(AO63,0)</f>
        <v>0</v>
      </c>
      <c r="G772" s="359">
        <f>ROUND(AO64,0)</f>
        <v>0</v>
      </c>
      <c r="H772" s="359">
        <f>ROUND(AO65,0)</f>
        <v>0</v>
      </c>
      <c r="I772" s="359">
        <f>ROUND(AO66,0)</f>
        <v>0</v>
      </c>
      <c r="J772" s="359">
        <f>ROUND(AO67,0)</f>
        <v>0</v>
      </c>
      <c r="K772" s="359">
        <f>ROUND(AO68,0)</f>
        <v>0</v>
      </c>
      <c r="L772" s="359">
        <f>ROUND(AO69,0)</f>
        <v>0</v>
      </c>
      <c r="M772" s="359">
        <f>ROUND(AO70,0)</f>
        <v>0</v>
      </c>
      <c r="N772" s="359">
        <f>ROUND(AO75,0)</f>
        <v>0</v>
      </c>
      <c r="O772" s="359">
        <f>ROUND(AO73,0)</f>
        <v>0</v>
      </c>
      <c r="P772" s="359">
        <f>IF(AO76&gt;0,ROUND(AO76,0),0)</f>
        <v>0</v>
      </c>
      <c r="Q772" s="359">
        <f>IF(AO77&gt;0,ROUND(AO77,0),0)</f>
        <v>0</v>
      </c>
      <c r="R772" s="359">
        <f>IF(AO78&gt;0,ROUND(AO78,0),0)</f>
        <v>0</v>
      </c>
      <c r="S772" s="359">
        <f>IF(AO79&gt;0,ROUND(AO79,0),0)</f>
        <v>0</v>
      </c>
      <c r="T772" s="364">
        <f>IF(AO80&gt;0,ROUND(AO80,2),0)</f>
        <v>0</v>
      </c>
      <c r="U772" s="359"/>
      <c r="V772" s="362"/>
      <c r="W772" s="359"/>
      <c r="X772" s="359"/>
      <c r="Y772" s="359">
        <f t="shared" si="21"/>
        <v>0</v>
      </c>
      <c r="Z772" s="362"/>
      <c r="AA772" s="362"/>
      <c r="AB772" s="362"/>
      <c r="AC772" s="362"/>
      <c r="AD772" s="362"/>
      <c r="AE772" s="362"/>
      <c r="AF772" s="362"/>
      <c r="AG772" s="362"/>
      <c r="AH772" s="362"/>
      <c r="AI772" s="362"/>
      <c r="AJ772" s="362"/>
      <c r="AK772" s="362"/>
      <c r="AL772" s="362"/>
      <c r="AM772" s="362"/>
      <c r="AN772" s="362"/>
      <c r="AO772" s="362"/>
      <c r="AP772" s="362"/>
      <c r="AQ772" s="362"/>
      <c r="AR772" s="362"/>
      <c r="AS772" s="362"/>
      <c r="AT772" s="362"/>
      <c r="AU772" s="362"/>
      <c r="AV772" s="362"/>
      <c r="AW772" s="362"/>
      <c r="AX772" s="362"/>
      <c r="AY772" s="362"/>
      <c r="AZ772" s="362"/>
      <c r="BA772" s="362"/>
      <c r="BB772" s="362"/>
      <c r="BC772" s="362"/>
      <c r="BD772" s="362"/>
      <c r="BE772" s="362"/>
      <c r="BF772" s="362"/>
      <c r="BG772" s="362"/>
      <c r="BH772" s="362"/>
      <c r="BI772" s="362"/>
      <c r="BJ772" s="362"/>
      <c r="BK772" s="362"/>
      <c r="BL772" s="362"/>
      <c r="BM772" s="362"/>
      <c r="BN772" s="362"/>
      <c r="BO772" s="362"/>
      <c r="BP772" s="362"/>
      <c r="BQ772" s="362"/>
      <c r="BR772" s="362"/>
      <c r="BS772" s="362"/>
      <c r="BT772" s="362"/>
      <c r="BU772" s="362"/>
      <c r="BV772" s="362"/>
      <c r="BW772" s="362"/>
      <c r="BX772" s="362"/>
      <c r="BY772" s="362"/>
      <c r="BZ772" s="362"/>
      <c r="CA772" s="362"/>
      <c r="CB772" s="362"/>
      <c r="CC772" s="362"/>
      <c r="CD772" s="362"/>
      <c r="CE772" s="362"/>
    </row>
    <row r="773" spans="1:83" ht="12.65" customHeight="1">
      <c r="A773" s="363" t="str">
        <f>RIGHT($C$83,3)&amp;"*"&amp;RIGHT($C$82,4)&amp;"*"&amp;AP$55&amp;"*"&amp;"A"</f>
        <v>197*2020*7380*A</v>
      </c>
      <c r="B773" s="359">
        <f>ROUND(AP59,0)</f>
        <v>0</v>
      </c>
      <c r="C773" s="364">
        <f>ROUND(AP60,2)</f>
        <v>0</v>
      </c>
      <c r="D773" s="359">
        <f>ROUND(AP61,0)</f>
        <v>0</v>
      </c>
      <c r="E773" s="359">
        <f>ROUND(AP62,0)</f>
        <v>0</v>
      </c>
      <c r="F773" s="359">
        <f>ROUND(AP63,0)</f>
        <v>0</v>
      </c>
      <c r="G773" s="359">
        <f>ROUND(AP64,0)</f>
        <v>0</v>
      </c>
      <c r="H773" s="359">
        <f>ROUND(AP65,0)</f>
        <v>0</v>
      </c>
      <c r="I773" s="359">
        <f>ROUND(AP66,0)</f>
        <v>0</v>
      </c>
      <c r="J773" s="359">
        <f>ROUND(AP67,0)</f>
        <v>0</v>
      </c>
      <c r="K773" s="359">
        <f>ROUND(AP68,0)</f>
        <v>0</v>
      </c>
      <c r="L773" s="359">
        <f>ROUND(AP69,0)</f>
        <v>0</v>
      </c>
      <c r="M773" s="359">
        <f>ROUND(AP70,0)</f>
        <v>0</v>
      </c>
      <c r="N773" s="359">
        <f>ROUND(AP75,0)</f>
        <v>0</v>
      </c>
      <c r="O773" s="359">
        <f>ROUND(AP73,0)</f>
        <v>0</v>
      </c>
      <c r="P773" s="359">
        <f>IF(AP76&gt;0,ROUND(AP76,0),0)</f>
        <v>0</v>
      </c>
      <c r="Q773" s="359">
        <f>IF(AP77&gt;0,ROUND(AP77,0),0)</f>
        <v>0</v>
      </c>
      <c r="R773" s="359">
        <f>IF(AP78&gt;0,ROUND(AP78,0),0)</f>
        <v>0</v>
      </c>
      <c r="S773" s="359">
        <f>IF(AP79&gt;0,ROUND(AP79,0),0)</f>
        <v>0</v>
      </c>
      <c r="T773" s="364">
        <f>IF(AP80&gt;0,ROUND(AP80,2),0)</f>
        <v>0</v>
      </c>
      <c r="U773" s="359"/>
      <c r="V773" s="362"/>
      <c r="W773" s="359"/>
      <c r="X773" s="359"/>
      <c r="Y773" s="359">
        <f t="shared" si="21"/>
        <v>0</v>
      </c>
      <c r="Z773" s="362"/>
      <c r="AA773" s="362"/>
      <c r="AB773" s="362"/>
      <c r="AC773" s="362"/>
      <c r="AD773" s="362"/>
      <c r="AE773" s="362"/>
      <c r="AF773" s="362"/>
      <c r="AG773" s="362"/>
      <c r="AH773" s="362"/>
      <c r="AI773" s="362"/>
      <c r="AJ773" s="362"/>
      <c r="AK773" s="362"/>
      <c r="AL773" s="362"/>
      <c r="AM773" s="362"/>
      <c r="AN773" s="362"/>
      <c r="AO773" s="362"/>
      <c r="AP773" s="362"/>
      <c r="AQ773" s="362"/>
      <c r="AR773" s="362"/>
      <c r="AS773" s="362"/>
      <c r="AT773" s="362"/>
      <c r="AU773" s="362"/>
      <c r="AV773" s="362"/>
      <c r="AW773" s="362"/>
      <c r="AX773" s="362"/>
      <c r="AY773" s="362"/>
      <c r="AZ773" s="362"/>
      <c r="BA773" s="362"/>
      <c r="BB773" s="362"/>
      <c r="BC773" s="362"/>
      <c r="BD773" s="362"/>
      <c r="BE773" s="362"/>
      <c r="BF773" s="362"/>
      <c r="BG773" s="362"/>
      <c r="BH773" s="362"/>
      <c r="BI773" s="362"/>
      <c r="BJ773" s="362"/>
      <c r="BK773" s="362"/>
      <c r="BL773" s="362"/>
      <c r="BM773" s="362"/>
      <c r="BN773" s="362"/>
      <c r="BO773" s="362"/>
      <c r="BP773" s="362"/>
      <c r="BQ773" s="362"/>
      <c r="BR773" s="362"/>
      <c r="BS773" s="362"/>
      <c r="BT773" s="362"/>
      <c r="BU773" s="362"/>
      <c r="BV773" s="362"/>
      <c r="BW773" s="362"/>
      <c r="BX773" s="362"/>
      <c r="BY773" s="362"/>
      <c r="BZ773" s="362"/>
      <c r="CA773" s="362"/>
      <c r="CB773" s="362"/>
      <c r="CC773" s="362"/>
      <c r="CD773" s="362"/>
      <c r="CE773" s="362"/>
    </row>
    <row r="774" spans="1:83" ht="12.65" customHeight="1">
      <c r="A774" s="363" t="str">
        <f>RIGHT($C$83,3)&amp;"*"&amp;RIGHT($C$82,4)&amp;"*"&amp;AQ$55&amp;"*"&amp;"A"</f>
        <v>197*2020*7390*A</v>
      </c>
      <c r="B774" s="359">
        <f>ROUND(AQ59,0)</f>
        <v>0</v>
      </c>
      <c r="C774" s="364">
        <f>ROUND(AQ60,2)</f>
        <v>0</v>
      </c>
      <c r="D774" s="359">
        <f>ROUND(AQ61,0)</f>
        <v>0</v>
      </c>
      <c r="E774" s="359">
        <f>ROUND(AQ62,0)</f>
        <v>0</v>
      </c>
      <c r="F774" s="359">
        <f>ROUND(AQ63,0)</f>
        <v>0</v>
      </c>
      <c r="G774" s="359">
        <f>ROUND(AQ64,0)</f>
        <v>0</v>
      </c>
      <c r="H774" s="359">
        <f>ROUND(AQ65,0)</f>
        <v>0</v>
      </c>
      <c r="I774" s="359">
        <f>ROUND(AQ66,0)</f>
        <v>0</v>
      </c>
      <c r="J774" s="359">
        <f>ROUND(AQ67,0)</f>
        <v>0</v>
      </c>
      <c r="K774" s="359">
        <f>ROUND(AQ68,0)</f>
        <v>0</v>
      </c>
      <c r="L774" s="359">
        <f>ROUND(AQ69,0)</f>
        <v>0</v>
      </c>
      <c r="M774" s="359">
        <f>ROUND(AQ70,0)</f>
        <v>0</v>
      </c>
      <c r="N774" s="359">
        <f>ROUND(AQ75,0)</f>
        <v>0</v>
      </c>
      <c r="O774" s="359">
        <f>ROUND(AQ73,0)</f>
        <v>0</v>
      </c>
      <c r="P774" s="359">
        <f>IF(AQ76&gt;0,ROUND(AQ76,0),0)</f>
        <v>0</v>
      </c>
      <c r="Q774" s="359">
        <f>IF(AQ77&gt;0,ROUND(AQ77,0),0)</f>
        <v>0</v>
      </c>
      <c r="R774" s="359">
        <f>IF(AQ78&gt;0,ROUND(AQ78,0),0)</f>
        <v>0</v>
      </c>
      <c r="S774" s="359">
        <f>IF(AQ79&gt;0,ROUND(AQ79,0),0)</f>
        <v>0</v>
      </c>
      <c r="T774" s="364">
        <f>IF(AQ80&gt;0,ROUND(AQ80,2),0)</f>
        <v>0</v>
      </c>
      <c r="U774" s="359"/>
      <c r="V774" s="362"/>
      <c r="W774" s="359"/>
      <c r="X774" s="359"/>
      <c r="Y774" s="359">
        <f t="shared" si="21"/>
        <v>0</v>
      </c>
      <c r="Z774" s="362"/>
      <c r="AA774" s="362"/>
      <c r="AB774" s="362"/>
      <c r="AC774" s="362"/>
      <c r="AD774" s="362"/>
      <c r="AE774" s="362"/>
      <c r="AF774" s="362"/>
      <c r="AG774" s="362"/>
      <c r="AH774" s="362"/>
      <c r="AI774" s="362"/>
      <c r="AJ774" s="362"/>
      <c r="AK774" s="362"/>
      <c r="AL774" s="362"/>
      <c r="AM774" s="362"/>
      <c r="AN774" s="362"/>
      <c r="AO774" s="362"/>
      <c r="AP774" s="362"/>
      <c r="AQ774" s="362"/>
      <c r="AR774" s="362"/>
      <c r="AS774" s="362"/>
      <c r="AT774" s="362"/>
      <c r="AU774" s="362"/>
      <c r="AV774" s="362"/>
      <c r="AW774" s="362"/>
      <c r="AX774" s="362"/>
      <c r="AY774" s="362"/>
      <c r="AZ774" s="362"/>
      <c r="BA774" s="362"/>
      <c r="BB774" s="362"/>
      <c r="BC774" s="362"/>
      <c r="BD774" s="362"/>
      <c r="BE774" s="362"/>
      <c r="BF774" s="362"/>
      <c r="BG774" s="362"/>
      <c r="BH774" s="362"/>
      <c r="BI774" s="362"/>
      <c r="BJ774" s="362"/>
      <c r="BK774" s="362"/>
      <c r="BL774" s="362"/>
      <c r="BM774" s="362"/>
      <c r="BN774" s="362"/>
      <c r="BO774" s="362"/>
      <c r="BP774" s="362"/>
      <c r="BQ774" s="362"/>
      <c r="BR774" s="362"/>
      <c r="BS774" s="362"/>
      <c r="BT774" s="362"/>
      <c r="BU774" s="362"/>
      <c r="BV774" s="362"/>
      <c r="BW774" s="362"/>
      <c r="BX774" s="362"/>
      <c r="BY774" s="362"/>
      <c r="BZ774" s="362"/>
      <c r="CA774" s="362"/>
      <c r="CB774" s="362"/>
      <c r="CC774" s="362"/>
      <c r="CD774" s="362"/>
      <c r="CE774" s="362"/>
    </row>
    <row r="775" spans="1:83" ht="12.65" customHeight="1">
      <c r="A775" s="363" t="str">
        <f>RIGHT($C$83,3)&amp;"*"&amp;RIGHT($C$82,4)&amp;"*"&amp;AR$55&amp;"*"&amp;"A"</f>
        <v>197*2020*7400*A</v>
      </c>
      <c r="B775" s="359">
        <f>ROUND(AR59,0)</f>
        <v>0</v>
      </c>
      <c r="C775" s="364">
        <f>ROUND(AR60,2)</f>
        <v>0</v>
      </c>
      <c r="D775" s="359">
        <f>ROUND(AR61,0)</f>
        <v>0</v>
      </c>
      <c r="E775" s="359">
        <f>ROUND(AR62,0)</f>
        <v>0</v>
      </c>
      <c r="F775" s="359">
        <f>ROUND(AR63,0)</f>
        <v>0</v>
      </c>
      <c r="G775" s="359">
        <f>ROUND(AR64,0)</f>
        <v>0</v>
      </c>
      <c r="H775" s="359">
        <f>ROUND(AR65,0)</f>
        <v>0</v>
      </c>
      <c r="I775" s="359">
        <f>ROUND(AR66,0)</f>
        <v>0</v>
      </c>
      <c r="J775" s="359">
        <f>ROUND(AR67,0)</f>
        <v>0</v>
      </c>
      <c r="K775" s="359">
        <f>ROUND(AR68,0)</f>
        <v>0</v>
      </c>
      <c r="L775" s="359">
        <f>ROUND(AR69,0)</f>
        <v>0</v>
      </c>
      <c r="M775" s="359">
        <f>ROUND(AR70,0)</f>
        <v>0</v>
      </c>
      <c r="N775" s="359">
        <f>ROUND(AR75,0)</f>
        <v>0</v>
      </c>
      <c r="O775" s="359">
        <f>ROUND(AR73,0)</f>
        <v>0</v>
      </c>
      <c r="P775" s="359">
        <f>IF(AR76&gt;0,ROUND(AR76,0),0)</f>
        <v>0</v>
      </c>
      <c r="Q775" s="359">
        <f>IF(AR77&gt;0,ROUND(AR77,0),0)</f>
        <v>0</v>
      </c>
      <c r="R775" s="359">
        <f>IF(AR78&gt;0,ROUND(AR78,0),0)</f>
        <v>0</v>
      </c>
      <c r="S775" s="359">
        <f>IF(AR79&gt;0,ROUND(AR79,0),0)</f>
        <v>0</v>
      </c>
      <c r="T775" s="364">
        <f>IF(AR80&gt;0,ROUND(AR80,2),0)</f>
        <v>0</v>
      </c>
      <c r="U775" s="359"/>
      <c r="V775" s="362"/>
      <c r="W775" s="359"/>
      <c r="X775" s="359"/>
      <c r="Y775" s="359">
        <f t="shared" si="21"/>
        <v>0</v>
      </c>
      <c r="Z775" s="362"/>
      <c r="AA775" s="362"/>
      <c r="AB775" s="362"/>
      <c r="AC775" s="362"/>
      <c r="AD775" s="362"/>
      <c r="AE775" s="362"/>
      <c r="AF775" s="362"/>
      <c r="AG775" s="362"/>
      <c r="AH775" s="362"/>
      <c r="AI775" s="362"/>
      <c r="AJ775" s="362"/>
      <c r="AK775" s="362"/>
      <c r="AL775" s="362"/>
      <c r="AM775" s="362"/>
      <c r="AN775" s="362"/>
      <c r="AO775" s="362"/>
      <c r="AP775" s="362"/>
      <c r="AQ775" s="362"/>
      <c r="AR775" s="362"/>
      <c r="AS775" s="362"/>
      <c r="AT775" s="362"/>
      <c r="AU775" s="362"/>
      <c r="AV775" s="362"/>
      <c r="AW775" s="362"/>
      <c r="AX775" s="362"/>
      <c r="AY775" s="362"/>
      <c r="AZ775" s="362"/>
      <c r="BA775" s="362"/>
      <c r="BB775" s="362"/>
      <c r="BC775" s="362"/>
      <c r="BD775" s="362"/>
      <c r="BE775" s="362"/>
      <c r="BF775" s="362"/>
      <c r="BG775" s="362"/>
      <c r="BH775" s="362"/>
      <c r="BI775" s="362"/>
      <c r="BJ775" s="362"/>
      <c r="BK775" s="362"/>
      <c r="BL775" s="362"/>
      <c r="BM775" s="362"/>
      <c r="BN775" s="362"/>
      <c r="BO775" s="362"/>
      <c r="BP775" s="362"/>
      <c r="BQ775" s="362"/>
      <c r="BR775" s="362"/>
      <c r="BS775" s="362"/>
      <c r="BT775" s="362"/>
      <c r="BU775" s="362"/>
      <c r="BV775" s="362"/>
      <c r="BW775" s="362"/>
      <c r="BX775" s="362"/>
      <c r="BY775" s="362"/>
      <c r="BZ775" s="362"/>
      <c r="CA775" s="362"/>
      <c r="CB775" s="362"/>
      <c r="CC775" s="362"/>
      <c r="CD775" s="362"/>
      <c r="CE775" s="362"/>
    </row>
    <row r="776" spans="1:83" ht="12.65" customHeight="1">
      <c r="A776" s="363" t="str">
        <f>RIGHT($C$83,3)&amp;"*"&amp;RIGHT($C$82,4)&amp;"*"&amp;AS$55&amp;"*"&amp;"A"</f>
        <v>197*2020*7410*A</v>
      </c>
      <c r="B776" s="359">
        <f>ROUND(AS59,0)</f>
        <v>0</v>
      </c>
      <c r="C776" s="364">
        <f>ROUND(AS60,2)</f>
        <v>0</v>
      </c>
      <c r="D776" s="359">
        <f>ROUND(AS61,0)</f>
        <v>0</v>
      </c>
      <c r="E776" s="359">
        <f>ROUND(AS62,0)</f>
        <v>0</v>
      </c>
      <c r="F776" s="359">
        <f>ROUND(AS63,0)</f>
        <v>0</v>
      </c>
      <c r="G776" s="359">
        <f>ROUND(AS64,0)</f>
        <v>0</v>
      </c>
      <c r="H776" s="359">
        <f>ROUND(AS65,0)</f>
        <v>0</v>
      </c>
      <c r="I776" s="359">
        <f>ROUND(AS66,0)</f>
        <v>0</v>
      </c>
      <c r="J776" s="359">
        <f>ROUND(AS67,0)</f>
        <v>0</v>
      </c>
      <c r="K776" s="359">
        <f>ROUND(AS68,0)</f>
        <v>0</v>
      </c>
      <c r="L776" s="359">
        <f>ROUND(AS69,0)</f>
        <v>0</v>
      </c>
      <c r="M776" s="359">
        <f>ROUND(AS70,0)</f>
        <v>0</v>
      </c>
      <c r="N776" s="359">
        <f>ROUND(AS75,0)</f>
        <v>0</v>
      </c>
      <c r="O776" s="359">
        <f>ROUND(AS73,0)</f>
        <v>0</v>
      </c>
      <c r="P776" s="359">
        <f>IF(AS76&gt;0,ROUND(AS76,0),0)</f>
        <v>0</v>
      </c>
      <c r="Q776" s="359">
        <f>IF(AS77&gt;0,ROUND(AS77,0),0)</f>
        <v>0</v>
      </c>
      <c r="R776" s="359">
        <f>IF(AS78&gt;0,ROUND(AS78,0),0)</f>
        <v>0</v>
      </c>
      <c r="S776" s="359">
        <f>IF(AS79&gt;0,ROUND(AS79,0),0)</f>
        <v>0</v>
      </c>
      <c r="T776" s="364">
        <f>IF(AS80&gt;0,ROUND(AS80,2),0)</f>
        <v>0</v>
      </c>
      <c r="U776" s="359"/>
      <c r="V776" s="362"/>
      <c r="W776" s="359"/>
      <c r="X776" s="359"/>
      <c r="Y776" s="359">
        <f t="shared" si="21"/>
        <v>0</v>
      </c>
      <c r="Z776" s="362"/>
      <c r="AA776" s="362"/>
      <c r="AB776" s="362"/>
      <c r="AC776" s="362"/>
      <c r="AD776" s="362"/>
      <c r="AE776" s="362"/>
      <c r="AF776" s="362"/>
      <c r="AG776" s="362"/>
      <c r="AH776" s="362"/>
      <c r="AI776" s="362"/>
      <c r="AJ776" s="362"/>
      <c r="AK776" s="362"/>
      <c r="AL776" s="362"/>
      <c r="AM776" s="362"/>
      <c r="AN776" s="362"/>
      <c r="AO776" s="362"/>
      <c r="AP776" s="362"/>
      <c r="AQ776" s="362"/>
      <c r="AR776" s="362"/>
      <c r="AS776" s="362"/>
      <c r="AT776" s="362"/>
      <c r="AU776" s="362"/>
      <c r="AV776" s="362"/>
      <c r="AW776" s="362"/>
      <c r="AX776" s="362"/>
      <c r="AY776" s="362"/>
      <c r="AZ776" s="362"/>
      <c r="BA776" s="362"/>
      <c r="BB776" s="362"/>
      <c r="BC776" s="362"/>
      <c r="BD776" s="362"/>
      <c r="BE776" s="362"/>
      <c r="BF776" s="362"/>
      <c r="BG776" s="362"/>
      <c r="BH776" s="362"/>
      <c r="BI776" s="362"/>
      <c r="BJ776" s="362"/>
      <c r="BK776" s="362"/>
      <c r="BL776" s="362"/>
      <c r="BM776" s="362"/>
      <c r="BN776" s="362"/>
      <c r="BO776" s="362"/>
      <c r="BP776" s="362"/>
      <c r="BQ776" s="362"/>
      <c r="BR776" s="362"/>
      <c r="BS776" s="362"/>
      <c r="BT776" s="362"/>
      <c r="BU776" s="362"/>
      <c r="BV776" s="362"/>
      <c r="BW776" s="362"/>
      <c r="BX776" s="362"/>
      <c r="BY776" s="362"/>
      <c r="BZ776" s="362"/>
      <c r="CA776" s="362"/>
      <c r="CB776" s="362"/>
      <c r="CC776" s="362"/>
      <c r="CD776" s="362"/>
      <c r="CE776" s="362"/>
    </row>
    <row r="777" spans="1:83" ht="12.65" customHeight="1">
      <c r="A777" s="363" t="str">
        <f>RIGHT($C$83,3)&amp;"*"&amp;RIGHT($C$82,4)&amp;"*"&amp;AT$55&amp;"*"&amp;"A"</f>
        <v>197*2020*7420*A</v>
      </c>
      <c r="B777" s="359">
        <f>ROUND(AT59,0)</f>
        <v>0</v>
      </c>
      <c r="C777" s="364">
        <f>ROUND(AT60,2)</f>
        <v>0</v>
      </c>
      <c r="D777" s="359">
        <f>ROUND(AT61,0)</f>
        <v>0</v>
      </c>
      <c r="E777" s="359">
        <f>ROUND(AT62,0)</f>
        <v>0</v>
      </c>
      <c r="F777" s="359">
        <f>ROUND(AT63,0)</f>
        <v>0</v>
      </c>
      <c r="G777" s="359">
        <f>ROUND(AT64,0)</f>
        <v>0</v>
      </c>
      <c r="H777" s="359">
        <f>ROUND(AT65,0)</f>
        <v>0</v>
      </c>
      <c r="I777" s="359">
        <f>ROUND(AT66,0)</f>
        <v>0</v>
      </c>
      <c r="J777" s="359">
        <f>ROUND(AT67,0)</f>
        <v>0</v>
      </c>
      <c r="K777" s="359">
        <f>ROUND(AT68,0)</f>
        <v>0</v>
      </c>
      <c r="L777" s="359">
        <f>ROUND(AT69,0)</f>
        <v>0</v>
      </c>
      <c r="M777" s="359">
        <f>ROUND(AT70,0)</f>
        <v>0</v>
      </c>
      <c r="N777" s="359">
        <f>ROUND(AT75,0)</f>
        <v>0</v>
      </c>
      <c r="O777" s="359">
        <f>ROUND(AT73,0)</f>
        <v>0</v>
      </c>
      <c r="P777" s="359">
        <f>IF(AT76&gt;0,ROUND(AT76,0),0)</f>
        <v>0</v>
      </c>
      <c r="Q777" s="359">
        <f>IF(AT77&gt;0,ROUND(AT77,0),0)</f>
        <v>0</v>
      </c>
      <c r="R777" s="359">
        <f>IF(AT78&gt;0,ROUND(AT78,0),0)</f>
        <v>0</v>
      </c>
      <c r="S777" s="359">
        <f>IF(AT79&gt;0,ROUND(AT79,0),0)</f>
        <v>0</v>
      </c>
      <c r="T777" s="364">
        <f>IF(AT80&gt;0,ROUND(AT80,2),0)</f>
        <v>0</v>
      </c>
      <c r="U777" s="359"/>
      <c r="V777" s="362"/>
      <c r="W777" s="359"/>
      <c r="X777" s="359"/>
      <c r="Y777" s="359">
        <f t="shared" si="21"/>
        <v>0</v>
      </c>
      <c r="Z777" s="362"/>
      <c r="AA777" s="362"/>
      <c r="AB777" s="362"/>
      <c r="AC777" s="362"/>
      <c r="AD777" s="362"/>
      <c r="AE777" s="362"/>
      <c r="AF777" s="362"/>
      <c r="AG777" s="362"/>
      <c r="AH777" s="362"/>
      <c r="AI777" s="362"/>
      <c r="AJ777" s="362"/>
      <c r="AK777" s="362"/>
      <c r="AL777" s="362"/>
      <c r="AM777" s="362"/>
      <c r="AN777" s="362"/>
      <c r="AO777" s="362"/>
      <c r="AP777" s="362"/>
      <c r="AQ777" s="362"/>
      <c r="AR777" s="362"/>
      <c r="AS777" s="362"/>
      <c r="AT777" s="362"/>
      <c r="AU777" s="362"/>
      <c r="AV777" s="362"/>
      <c r="AW777" s="362"/>
      <c r="AX777" s="362"/>
      <c r="AY777" s="362"/>
      <c r="AZ777" s="362"/>
      <c r="BA777" s="362"/>
      <c r="BB777" s="362"/>
      <c r="BC777" s="362"/>
      <c r="BD777" s="362"/>
      <c r="BE777" s="362"/>
      <c r="BF777" s="362"/>
      <c r="BG777" s="362"/>
      <c r="BH777" s="362"/>
      <c r="BI777" s="362"/>
      <c r="BJ777" s="362"/>
      <c r="BK777" s="362"/>
      <c r="BL777" s="362"/>
      <c r="BM777" s="362"/>
      <c r="BN777" s="362"/>
      <c r="BO777" s="362"/>
      <c r="BP777" s="362"/>
      <c r="BQ777" s="362"/>
      <c r="BR777" s="362"/>
      <c r="BS777" s="362"/>
      <c r="BT777" s="362"/>
      <c r="BU777" s="362"/>
      <c r="BV777" s="362"/>
      <c r="BW777" s="362"/>
      <c r="BX777" s="362"/>
      <c r="BY777" s="362"/>
      <c r="BZ777" s="362"/>
      <c r="CA777" s="362"/>
      <c r="CB777" s="362"/>
      <c r="CC777" s="362"/>
      <c r="CD777" s="362"/>
      <c r="CE777" s="362"/>
    </row>
    <row r="778" spans="1:83" ht="12.65" customHeight="1">
      <c r="A778" s="363" t="str">
        <f>RIGHT($C$83,3)&amp;"*"&amp;RIGHT($C$82,4)&amp;"*"&amp;AU$55&amp;"*"&amp;"A"</f>
        <v>197*2020*7430*A</v>
      </c>
      <c r="B778" s="359">
        <f>ROUND(AU59,0)</f>
        <v>0</v>
      </c>
      <c r="C778" s="364">
        <f>ROUND(AU60,2)</f>
        <v>0</v>
      </c>
      <c r="D778" s="359">
        <f>ROUND(AU61,0)</f>
        <v>0</v>
      </c>
      <c r="E778" s="359">
        <f>ROUND(AU62,0)</f>
        <v>0</v>
      </c>
      <c r="F778" s="359">
        <f>ROUND(AU63,0)</f>
        <v>0</v>
      </c>
      <c r="G778" s="359">
        <f>ROUND(AU64,0)</f>
        <v>0</v>
      </c>
      <c r="H778" s="359">
        <f>ROUND(AU65,0)</f>
        <v>0</v>
      </c>
      <c r="I778" s="359">
        <f>ROUND(AU66,0)</f>
        <v>0</v>
      </c>
      <c r="J778" s="359">
        <f>ROUND(AU67,0)</f>
        <v>0</v>
      </c>
      <c r="K778" s="359">
        <f>ROUND(AU68,0)</f>
        <v>0</v>
      </c>
      <c r="L778" s="359">
        <f>ROUND(AU69,0)</f>
        <v>0</v>
      </c>
      <c r="M778" s="359">
        <f>ROUND(AU70,0)</f>
        <v>0</v>
      </c>
      <c r="N778" s="359">
        <f>ROUND(AU75,0)</f>
        <v>0</v>
      </c>
      <c r="O778" s="359">
        <f>ROUND(AU73,0)</f>
        <v>0</v>
      </c>
      <c r="P778" s="359">
        <f>IF(AU76&gt;0,ROUND(AU76,0),0)</f>
        <v>0</v>
      </c>
      <c r="Q778" s="359">
        <f>IF(AU77&gt;0,ROUND(AU77,0),0)</f>
        <v>0</v>
      </c>
      <c r="R778" s="359">
        <f>IF(AU78&gt;0,ROUND(AU78,0),0)</f>
        <v>0</v>
      </c>
      <c r="S778" s="359">
        <f>IF(AU79&gt;0,ROUND(AU79,0),0)</f>
        <v>0</v>
      </c>
      <c r="T778" s="364">
        <f>IF(AU80&gt;0,ROUND(AU80,2),0)</f>
        <v>0</v>
      </c>
      <c r="U778" s="359"/>
      <c r="V778" s="362"/>
      <c r="W778" s="359"/>
      <c r="X778" s="359"/>
      <c r="Y778" s="359">
        <f t="shared" si="21"/>
        <v>0</v>
      </c>
      <c r="Z778" s="362"/>
      <c r="AA778" s="362"/>
      <c r="AB778" s="362"/>
      <c r="AC778" s="362"/>
      <c r="AD778" s="362"/>
      <c r="AE778" s="362"/>
      <c r="AF778" s="362"/>
      <c r="AG778" s="362"/>
      <c r="AH778" s="362"/>
      <c r="AI778" s="362"/>
      <c r="AJ778" s="362"/>
      <c r="AK778" s="362"/>
      <c r="AL778" s="362"/>
      <c r="AM778" s="362"/>
      <c r="AN778" s="362"/>
      <c r="AO778" s="362"/>
      <c r="AP778" s="362"/>
      <c r="AQ778" s="362"/>
      <c r="AR778" s="362"/>
      <c r="AS778" s="362"/>
      <c r="AT778" s="362"/>
      <c r="AU778" s="362"/>
      <c r="AV778" s="362"/>
      <c r="AW778" s="362"/>
      <c r="AX778" s="362"/>
      <c r="AY778" s="362"/>
      <c r="AZ778" s="362"/>
      <c r="BA778" s="362"/>
      <c r="BB778" s="362"/>
      <c r="BC778" s="362"/>
      <c r="BD778" s="362"/>
      <c r="BE778" s="362"/>
      <c r="BF778" s="362"/>
      <c r="BG778" s="362"/>
      <c r="BH778" s="362"/>
      <c r="BI778" s="362"/>
      <c r="BJ778" s="362"/>
      <c r="BK778" s="362"/>
      <c r="BL778" s="362"/>
      <c r="BM778" s="362"/>
      <c r="BN778" s="362"/>
      <c r="BO778" s="362"/>
      <c r="BP778" s="362"/>
      <c r="BQ778" s="362"/>
      <c r="BR778" s="362"/>
      <c r="BS778" s="362"/>
      <c r="BT778" s="362"/>
      <c r="BU778" s="362"/>
      <c r="BV778" s="362"/>
      <c r="BW778" s="362"/>
      <c r="BX778" s="362"/>
      <c r="BY778" s="362"/>
      <c r="BZ778" s="362"/>
      <c r="CA778" s="362"/>
      <c r="CB778" s="362"/>
      <c r="CC778" s="362"/>
      <c r="CD778" s="362"/>
      <c r="CE778" s="362"/>
    </row>
    <row r="779" spans="1:83" ht="12.65" customHeight="1">
      <c r="A779" s="363" t="str">
        <f>RIGHT($C$83,3)&amp;"*"&amp;RIGHT($C$82,4)&amp;"*"&amp;AV$55&amp;"*"&amp;"A"</f>
        <v>197*2020*7490*A</v>
      </c>
      <c r="B779" s="359"/>
      <c r="C779" s="364">
        <f>ROUND(AV60,2)</f>
        <v>11.68</v>
      </c>
      <c r="D779" s="359">
        <f>ROUND(AV61,0)</f>
        <v>1146464</v>
      </c>
      <c r="E779" s="359">
        <f>ROUND(AV62,0)</f>
        <v>196689</v>
      </c>
      <c r="F779" s="359">
        <f>ROUND(AV63,0)</f>
        <v>1644973</v>
      </c>
      <c r="G779" s="359">
        <f>ROUND(AV64,0)</f>
        <v>269935</v>
      </c>
      <c r="H779" s="359">
        <f>ROUND(AV65,0)</f>
        <v>664</v>
      </c>
      <c r="I779" s="359">
        <f>ROUND(AV66,0)</f>
        <v>1441459</v>
      </c>
      <c r="J779" s="359">
        <f>ROUND(AV67,0)</f>
        <v>0</v>
      </c>
      <c r="K779" s="359">
        <f>ROUND(AV68,0)</f>
        <v>11667</v>
      </c>
      <c r="L779" s="359">
        <f>ROUND(AV69,0)</f>
        <v>33229</v>
      </c>
      <c r="M779" s="359">
        <f>ROUND(AV70,0)</f>
        <v>0</v>
      </c>
      <c r="N779" s="359">
        <f>ROUND(AV75,0)</f>
        <v>10938549</v>
      </c>
      <c r="O779" s="359">
        <f>ROUND(AV73,0)</f>
        <v>6437</v>
      </c>
      <c r="P779" s="359">
        <f>IF(AV76&gt;0,ROUND(AV76,0),0)</f>
        <v>0</v>
      </c>
      <c r="Q779" s="359">
        <f>IF(AV77&gt;0,ROUND(AV77,0),0)</f>
        <v>0</v>
      </c>
      <c r="R779" s="359">
        <f>IF(AV78&gt;0,ROUND(AV78,0),0)</f>
        <v>11460</v>
      </c>
      <c r="S779" s="359">
        <f>IF(AV79&gt;0,ROUND(AV79,0),0)</f>
        <v>1279</v>
      </c>
      <c r="T779" s="364">
        <f>IF(AV80&gt;0,ROUND(AV80,2),0)</f>
        <v>124.71</v>
      </c>
      <c r="U779" s="359"/>
      <c r="V779" s="362"/>
      <c r="W779" s="359"/>
      <c r="X779" s="359"/>
      <c r="Y779" s="359">
        <f t="shared" si="21"/>
        <v>2587140</v>
      </c>
      <c r="Z779" s="362"/>
      <c r="AA779" s="362"/>
      <c r="AB779" s="362"/>
      <c r="AC779" s="362"/>
      <c r="AD779" s="362"/>
      <c r="AE779" s="362"/>
      <c r="AF779" s="362"/>
      <c r="AG779" s="362"/>
      <c r="AH779" s="362"/>
      <c r="AI779" s="362"/>
      <c r="AJ779" s="362"/>
      <c r="AK779" s="362"/>
      <c r="AL779" s="362"/>
      <c r="AM779" s="362"/>
      <c r="AN779" s="362"/>
      <c r="AO779" s="362"/>
      <c r="AP779" s="362"/>
      <c r="AQ779" s="362"/>
      <c r="AR779" s="362"/>
      <c r="AS779" s="362"/>
      <c r="AT779" s="362"/>
      <c r="AU779" s="362"/>
      <c r="AV779" s="362"/>
      <c r="AW779" s="362"/>
      <c r="AX779" s="362"/>
      <c r="AY779" s="362"/>
      <c r="AZ779" s="362"/>
      <c r="BA779" s="362"/>
      <c r="BB779" s="362"/>
      <c r="BC779" s="362"/>
      <c r="BD779" s="362"/>
      <c r="BE779" s="362"/>
      <c r="BF779" s="362"/>
      <c r="BG779" s="362"/>
      <c r="BH779" s="362"/>
      <c r="BI779" s="362"/>
      <c r="BJ779" s="362"/>
      <c r="BK779" s="362"/>
      <c r="BL779" s="362"/>
      <c r="BM779" s="362"/>
      <c r="BN779" s="362"/>
      <c r="BO779" s="362"/>
      <c r="BP779" s="362"/>
      <c r="BQ779" s="362"/>
      <c r="BR779" s="362"/>
      <c r="BS779" s="362"/>
      <c r="BT779" s="362"/>
      <c r="BU779" s="362"/>
      <c r="BV779" s="362"/>
      <c r="BW779" s="362"/>
      <c r="BX779" s="362"/>
      <c r="BY779" s="362"/>
      <c r="BZ779" s="362"/>
      <c r="CA779" s="362"/>
      <c r="CB779" s="362"/>
      <c r="CC779" s="362"/>
      <c r="CD779" s="362"/>
      <c r="CE779" s="362"/>
    </row>
    <row r="780" spans="1:83" ht="12.65" customHeight="1">
      <c r="A780" s="363" t="str">
        <f>RIGHT($C$83,3)&amp;"*"&amp;RIGHT($C$82,4)&amp;"*"&amp;AW$55&amp;"*"&amp;"A"</f>
        <v>197*2020*8200*A</v>
      </c>
      <c r="B780" s="359"/>
      <c r="C780" s="364">
        <f>ROUND(AW60,2)</f>
        <v>0</v>
      </c>
      <c r="D780" s="359">
        <f>ROUND(AW61,0)</f>
        <v>0</v>
      </c>
      <c r="E780" s="359">
        <f>ROUND(AW62,0)</f>
        <v>0</v>
      </c>
      <c r="F780" s="359">
        <f>ROUND(AW63,0)</f>
        <v>0</v>
      </c>
      <c r="G780" s="359">
        <f>ROUND(AW64,0)</f>
        <v>0</v>
      </c>
      <c r="H780" s="359">
        <f>ROUND(AW65,0)</f>
        <v>0</v>
      </c>
      <c r="I780" s="359">
        <f>ROUND(AW66,0)</f>
        <v>0</v>
      </c>
      <c r="J780" s="359">
        <f>ROUND(AW67,0)</f>
        <v>0</v>
      </c>
      <c r="K780" s="359">
        <f>ROUND(AW68,0)</f>
        <v>0</v>
      </c>
      <c r="L780" s="359">
        <f>ROUND(AW69,0)</f>
        <v>0</v>
      </c>
      <c r="M780" s="359">
        <f>ROUND(AW70,0)</f>
        <v>0</v>
      </c>
      <c r="N780" s="359"/>
      <c r="O780" s="359"/>
      <c r="P780" s="359">
        <f>IF(AW76&gt;0,ROUND(AW76,0),0)</f>
        <v>0</v>
      </c>
      <c r="Q780" s="359">
        <f>IF(AW77&gt;0,ROUND(AW77,0),0)</f>
        <v>0</v>
      </c>
      <c r="R780" s="359">
        <f>IF(AW78&gt;0,ROUND(AW78,0),0)</f>
        <v>0</v>
      </c>
      <c r="S780" s="359">
        <f>IF(AW79&gt;0,ROUND(AW79,0),0)</f>
        <v>0</v>
      </c>
      <c r="T780" s="364">
        <f>IF(AW80&gt;0,ROUND(AW80,2),0)</f>
        <v>0</v>
      </c>
      <c r="U780" s="359"/>
      <c r="V780" s="362"/>
      <c r="W780" s="359"/>
      <c r="X780" s="359"/>
      <c r="Y780" s="359"/>
      <c r="Z780" s="362"/>
      <c r="AA780" s="362"/>
      <c r="AB780" s="362"/>
      <c r="AC780" s="362"/>
      <c r="AD780" s="362"/>
      <c r="AE780" s="362"/>
      <c r="AF780" s="362"/>
      <c r="AG780" s="362"/>
      <c r="AH780" s="362"/>
      <c r="AI780" s="362"/>
      <c r="AJ780" s="362"/>
      <c r="AK780" s="362"/>
      <c r="AL780" s="362"/>
      <c r="AM780" s="362"/>
      <c r="AN780" s="362"/>
      <c r="AO780" s="362"/>
      <c r="AP780" s="362"/>
      <c r="AQ780" s="362"/>
      <c r="AR780" s="362"/>
      <c r="AS780" s="362"/>
      <c r="AT780" s="362"/>
      <c r="AU780" s="362"/>
      <c r="AV780" s="362"/>
      <c r="AW780" s="362"/>
      <c r="AX780" s="362"/>
      <c r="AY780" s="362"/>
      <c r="AZ780" s="362"/>
      <c r="BA780" s="362"/>
      <c r="BB780" s="362"/>
      <c r="BC780" s="362"/>
      <c r="BD780" s="362"/>
      <c r="BE780" s="362"/>
      <c r="BF780" s="362"/>
      <c r="BG780" s="362"/>
      <c r="BH780" s="362"/>
      <c r="BI780" s="362"/>
      <c r="BJ780" s="362"/>
      <c r="BK780" s="362"/>
      <c r="BL780" s="362"/>
      <c r="BM780" s="362"/>
      <c r="BN780" s="362"/>
      <c r="BO780" s="362"/>
      <c r="BP780" s="362"/>
      <c r="BQ780" s="362"/>
      <c r="BR780" s="362"/>
      <c r="BS780" s="362"/>
      <c r="BT780" s="362"/>
      <c r="BU780" s="362"/>
      <c r="BV780" s="362"/>
      <c r="BW780" s="362"/>
      <c r="BX780" s="362"/>
      <c r="BY780" s="362"/>
      <c r="BZ780" s="362"/>
      <c r="CA780" s="362"/>
      <c r="CB780" s="362"/>
      <c r="CC780" s="362"/>
      <c r="CD780" s="362"/>
      <c r="CE780" s="362"/>
    </row>
    <row r="781" spans="1:83" ht="12.65" customHeight="1">
      <c r="A781" s="363" t="str">
        <f>RIGHT($C$83,3)&amp;"*"&amp;RIGHT($C$82,4)&amp;"*"&amp;AX$55&amp;"*"&amp;"A"</f>
        <v>197*2020*8310*A</v>
      </c>
      <c r="B781" s="359"/>
      <c r="C781" s="364">
        <f>ROUND(AX60,2)</f>
        <v>0</v>
      </c>
      <c r="D781" s="359">
        <f>ROUND(AX61,0)</f>
        <v>0</v>
      </c>
      <c r="E781" s="359">
        <f>ROUND(AX62,0)</f>
        <v>0</v>
      </c>
      <c r="F781" s="359">
        <f>ROUND(AX63,0)</f>
        <v>0</v>
      </c>
      <c r="G781" s="359">
        <f>ROUND(AX64,0)</f>
        <v>0</v>
      </c>
      <c r="H781" s="359">
        <f>ROUND(AX65,0)</f>
        <v>0</v>
      </c>
      <c r="I781" s="359">
        <f>ROUND(AX66,0)</f>
        <v>0</v>
      </c>
      <c r="J781" s="359">
        <f>ROUND(AX67,0)</f>
        <v>0</v>
      </c>
      <c r="K781" s="359">
        <f>ROUND(AX68,0)</f>
        <v>0</v>
      </c>
      <c r="L781" s="359">
        <f>ROUND(AX69,0)</f>
        <v>0</v>
      </c>
      <c r="M781" s="359">
        <f>ROUND(AX70,0)</f>
        <v>0</v>
      </c>
      <c r="N781" s="359"/>
      <c r="O781" s="359"/>
      <c r="P781" s="359">
        <f>IF(AX76&gt;0,ROUND(AX76,0),0)</f>
        <v>0</v>
      </c>
      <c r="Q781" s="359">
        <f>IF(AX77&gt;0,ROUND(AX77,0),0)</f>
        <v>0</v>
      </c>
      <c r="R781" s="359">
        <f>IF(AX78&gt;0,ROUND(AX78,0),0)</f>
        <v>0</v>
      </c>
      <c r="S781" s="359">
        <f>IF(AX79&gt;0,ROUND(AX79,0),0)</f>
        <v>0</v>
      </c>
      <c r="T781" s="364">
        <f>IF(AX80&gt;0,ROUND(AX80,2),0)</f>
        <v>0</v>
      </c>
      <c r="U781" s="359"/>
      <c r="V781" s="362"/>
      <c r="W781" s="359"/>
      <c r="X781" s="359"/>
      <c r="Y781" s="359"/>
      <c r="Z781" s="362"/>
      <c r="AA781" s="362"/>
      <c r="AB781" s="362"/>
      <c r="AC781" s="362"/>
      <c r="AD781" s="362"/>
      <c r="AE781" s="362"/>
      <c r="AF781" s="362"/>
      <c r="AG781" s="362"/>
      <c r="AH781" s="362"/>
      <c r="AI781" s="362"/>
      <c r="AJ781" s="362"/>
      <c r="AK781" s="362"/>
      <c r="AL781" s="362"/>
      <c r="AM781" s="362"/>
      <c r="AN781" s="362"/>
      <c r="AO781" s="362"/>
      <c r="AP781" s="362"/>
      <c r="AQ781" s="362"/>
      <c r="AR781" s="362"/>
      <c r="AS781" s="362"/>
      <c r="AT781" s="362"/>
      <c r="AU781" s="362"/>
      <c r="AV781" s="362"/>
      <c r="AW781" s="362"/>
      <c r="AX781" s="362"/>
      <c r="AY781" s="362"/>
      <c r="AZ781" s="362"/>
      <c r="BA781" s="362"/>
      <c r="BB781" s="362"/>
      <c r="BC781" s="362"/>
      <c r="BD781" s="362"/>
      <c r="BE781" s="362"/>
      <c r="BF781" s="362"/>
      <c r="BG781" s="362"/>
      <c r="BH781" s="362"/>
      <c r="BI781" s="362"/>
      <c r="BJ781" s="362"/>
      <c r="BK781" s="362"/>
      <c r="BL781" s="362"/>
      <c r="BM781" s="362"/>
      <c r="BN781" s="362"/>
      <c r="BO781" s="362"/>
      <c r="BP781" s="362"/>
      <c r="BQ781" s="362"/>
      <c r="BR781" s="362"/>
      <c r="BS781" s="362"/>
      <c r="BT781" s="362"/>
      <c r="BU781" s="362"/>
      <c r="BV781" s="362"/>
      <c r="BW781" s="362"/>
      <c r="BX781" s="362"/>
      <c r="BY781" s="362"/>
      <c r="BZ781" s="362"/>
      <c r="CA781" s="362"/>
      <c r="CB781" s="362"/>
      <c r="CC781" s="362"/>
      <c r="CD781" s="362"/>
      <c r="CE781" s="362"/>
    </row>
    <row r="782" spans="1:83" ht="12.65" customHeight="1">
      <c r="A782" s="363" t="str">
        <f>RIGHT($C$83,3)&amp;"*"&amp;RIGHT($C$82,4)&amp;"*"&amp;AY$55&amp;"*"&amp;"A"</f>
        <v>197*2020*8320*A</v>
      </c>
      <c r="B782" s="359">
        <f>ROUND(AY59,0)</f>
        <v>39775</v>
      </c>
      <c r="C782" s="364">
        <f>ROUND(AY60,2)</f>
        <v>18.3</v>
      </c>
      <c r="D782" s="359">
        <f>ROUND(AY61,0)</f>
        <v>932104</v>
      </c>
      <c r="E782" s="359">
        <f>ROUND(AY62,0)</f>
        <v>167175</v>
      </c>
      <c r="F782" s="359">
        <f>ROUND(AY63,0)</f>
        <v>0</v>
      </c>
      <c r="G782" s="359">
        <f>ROUND(AY64,0)</f>
        <v>493968</v>
      </c>
      <c r="H782" s="359">
        <f>ROUND(AY65,0)</f>
        <v>0</v>
      </c>
      <c r="I782" s="359">
        <f>ROUND(AY66,0)</f>
        <v>5021</v>
      </c>
      <c r="J782" s="359">
        <f>ROUND(AY67,0)</f>
        <v>207988</v>
      </c>
      <c r="K782" s="359">
        <f>ROUND(AY68,0)</f>
        <v>0</v>
      </c>
      <c r="L782" s="359">
        <f>ROUND(AY69,0)</f>
        <v>60173</v>
      </c>
      <c r="M782" s="359">
        <f>ROUND(AY70,0)</f>
        <v>0</v>
      </c>
      <c r="N782" s="359"/>
      <c r="O782" s="359"/>
      <c r="P782" s="359">
        <f>IF(AY76&gt;0,ROUND(AY76,0),0)</f>
        <v>5479</v>
      </c>
      <c r="Q782" s="359">
        <f>IF(AY77&gt;0,ROUND(AY77,0),0)</f>
        <v>0</v>
      </c>
      <c r="R782" s="359">
        <f>IF(AY78&gt;0,ROUND(AY78,0),0)</f>
        <v>0</v>
      </c>
      <c r="S782" s="359">
        <f>IF(AY79&gt;0,ROUND(AY79,0),0)</f>
        <v>0</v>
      </c>
      <c r="T782" s="364">
        <f>IF(AY80&gt;0,ROUND(AY80,2),0)</f>
        <v>0</v>
      </c>
      <c r="U782" s="359"/>
      <c r="V782" s="362"/>
      <c r="W782" s="359"/>
      <c r="X782" s="359"/>
      <c r="Y782" s="359"/>
      <c r="Z782" s="362"/>
      <c r="AA782" s="362"/>
      <c r="AB782" s="362"/>
      <c r="AC782" s="362"/>
      <c r="AD782" s="362"/>
      <c r="AE782" s="362"/>
      <c r="AF782" s="362"/>
      <c r="AG782" s="362"/>
      <c r="AH782" s="362"/>
      <c r="AI782" s="362"/>
      <c r="AJ782" s="362"/>
      <c r="AK782" s="362"/>
      <c r="AL782" s="362"/>
      <c r="AM782" s="362"/>
      <c r="AN782" s="362"/>
      <c r="AO782" s="362"/>
      <c r="AP782" s="362"/>
      <c r="AQ782" s="362"/>
      <c r="AR782" s="362"/>
      <c r="AS782" s="362"/>
      <c r="AT782" s="362"/>
      <c r="AU782" s="362"/>
      <c r="AV782" s="362"/>
      <c r="AW782" s="362"/>
      <c r="AX782" s="362"/>
      <c r="AY782" s="362"/>
      <c r="AZ782" s="362"/>
      <c r="BA782" s="362"/>
      <c r="BB782" s="362"/>
      <c r="BC782" s="362"/>
      <c r="BD782" s="362"/>
      <c r="BE782" s="362"/>
      <c r="BF782" s="362"/>
      <c r="BG782" s="362"/>
      <c r="BH782" s="362"/>
      <c r="BI782" s="362"/>
      <c r="BJ782" s="362"/>
      <c r="BK782" s="362"/>
      <c r="BL782" s="362"/>
      <c r="BM782" s="362"/>
      <c r="BN782" s="362"/>
      <c r="BO782" s="362"/>
      <c r="BP782" s="362"/>
      <c r="BQ782" s="362"/>
      <c r="BR782" s="362"/>
      <c r="BS782" s="362"/>
      <c r="BT782" s="362"/>
      <c r="BU782" s="362"/>
      <c r="BV782" s="362"/>
      <c r="BW782" s="362"/>
      <c r="BX782" s="362"/>
      <c r="BY782" s="362"/>
      <c r="BZ782" s="362"/>
      <c r="CA782" s="362"/>
      <c r="CB782" s="362"/>
      <c r="CC782" s="362"/>
      <c r="CD782" s="362"/>
      <c r="CE782" s="362"/>
    </row>
    <row r="783" spans="1:83" ht="12.65" customHeight="1">
      <c r="A783" s="363" t="str">
        <f>RIGHT($C$83,3)&amp;"*"&amp;RIGHT($C$82,4)&amp;"*"&amp;AZ$55&amp;"*"&amp;"A"</f>
        <v>197*2020*8330*A</v>
      </c>
      <c r="B783" s="359">
        <f>ROUND(AZ59,0)</f>
        <v>0</v>
      </c>
      <c r="C783" s="364">
        <f>ROUND(AZ60,2)</f>
        <v>0</v>
      </c>
      <c r="D783" s="359">
        <f>ROUND(AZ61,0)</f>
        <v>0</v>
      </c>
      <c r="E783" s="359">
        <f>ROUND(AZ62,0)</f>
        <v>0</v>
      </c>
      <c r="F783" s="359">
        <f>ROUND(AZ63,0)</f>
        <v>0</v>
      </c>
      <c r="G783" s="359">
        <f>ROUND(AZ64,0)</f>
        <v>0</v>
      </c>
      <c r="H783" s="359">
        <f>ROUND(AZ65,0)</f>
        <v>0</v>
      </c>
      <c r="I783" s="359">
        <f>ROUND(AZ66,0)</f>
        <v>0</v>
      </c>
      <c r="J783" s="359">
        <f>ROUND(AZ67,0)</f>
        <v>0</v>
      </c>
      <c r="K783" s="359">
        <f>ROUND(AZ68,0)</f>
        <v>0</v>
      </c>
      <c r="L783" s="359">
        <f>ROUND(AZ69,0)</f>
        <v>0</v>
      </c>
      <c r="M783" s="359">
        <f>ROUND(AZ70,0)</f>
        <v>0</v>
      </c>
      <c r="N783" s="359"/>
      <c r="O783" s="359"/>
      <c r="P783" s="359">
        <f>IF(AZ76&gt;0,ROUND(AZ76,0),0)</f>
        <v>0</v>
      </c>
      <c r="Q783" s="359">
        <f>IF(AZ77&gt;0,ROUND(AZ77,0),0)</f>
        <v>0</v>
      </c>
      <c r="R783" s="359">
        <f>IF(AZ78&gt;0,ROUND(AZ78,0),0)</f>
        <v>0</v>
      </c>
      <c r="S783" s="359">
        <f>IF(AZ79&gt;0,ROUND(AZ79,0),0)</f>
        <v>0</v>
      </c>
      <c r="T783" s="364">
        <f>IF(AZ80&gt;0,ROUND(AZ80,2),0)</f>
        <v>0</v>
      </c>
      <c r="U783" s="359"/>
      <c r="V783" s="362"/>
      <c r="W783" s="359"/>
      <c r="X783" s="359"/>
      <c r="Y783" s="359"/>
      <c r="Z783" s="362"/>
      <c r="AA783" s="362"/>
      <c r="AB783" s="362"/>
      <c r="AC783" s="362"/>
      <c r="AD783" s="362"/>
      <c r="AE783" s="362"/>
      <c r="AF783" s="362"/>
      <c r="AG783" s="362"/>
      <c r="AH783" s="362"/>
      <c r="AI783" s="362"/>
      <c r="AJ783" s="362"/>
      <c r="AK783" s="362"/>
      <c r="AL783" s="362"/>
      <c r="AM783" s="362"/>
      <c r="AN783" s="362"/>
      <c r="AO783" s="362"/>
      <c r="AP783" s="362"/>
      <c r="AQ783" s="362"/>
      <c r="AR783" s="362"/>
      <c r="AS783" s="362"/>
      <c r="AT783" s="362"/>
      <c r="AU783" s="362"/>
      <c r="AV783" s="362"/>
      <c r="AW783" s="362"/>
      <c r="AX783" s="362"/>
      <c r="AY783" s="362"/>
      <c r="AZ783" s="362"/>
      <c r="BA783" s="362"/>
      <c r="BB783" s="362"/>
      <c r="BC783" s="362"/>
      <c r="BD783" s="362"/>
      <c r="BE783" s="362"/>
      <c r="BF783" s="362"/>
      <c r="BG783" s="362"/>
      <c r="BH783" s="362"/>
      <c r="BI783" s="362"/>
      <c r="BJ783" s="362"/>
      <c r="BK783" s="362"/>
      <c r="BL783" s="362"/>
      <c r="BM783" s="362"/>
      <c r="BN783" s="362"/>
      <c r="BO783" s="362"/>
      <c r="BP783" s="362"/>
      <c r="BQ783" s="362"/>
      <c r="BR783" s="362"/>
      <c r="BS783" s="362"/>
      <c r="BT783" s="362"/>
      <c r="BU783" s="362"/>
      <c r="BV783" s="362"/>
      <c r="BW783" s="362"/>
      <c r="BX783" s="362"/>
      <c r="BY783" s="362"/>
      <c r="BZ783" s="362"/>
      <c r="CA783" s="362"/>
      <c r="CB783" s="362"/>
      <c r="CC783" s="362"/>
      <c r="CD783" s="362"/>
      <c r="CE783" s="362"/>
    </row>
    <row r="784" spans="1:83" ht="12.65" customHeight="1">
      <c r="A784" s="363" t="str">
        <f>RIGHT($C$83,3)&amp;"*"&amp;RIGHT($C$82,4)&amp;"*"&amp;BA$55&amp;"*"&amp;"A"</f>
        <v>197*2020*8350*A</v>
      </c>
      <c r="B784" s="359">
        <f>ROUND(BA59,0)</f>
        <v>0</v>
      </c>
      <c r="C784" s="364">
        <f>ROUND(BA60,2)</f>
        <v>0</v>
      </c>
      <c r="D784" s="359">
        <f>ROUND(BA61,0)</f>
        <v>0</v>
      </c>
      <c r="E784" s="359">
        <f>ROUND(BA62,0)</f>
        <v>0</v>
      </c>
      <c r="F784" s="359">
        <f>ROUND(BA63,0)</f>
        <v>0</v>
      </c>
      <c r="G784" s="359">
        <f>ROUND(BA64,0)</f>
        <v>0</v>
      </c>
      <c r="H784" s="359">
        <f>ROUND(BA65,0)</f>
        <v>0</v>
      </c>
      <c r="I784" s="359">
        <f>ROUND(BA66,0)</f>
        <v>0</v>
      </c>
      <c r="J784" s="359">
        <f>ROUND(BA67,0)</f>
        <v>0</v>
      </c>
      <c r="K784" s="359">
        <f>ROUND(BA68,0)</f>
        <v>0</v>
      </c>
      <c r="L784" s="359">
        <f>ROUND(BA69,0)</f>
        <v>0</v>
      </c>
      <c r="M784" s="359">
        <f>ROUND(BA70,0)</f>
        <v>0</v>
      </c>
      <c r="N784" s="359"/>
      <c r="O784" s="359"/>
      <c r="P784" s="359">
        <f>IF(BA76&gt;0,ROUND(BA76,0),0)</f>
        <v>0</v>
      </c>
      <c r="Q784" s="359">
        <f>IF(BA77&gt;0,ROUND(BA77,0),0)</f>
        <v>0</v>
      </c>
      <c r="R784" s="359">
        <f>IF(BA78&gt;0,ROUND(BA78,0),0)</f>
        <v>0</v>
      </c>
      <c r="S784" s="359">
        <f>IF(BA79&gt;0,ROUND(BA79,0),0)</f>
        <v>0</v>
      </c>
      <c r="T784" s="364">
        <f>IF(BA80&gt;0,ROUND(BA80,2),0)</f>
        <v>0</v>
      </c>
      <c r="U784" s="359"/>
      <c r="V784" s="362"/>
      <c r="W784" s="359"/>
      <c r="X784" s="359"/>
      <c r="Y784" s="359"/>
      <c r="Z784" s="362"/>
      <c r="AA784" s="362"/>
      <c r="AB784" s="362"/>
      <c r="AC784" s="362"/>
      <c r="AD784" s="362"/>
      <c r="AE784" s="362"/>
      <c r="AF784" s="362"/>
      <c r="AG784" s="362"/>
      <c r="AH784" s="362"/>
      <c r="AI784" s="362"/>
      <c r="AJ784" s="362"/>
      <c r="AK784" s="362"/>
      <c r="AL784" s="362"/>
      <c r="AM784" s="362"/>
      <c r="AN784" s="362"/>
      <c r="AO784" s="362"/>
      <c r="AP784" s="362"/>
      <c r="AQ784" s="362"/>
      <c r="AR784" s="362"/>
      <c r="AS784" s="362"/>
      <c r="AT784" s="362"/>
      <c r="AU784" s="362"/>
      <c r="AV784" s="362"/>
      <c r="AW784" s="362"/>
      <c r="AX784" s="362"/>
      <c r="AY784" s="362"/>
      <c r="AZ784" s="362"/>
      <c r="BA784" s="362"/>
      <c r="BB784" s="362"/>
      <c r="BC784" s="362"/>
      <c r="BD784" s="362"/>
      <c r="BE784" s="362"/>
      <c r="BF784" s="362"/>
      <c r="BG784" s="362"/>
      <c r="BH784" s="362"/>
      <c r="BI784" s="362"/>
      <c r="BJ784" s="362"/>
      <c r="BK784" s="362"/>
      <c r="BL784" s="362"/>
      <c r="BM784" s="362"/>
      <c r="BN784" s="362"/>
      <c r="BO784" s="362"/>
      <c r="BP784" s="362"/>
      <c r="BQ784" s="362"/>
      <c r="BR784" s="362"/>
      <c r="BS784" s="362"/>
      <c r="BT784" s="362"/>
      <c r="BU784" s="362"/>
      <c r="BV784" s="362"/>
      <c r="BW784" s="362"/>
      <c r="BX784" s="362"/>
      <c r="BY784" s="362"/>
      <c r="BZ784" s="362"/>
      <c r="CA784" s="362"/>
      <c r="CB784" s="362"/>
      <c r="CC784" s="362"/>
      <c r="CD784" s="362"/>
      <c r="CE784" s="362"/>
    </row>
    <row r="785" spans="1:83" ht="12.65" customHeight="1">
      <c r="A785" s="363" t="str">
        <f>RIGHT($C$83,3)&amp;"*"&amp;RIGHT($C$82,4)&amp;"*"&amp;BB$55&amp;"*"&amp;"A"</f>
        <v>197*2020*8360*A</v>
      </c>
      <c r="B785" s="359"/>
      <c r="C785" s="364">
        <f>ROUND(BB60,2)</f>
        <v>7.29</v>
      </c>
      <c r="D785" s="359">
        <f>ROUND(BB61,0)</f>
        <v>683915</v>
      </c>
      <c r="E785" s="359">
        <f>ROUND(BB62,0)</f>
        <v>122587</v>
      </c>
      <c r="F785" s="359">
        <f>ROUND(BB63,0)</f>
        <v>54996</v>
      </c>
      <c r="G785" s="359">
        <f>ROUND(BB64,0)</f>
        <v>3621</v>
      </c>
      <c r="H785" s="359">
        <f>ROUND(BB65,0)</f>
        <v>0</v>
      </c>
      <c r="I785" s="359">
        <f>ROUND(BB66,0)</f>
        <v>60333</v>
      </c>
      <c r="J785" s="359">
        <f>ROUND(BB67,0)</f>
        <v>28091</v>
      </c>
      <c r="K785" s="359">
        <f>ROUND(BB68,0)</f>
        <v>53</v>
      </c>
      <c r="L785" s="359">
        <f>ROUND(BB69,0)</f>
        <v>59949</v>
      </c>
      <c r="M785" s="359">
        <f>ROUND(BB70,0)</f>
        <v>0</v>
      </c>
      <c r="N785" s="359"/>
      <c r="O785" s="359"/>
      <c r="P785" s="359">
        <f>IF(BB76&gt;0,ROUND(BB76,0),0)</f>
        <v>740</v>
      </c>
      <c r="Q785" s="359">
        <f>IF(BB77&gt;0,ROUND(BB77,0),0)</f>
        <v>0</v>
      </c>
      <c r="R785" s="359">
        <f>IF(BB78&gt;0,ROUND(BB78,0),0)</f>
        <v>189</v>
      </c>
      <c r="S785" s="359">
        <f>IF(BB79&gt;0,ROUND(BB79,0),0)</f>
        <v>0</v>
      </c>
      <c r="T785" s="364">
        <f>IF(BB80&gt;0,ROUND(BB80,2),0)</f>
        <v>0</v>
      </c>
      <c r="U785" s="359"/>
      <c r="V785" s="362"/>
      <c r="W785" s="359"/>
      <c r="X785" s="359"/>
      <c r="Y785" s="359"/>
      <c r="Z785" s="362"/>
      <c r="AA785" s="362"/>
      <c r="AB785" s="362"/>
      <c r="AC785" s="362"/>
      <c r="AD785" s="362"/>
      <c r="AE785" s="362"/>
      <c r="AF785" s="362"/>
      <c r="AG785" s="362"/>
      <c r="AH785" s="362"/>
      <c r="AI785" s="362"/>
      <c r="AJ785" s="362"/>
      <c r="AK785" s="362"/>
      <c r="AL785" s="362"/>
      <c r="AM785" s="362"/>
      <c r="AN785" s="362"/>
      <c r="AO785" s="362"/>
      <c r="AP785" s="362"/>
      <c r="AQ785" s="362"/>
      <c r="AR785" s="362"/>
      <c r="AS785" s="362"/>
      <c r="AT785" s="362"/>
      <c r="AU785" s="362"/>
      <c r="AV785" s="362"/>
      <c r="AW785" s="362"/>
      <c r="AX785" s="362"/>
      <c r="AY785" s="362"/>
      <c r="AZ785" s="362"/>
      <c r="BA785" s="362"/>
      <c r="BB785" s="362"/>
      <c r="BC785" s="362"/>
      <c r="BD785" s="362"/>
      <c r="BE785" s="362"/>
      <c r="BF785" s="362"/>
      <c r="BG785" s="362"/>
      <c r="BH785" s="362"/>
      <c r="BI785" s="362"/>
      <c r="BJ785" s="362"/>
      <c r="BK785" s="362"/>
      <c r="BL785" s="362"/>
      <c r="BM785" s="362"/>
      <c r="BN785" s="362"/>
      <c r="BO785" s="362"/>
      <c r="BP785" s="362"/>
      <c r="BQ785" s="362"/>
      <c r="BR785" s="362"/>
      <c r="BS785" s="362"/>
      <c r="BT785" s="362"/>
      <c r="BU785" s="362"/>
      <c r="BV785" s="362"/>
      <c r="BW785" s="362"/>
      <c r="BX785" s="362"/>
      <c r="BY785" s="362"/>
      <c r="BZ785" s="362"/>
      <c r="CA785" s="362"/>
      <c r="CB785" s="362"/>
      <c r="CC785" s="362"/>
      <c r="CD785" s="362"/>
      <c r="CE785" s="362"/>
    </row>
    <row r="786" spans="1:83" ht="12.65" customHeight="1">
      <c r="A786" s="363" t="str">
        <f>RIGHT($C$83,3)&amp;"*"&amp;RIGHT($C$82,4)&amp;"*"&amp;BC$55&amp;"*"&amp;"A"</f>
        <v>197*2020*8370*A</v>
      </c>
      <c r="B786" s="359"/>
      <c r="C786" s="364">
        <f>ROUND(BC60,2)</f>
        <v>0</v>
      </c>
      <c r="D786" s="359">
        <f>ROUND(BC61,0)</f>
        <v>0</v>
      </c>
      <c r="E786" s="359">
        <f>ROUND(BC62,0)</f>
        <v>0</v>
      </c>
      <c r="F786" s="359">
        <f>ROUND(BC63,0)</f>
        <v>0</v>
      </c>
      <c r="G786" s="359">
        <f>ROUND(BC64,0)</f>
        <v>0</v>
      </c>
      <c r="H786" s="359">
        <f>ROUND(BC65,0)</f>
        <v>0</v>
      </c>
      <c r="I786" s="359">
        <f>ROUND(BC66,0)</f>
        <v>0</v>
      </c>
      <c r="J786" s="359">
        <f>ROUND(BC67,0)</f>
        <v>0</v>
      </c>
      <c r="K786" s="359">
        <f>ROUND(BC68,0)</f>
        <v>0</v>
      </c>
      <c r="L786" s="359">
        <f>ROUND(BC69,0)</f>
        <v>0</v>
      </c>
      <c r="M786" s="359">
        <f>ROUND(BC70,0)</f>
        <v>0</v>
      </c>
      <c r="N786" s="359"/>
      <c r="O786" s="359"/>
      <c r="P786" s="359">
        <f>IF(BC76&gt;0,ROUND(BC76,0),0)</f>
        <v>0</v>
      </c>
      <c r="Q786" s="359">
        <f>IF(BC77&gt;0,ROUND(BC77,0),0)</f>
        <v>0</v>
      </c>
      <c r="R786" s="359">
        <f>IF(BC78&gt;0,ROUND(BC78,0),0)</f>
        <v>0</v>
      </c>
      <c r="S786" s="359">
        <f>IF(BC79&gt;0,ROUND(BC79,0),0)</f>
        <v>0</v>
      </c>
      <c r="T786" s="364">
        <f>IF(BC80&gt;0,ROUND(BC80,2),0)</f>
        <v>0</v>
      </c>
      <c r="U786" s="359"/>
      <c r="V786" s="362"/>
      <c r="W786" s="359"/>
      <c r="X786" s="359"/>
      <c r="Y786" s="359"/>
      <c r="Z786" s="362"/>
      <c r="AA786" s="362"/>
      <c r="AB786" s="362"/>
      <c r="AC786" s="362"/>
      <c r="AD786" s="362"/>
      <c r="AE786" s="362"/>
      <c r="AF786" s="362"/>
      <c r="AG786" s="362"/>
      <c r="AH786" s="362"/>
      <c r="AI786" s="362"/>
      <c r="AJ786" s="362"/>
      <c r="AK786" s="362"/>
      <c r="AL786" s="362"/>
      <c r="AM786" s="362"/>
      <c r="AN786" s="362"/>
      <c r="AO786" s="362"/>
      <c r="AP786" s="362"/>
      <c r="AQ786" s="362"/>
      <c r="AR786" s="362"/>
      <c r="AS786" s="362"/>
      <c r="AT786" s="362"/>
      <c r="AU786" s="362"/>
      <c r="AV786" s="362"/>
      <c r="AW786" s="362"/>
      <c r="AX786" s="362"/>
      <c r="AY786" s="362"/>
      <c r="AZ786" s="362"/>
      <c r="BA786" s="362"/>
      <c r="BB786" s="362"/>
      <c r="BC786" s="362"/>
      <c r="BD786" s="362"/>
      <c r="BE786" s="362"/>
      <c r="BF786" s="362"/>
      <c r="BG786" s="362"/>
      <c r="BH786" s="362"/>
      <c r="BI786" s="362"/>
      <c r="BJ786" s="362"/>
      <c r="BK786" s="362"/>
      <c r="BL786" s="362"/>
      <c r="BM786" s="362"/>
      <c r="BN786" s="362"/>
      <c r="BO786" s="362"/>
      <c r="BP786" s="362"/>
      <c r="BQ786" s="362"/>
      <c r="BR786" s="362"/>
      <c r="BS786" s="362"/>
      <c r="BT786" s="362"/>
      <c r="BU786" s="362"/>
      <c r="BV786" s="362"/>
      <c r="BW786" s="362"/>
      <c r="BX786" s="362"/>
      <c r="BY786" s="362"/>
      <c r="BZ786" s="362"/>
      <c r="CA786" s="362"/>
      <c r="CB786" s="362"/>
      <c r="CC786" s="362"/>
      <c r="CD786" s="362"/>
      <c r="CE786" s="362"/>
    </row>
    <row r="787" spans="1:83" ht="12.65" customHeight="1">
      <c r="A787" s="363" t="str">
        <f>RIGHT($C$83,3)&amp;"*"&amp;RIGHT($C$82,4)&amp;"*"&amp;BD$55&amp;"*"&amp;"A"</f>
        <v>197*2020*8420*A</v>
      </c>
      <c r="B787" s="359"/>
      <c r="C787" s="364">
        <f>ROUND(BD60,2)</f>
        <v>6.8</v>
      </c>
      <c r="D787" s="359">
        <f>ROUND(BD61,0)</f>
        <v>427177</v>
      </c>
      <c r="E787" s="359">
        <f>ROUND(BD62,0)</f>
        <v>76823</v>
      </c>
      <c r="F787" s="359">
        <f>ROUND(BD63,0)</f>
        <v>0</v>
      </c>
      <c r="G787" s="359">
        <f>ROUND(BD64,0)</f>
        <v>8235286</v>
      </c>
      <c r="H787" s="359">
        <f>ROUND(BD65,0)</f>
        <v>0</v>
      </c>
      <c r="I787" s="359">
        <f>ROUND(BD66,0)</f>
        <v>17374</v>
      </c>
      <c r="J787" s="359">
        <f>ROUND(BD67,0)</f>
        <v>97370</v>
      </c>
      <c r="K787" s="359">
        <f>ROUND(BD68,0)</f>
        <v>3027</v>
      </c>
      <c r="L787" s="359">
        <f>ROUND(BD69,0)</f>
        <v>166948</v>
      </c>
      <c r="M787" s="359">
        <f>ROUND(BD70,0)</f>
        <v>0</v>
      </c>
      <c r="N787" s="359"/>
      <c r="O787" s="359"/>
      <c r="P787" s="359">
        <f>IF(BD76&gt;0,ROUND(BD76,0),0)</f>
        <v>2565</v>
      </c>
      <c r="Q787" s="359">
        <f>IF(BD77&gt;0,ROUND(BD77,0),0)</f>
        <v>0</v>
      </c>
      <c r="R787" s="359">
        <f>IF(BD78&gt;0,ROUND(BD78,0),0)</f>
        <v>0</v>
      </c>
      <c r="S787" s="359">
        <f>IF(BD79&gt;0,ROUND(BD79,0),0)</f>
        <v>0</v>
      </c>
      <c r="T787" s="364">
        <f>IF(BD80&gt;0,ROUND(BD80,2),0)</f>
        <v>0</v>
      </c>
      <c r="U787" s="359"/>
      <c r="V787" s="362"/>
      <c r="W787" s="359"/>
      <c r="X787" s="359"/>
      <c r="Y787" s="359"/>
      <c r="Z787" s="362"/>
      <c r="AA787" s="362"/>
      <c r="AB787" s="362"/>
      <c r="AC787" s="362"/>
      <c r="AD787" s="362"/>
      <c r="AE787" s="362"/>
      <c r="AF787" s="362"/>
      <c r="AG787" s="362"/>
      <c r="AH787" s="362"/>
      <c r="AI787" s="362"/>
      <c r="AJ787" s="362"/>
      <c r="AK787" s="362"/>
      <c r="AL787" s="362"/>
      <c r="AM787" s="362"/>
      <c r="AN787" s="362"/>
      <c r="AO787" s="362"/>
      <c r="AP787" s="362"/>
      <c r="AQ787" s="362"/>
      <c r="AR787" s="362"/>
      <c r="AS787" s="362"/>
      <c r="AT787" s="362"/>
      <c r="AU787" s="362"/>
      <c r="AV787" s="362"/>
      <c r="AW787" s="362"/>
      <c r="AX787" s="362"/>
      <c r="AY787" s="362"/>
      <c r="AZ787" s="362"/>
      <c r="BA787" s="362"/>
      <c r="BB787" s="362"/>
      <c r="BC787" s="362"/>
      <c r="BD787" s="362"/>
      <c r="BE787" s="362"/>
      <c r="BF787" s="362"/>
      <c r="BG787" s="362"/>
      <c r="BH787" s="362"/>
      <c r="BI787" s="362"/>
      <c r="BJ787" s="362"/>
      <c r="BK787" s="362"/>
      <c r="BL787" s="362"/>
      <c r="BM787" s="362"/>
      <c r="BN787" s="362"/>
      <c r="BO787" s="362"/>
      <c r="BP787" s="362"/>
      <c r="BQ787" s="362"/>
      <c r="BR787" s="362"/>
      <c r="BS787" s="362"/>
      <c r="BT787" s="362"/>
      <c r="BU787" s="362"/>
      <c r="BV787" s="362"/>
      <c r="BW787" s="362"/>
      <c r="BX787" s="362"/>
      <c r="BY787" s="362"/>
      <c r="BZ787" s="362"/>
      <c r="CA787" s="362"/>
      <c r="CB787" s="362"/>
      <c r="CC787" s="362"/>
      <c r="CD787" s="362"/>
      <c r="CE787" s="362"/>
    </row>
    <row r="788" spans="1:83" ht="12.65" customHeight="1">
      <c r="A788" s="363" t="str">
        <f>RIGHT($C$83,3)&amp;"*"&amp;RIGHT($C$82,4)&amp;"*"&amp;BE$55&amp;"*"&amp;"A"</f>
        <v>197*2020*8430*A</v>
      </c>
      <c r="B788" s="359">
        <f>ROUND(BE59,0)</f>
        <v>155374</v>
      </c>
      <c r="C788" s="364">
        <f>ROUND(BE60,2)</f>
        <v>12.57</v>
      </c>
      <c r="D788" s="359">
        <f>ROUND(BE61,0)</f>
        <v>792180</v>
      </c>
      <c r="E788" s="359">
        <f>ROUND(BE62,0)</f>
        <v>142410</v>
      </c>
      <c r="F788" s="359">
        <f>ROUND(BE63,0)</f>
        <v>0</v>
      </c>
      <c r="G788" s="359">
        <f>ROUND(BE64,0)</f>
        <v>-3806</v>
      </c>
      <c r="H788" s="359">
        <f>ROUND(BE65,0)</f>
        <v>883171</v>
      </c>
      <c r="I788" s="359">
        <f>ROUND(BE66,0)</f>
        <v>143530</v>
      </c>
      <c r="J788" s="359">
        <f>ROUND(BE67,0)</f>
        <v>1026390</v>
      </c>
      <c r="K788" s="359">
        <f>ROUND(BE68,0)</f>
        <v>1602</v>
      </c>
      <c r="L788" s="359">
        <f>ROUND(BE69,0)</f>
        <v>469202</v>
      </c>
      <c r="M788" s="359">
        <f>ROUND(BE70,0)</f>
        <v>0</v>
      </c>
      <c r="N788" s="359"/>
      <c r="O788" s="359"/>
      <c r="P788" s="359">
        <f>IF(BE76&gt;0,ROUND(BE76,0),0)</f>
        <v>27038</v>
      </c>
      <c r="Q788" s="359">
        <f>IF(BE77&gt;0,ROUND(BE77,0),0)</f>
        <v>0</v>
      </c>
      <c r="R788" s="359">
        <f>IF(BE78&gt;0,ROUND(BE78,0),0)</f>
        <v>0</v>
      </c>
      <c r="S788" s="359">
        <f>IF(BE79&gt;0,ROUND(BE79,0),0)</f>
        <v>0</v>
      </c>
      <c r="T788" s="364">
        <f>IF(BE80&gt;0,ROUND(BE80,2),0)</f>
        <v>0</v>
      </c>
      <c r="U788" s="359"/>
      <c r="V788" s="362"/>
      <c r="W788" s="359"/>
      <c r="X788" s="359"/>
      <c r="Y788" s="359"/>
      <c r="Z788" s="362"/>
      <c r="AA788" s="362"/>
      <c r="AB788" s="362"/>
      <c r="AC788" s="362"/>
      <c r="AD788" s="362"/>
      <c r="AE788" s="362"/>
      <c r="AF788" s="362"/>
      <c r="AG788" s="362"/>
      <c r="AH788" s="362"/>
      <c r="AI788" s="362"/>
      <c r="AJ788" s="362"/>
      <c r="AK788" s="362"/>
      <c r="AL788" s="362"/>
      <c r="AM788" s="362"/>
      <c r="AN788" s="362"/>
      <c r="AO788" s="362"/>
      <c r="AP788" s="362"/>
      <c r="AQ788" s="362"/>
      <c r="AR788" s="362"/>
      <c r="AS788" s="362"/>
      <c r="AT788" s="362"/>
      <c r="AU788" s="362"/>
      <c r="AV788" s="362"/>
      <c r="AW788" s="362"/>
      <c r="AX788" s="362"/>
      <c r="AY788" s="362"/>
      <c r="AZ788" s="362"/>
      <c r="BA788" s="362"/>
      <c r="BB788" s="362"/>
      <c r="BC788" s="362"/>
      <c r="BD788" s="362"/>
      <c r="BE788" s="362"/>
      <c r="BF788" s="362"/>
      <c r="BG788" s="362"/>
      <c r="BH788" s="362"/>
      <c r="BI788" s="362"/>
      <c r="BJ788" s="362"/>
      <c r="BK788" s="362"/>
      <c r="BL788" s="362"/>
      <c r="BM788" s="362"/>
      <c r="BN788" s="362"/>
      <c r="BO788" s="362"/>
      <c r="BP788" s="362"/>
      <c r="BQ788" s="362"/>
      <c r="BR788" s="362"/>
      <c r="BS788" s="362"/>
      <c r="BT788" s="362"/>
      <c r="BU788" s="362"/>
      <c r="BV788" s="362"/>
      <c r="BW788" s="362"/>
      <c r="BX788" s="362"/>
      <c r="BY788" s="362"/>
      <c r="BZ788" s="362"/>
      <c r="CA788" s="362"/>
      <c r="CB788" s="362"/>
      <c r="CC788" s="362"/>
      <c r="CD788" s="362"/>
      <c r="CE788" s="362"/>
    </row>
    <row r="789" spans="1:83" ht="12.65" customHeight="1">
      <c r="A789" s="363" t="str">
        <f>RIGHT($C$83,3)&amp;"*"&amp;RIGHT($C$82,4)&amp;"*"&amp;BF$55&amp;"*"&amp;"A"</f>
        <v>197*2020*8460*A</v>
      </c>
      <c r="B789" s="359"/>
      <c r="C789" s="364">
        <f>ROUND(BF60,2)</f>
        <v>18.940000000000001</v>
      </c>
      <c r="D789" s="359">
        <f>ROUND(BF61,0)</f>
        <v>793556</v>
      </c>
      <c r="E789" s="359">
        <f>ROUND(BF62,0)</f>
        <v>143657</v>
      </c>
      <c r="F789" s="359">
        <f>ROUND(BF63,0)</f>
        <v>0</v>
      </c>
      <c r="G789" s="359">
        <f>ROUND(BF64,0)</f>
        <v>105702</v>
      </c>
      <c r="H789" s="359">
        <f>ROUND(BF65,0)</f>
        <v>0</v>
      </c>
      <c r="I789" s="359">
        <f>ROUND(BF66,0)</f>
        <v>536120</v>
      </c>
      <c r="J789" s="359">
        <f>ROUND(BF67,0)</f>
        <v>86893</v>
      </c>
      <c r="K789" s="359">
        <f>ROUND(BF68,0)</f>
        <v>0</v>
      </c>
      <c r="L789" s="359">
        <f>ROUND(BF69,0)</f>
        <v>5602</v>
      </c>
      <c r="M789" s="359">
        <f>ROUND(BF70,0)</f>
        <v>0</v>
      </c>
      <c r="N789" s="359"/>
      <c r="O789" s="359"/>
      <c r="P789" s="359">
        <f>IF(BF76&gt;0,ROUND(BF76,0),0)</f>
        <v>2289</v>
      </c>
      <c r="Q789" s="359">
        <f>IF(BF77&gt;0,ROUND(BF77,0),0)</f>
        <v>0</v>
      </c>
      <c r="R789" s="359">
        <f>IF(BF78&gt;0,ROUND(BF78,0),0)</f>
        <v>0</v>
      </c>
      <c r="S789" s="359">
        <f>IF(BF79&gt;0,ROUND(BF79,0),0)</f>
        <v>0</v>
      </c>
      <c r="T789" s="364">
        <f>IF(BF80&gt;0,ROUND(BF80,2),0)</f>
        <v>0</v>
      </c>
      <c r="U789" s="359"/>
      <c r="V789" s="362"/>
      <c r="W789" s="359"/>
      <c r="X789" s="359"/>
      <c r="Y789" s="359"/>
      <c r="Z789" s="362"/>
      <c r="AA789" s="362"/>
      <c r="AB789" s="362"/>
      <c r="AC789" s="362"/>
      <c r="AD789" s="362"/>
      <c r="AE789" s="362"/>
      <c r="AF789" s="362"/>
      <c r="AG789" s="362"/>
      <c r="AH789" s="362"/>
      <c r="AI789" s="362"/>
      <c r="AJ789" s="362"/>
      <c r="AK789" s="362"/>
      <c r="AL789" s="362"/>
      <c r="AM789" s="362"/>
      <c r="AN789" s="362"/>
      <c r="AO789" s="362"/>
      <c r="AP789" s="362"/>
      <c r="AQ789" s="362"/>
      <c r="AR789" s="362"/>
      <c r="AS789" s="362"/>
      <c r="AT789" s="362"/>
      <c r="AU789" s="362"/>
      <c r="AV789" s="362"/>
      <c r="AW789" s="362"/>
      <c r="AX789" s="362"/>
      <c r="AY789" s="362"/>
      <c r="AZ789" s="362"/>
      <c r="BA789" s="362"/>
      <c r="BB789" s="362"/>
      <c r="BC789" s="362"/>
      <c r="BD789" s="362"/>
      <c r="BE789" s="362"/>
      <c r="BF789" s="362"/>
      <c r="BG789" s="362"/>
      <c r="BH789" s="362"/>
      <c r="BI789" s="362"/>
      <c r="BJ789" s="362"/>
      <c r="BK789" s="362"/>
      <c r="BL789" s="362"/>
      <c r="BM789" s="362"/>
      <c r="BN789" s="362"/>
      <c r="BO789" s="362"/>
      <c r="BP789" s="362"/>
      <c r="BQ789" s="362"/>
      <c r="BR789" s="362"/>
      <c r="BS789" s="362"/>
      <c r="BT789" s="362"/>
      <c r="BU789" s="362"/>
      <c r="BV789" s="362"/>
      <c r="BW789" s="362"/>
      <c r="BX789" s="362"/>
      <c r="BY789" s="362"/>
      <c r="BZ789" s="362"/>
      <c r="CA789" s="362"/>
      <c r="CB789" s="362"/>
      <c r="CC789" s="362"/>
      <c r="CD789" s="362"/>
      <c r="CE789" s="362"/>
    </row>
    <row r="790" spans="1:83" ht="12.65" customHeight="1">
      <c r="A790" s="363" t="str">
        <f>RIGHT($C$83,3)&amp;"*"&amp;RIGHT($C$82,4)&amp;"*"&amp;BG$55&amp;"*"&amp;"A"</f>
        <v>197*2020*8470*A</v>
      </c>
      <c r="B790" s="359"/>
      <c r="C790" s="364">
        <f>ROUND(BG60,2)</f>
        <v>2.38</v>
      </c>
      <c r="D790" s="359">
        <f>ROUND(BG61,0)</f>
        <v>91966</v>
      </c>
      <c r="E790" s="359">
        <f>ROUND(BG62,0)</f>
        <v>16898</v>
      </c>
      <c r="F790" s="359">
        <f>ROUND(BG63,0)</f>
        <v>0</v>
      </c>
      <c r="G790" s="359">
        <f>ROUND(BG64,0)</f>
        <v>7</v>
      </c>
      <c r="H790" s="359">
        <f>ROUND(BG65,0)</f>
        <v>235604</v>
      </c>
      <c r="I790" s="359">
        <f>ROUND(BG66,0)</f>
        <v>3104</v>
      </c>
      <c r="J790" s="359">
        <f>ROUND(BG67,0)</f>
        <v>12793</v>
      </c>
      <c r="K790" s="359">
        <f>ROUND(BG68,0)</f>
        <v>0</v>
      </c>
      <c r="L790" s="359">
        <f>ROUND(BG69,0)</f>
        <v>0</v>
      </c>
      <c r="M790" s="359">
        <f>ROUND(BG70,0)</f>
        <v>0</v>
      </c>
      <c r="N790" s="359"/>
      <c r="O790" s="359"/>
      <c r="P790" s="359">
        <f>IF(BG76&gt;0,ROUND(BG76,0),0)</f>
        <v>337</v>
      </c>
      <c r="Q790" s="359">
        <f>IF(BG77&gt;0,ROUND(BG77,0),0)</f>
        <v>0</v>
      </c>
      <c r="R790" s="359">
        <f>IF(BG78&gt;0,ROUND(BG78,0),0)</f>
        <v>0</v>
      </c>
      <c r="S790" s="359">
        <f>IF(BG79&gt;0,ROUND(BG79,0),0)</f>
        <v>0</v>
      </c>
      <c r="T790" s="364">
        <f>IF(BG80&gt;0,ROUND(BG80,2),0)</f>
        <v>0</v>
      </c>
      <c r="U790" s="359"/>
      <c r="V790" s="362"/>
      <c r="W790" s="359"/>
      <c r="X790" s="359"/>
      <c r="Y790" s="359"/>
      <c r="Z790" s="362"/>
      <c r="AA790" s="362"/>
      <c r="AB790" s="362"/>
      <c r="AC790" s="362"/>
      <c r="AD790" s="362"/>
      <c r="AE790" s="362"/>
      <c r="AF790" s="362"/>
      <c r="AG790" s="362"/>
      <c r="AH790" s="362"/>
      <c r="AI790" s="362"/>
      <c r="AJ790" s="362"/>
      <c r="AK790" s="362"/>
      <c r="AL790" s="362"/>
      <c r="AM790" s="362"/>
      <c r="AN790" s="362"/>
      <c r="AO790" s="362"/>
      <c r="AP790" s="362"/>
      <c r="AQ790" s="362"/>
      <c r="AR790" s="362"/>
      <c r="AS790" s="362"/>
      <c r="AT790" s="362"/>
      <c r="AU790" s="362"/>
      <c r="AV790" s="362"/>
      <c r="AW790" s="362"/>
      <c r="AX790" s="362"/>
      <c r="AY790" s="362"/>
      <c r="AZ790" s="362"/>
      <c r="BA790" s="362"/>
      <c r="BB790" s="362"/>
      <c r="BC790" s="362"/>
      <c r="BD790" s="362"/>
      <c r="BE790" s="362"/>
      <c r="BF790" s="362"/>
      <c r="BG790" s="362"/>
      <c r="BH790" s="362"/>
      <c r="BI790" s="362"/>
      <c r="BJ790" s="362"/>
      <c r="BK790" s="362"/>
      <c r="BL790" s="362"/>
      <c r="BM790" s="362"/>
      <c r="BN790" s="362"/>
      <c r="BO790" s="362"/>
      <c r="BP790" s="362"/>
      <c r="BQ790" s="362"/>
      <c r="BR790" s="362"/>
      <c r="BS790" s="362"/>
      <c r="BT790" s="362"/>
      <c r="BU790" s="362"/>
      <c r="BV790" s="362"/>
      <c r="BW790" s="362"/>
      <c r="BX790" s="362"/>
      <c r="BY790" s="362"/>
      <c r="BZ790" s="362"/>
      <c r="CA790" s="362"/>
      <c r="CB790" s="362"/>
      <c r="CC790" s="362"/>
      <c r="CD790" s="362"/>
      <c r="CE790" s="362"/>
    </row>
    <row r="791" spans="1:83" ht="12.65" customHeight="1">
      <c r="A791" s="363" t="str">
        <f>RIGHT($C$83,3)&amp;"*"&amp;RIGHT($C$82,4)&amp;"*"&amp;BH$55&amp;"*"&amp;"A"</f>
        <v>197*2020*8480*A</v>
      </c>
      <c r="B791" s="359"/>
      <c r="C791" s="364">
        <f>ROUND(BH60,2)</f>
        <v>4.91</v>
      </c>
      <c r="D791" s="359">
        <f>ROUND(BH61,0)</f>
        <v>420702</v>
      </c>
      <c r="E791" s="359">
        <f>ROUND(BH62,0)</f>
        <v>76072</v>
      </c>
      <c r="F791" s="359">
        <f>ROUND(BH63,0)</f>
        <v>0</v>
      </c>
      <c r="G791" s="359">
        <f>ROUND(BH64,0)</f>
        <v>80722</v>
      </c>
      <c r="H791" s="359">
        <f>ROUND(BH65,0)</f>
        <v>0</v>
      </c>
      <c r="I791" s="359">
        <f>ROUND(BH66,0)</f>
        <v>1828534</v>
      </c>
      <c r="J791" s="359">
        <f>ROUND(BH67,0)</f>
        <v>28547</v>
      </c>
      <c r="K791" s="359">
        <f>ROUND(BH68,0)</f>
        <v>0</v>
      </c>
      <c r="L791" s="359">
        <f>ROUND(BH69,0)</f>
        <v>313072</v>
      </c>
      <c r="M791" s="359">
        <f>ROUND(BH70,0)</f>
        <v>0</v>
      </c>
      <c r="N791" s="359"/>
      <c r="O791" s="359"/>
      <c r="P791" s="359">
        <f>IF(BH76&gt;0,ROUND(BH76,0),0)</f>
        <v>752</v>
      </c>
      <c r="Q791" s="359">
        <f>IF(BH77&gt;0,ROUND(BH77,0),0)</f>
        <v>0</v>
      </c>
      <c r="R791" s="359">
        <f>IF(BH78&gt;0,ROUND(BH78,0),0)</f>
        <v>192</v>
      </c>
      <c r="S791" s="359">
        <f>IF(BH79&gt;0,ROUND(BH79,0),0)</f>
        <v>0</v>
      </c>
      <c r="T791" s="364">
        <f>IF(BH80&gt;0,ROUND(BH80,2),0)</f>
        <v>0</v>
      </c>
      <c r="U791" s="359"/>
      <c r="V791" s="362"/>
      <c r="W791" s="359"/>
      <c r="X791" s="359"/>
      <c r="Y791" s="359"/>
      <c r="Z791" s="362"/>
      <c r="AA791" s="362"/>
      <c r="AB791" s="362"/>
      <c r="AC791" s="362"/>
      <c r="AD791" s="362"/>
      <c r="AE791" s="362"/>
      <c r="AF791" s="362"/>
      <c r="AG791" s="362"/>
      <c r="AH791" s="362"/>
      <c r="AI791" s="362"/>
      <c r="AJ791" s="362"/>
      <c r="AK791" s="362"/>
      <c r="AL791" s="362"/>
      <c r="AM791" s="362"/>
      <c r="AN791" s="362"/>
      <c r="AO791" s="362"/>
      <c r="AP791" s="362"/>
      <c r="AQ791" s="362"/>
      <c r="AR791" s="362"/>
      <c r="AS791" s="362"/>
      <c r="AT791" s="362"/>
      <c r="AU791" s="362"/>
      <c r="AV791" s="362"/>
      <c r="AW791" s="362"/>
      <c r="AX791" s="362"/>
      <c r="AY791" s="362"/>
      <c r="AZ791" s="362"/>
      <c r="BA791" s="362"/>
      <c r="BB791" s="362"/>
      <c r="BC791" s="362"/>
      <c r="BD791" s="362"/>
      <c r="BE791" s="362"/>
      <c r="BF791" s="362"/>
      <c r="BG791" s="362"/>
      <c r="BH791" s="362"/>
      <c r="BI791" s="362"/>
      <c r="BJ791" s="362"/>
      <c r="BK791" s="362"/>
      <c r="BL791" s="362"/>
      <c r="BM791" s="362"/>
      <c r="BN791" s="362"/>
      <c r="BO791" s="362"/>
      <c r="BP791" s="362"/>
      <c r="BQ791" s="362"/>
      <c r="BR791" s="362"/>
      <c r="BS791" s="362"/>
      <c r="BT791" s="362"/>
      <c r="BU791" s="362"/>
      <c r="BV791" s="362"/>
      <c r="BW791" s="362"/>
      <c r="BX791" s="362"/>
      <c r="BY791" s="362"/>
      <c r="BZ791" s="362"/>
      <c r="CA791" s="362"/>
      <c r="CB791" s="362"/>
      <c r="CC791" s="362"/>
      <c r="CD791" s="362"/>
      <c r="CE791" s="362"/>
    </row>
    <row r="792" spans="1:83" ht="12.65" customHeight="1">
      <c r="A792" s="363" t="str">
        <f>RIGHT($C$83,3)&amp;"*"&amp;RIGHT($C$82,4)&amp;"*"&amp;BI$55&amp;"*"&amp;"A"</f>
        <v>197*2020*8490*A</v>
      </c>
      <c r="B792" s="359"/>
      <c r="C792" s="364">
        <f>ROUND(BI60,2)</f>
        <v>0</v>
      </c>
      <c r="D792" s="359">
        <f>ROUND(BI61,0)</f>
        <v>0</v>
      </c>
      <c r="E792" s="359">
        <f>ROUND(BI62,0)</f>
        <v>0</v>
      </c>
      <c r="F792" s="359">
        <f>ROUND(BI63,0)</f>
        <v>0</v>
      </c>
      <c r="G792" s="359">
        <f>ROUND(BI64,0)</f>
        <v>0</v>
      </c>
      <c r="H792" s="359">
        <f>ROUND(BI65,0)</f>
        <v>0</v>
      </c>
      <c r="I792" s="359">
        <f>ROUND(BI66,0)</f>
        <v>0</v>
      </c>
      <c r="J792" s="359">
        <f>ROUND(BI67,0)</f>
        <v>0</v>
      </c>
      <c r="K792" s="359">
        <f>ROUND(BI68,0)</f>
        <v>0</v>
      </c>
      <c r="L792" s="359">
        <f>ROUND(BI69,0)</f>
        <v>0</v>
      </c>
      <c r="M792" s="359">
        <f>ROUND(BI70,0)</f>
        <v>0</v>
      </c>
      <c r="N792" s="359"/>
      <c r="O792" s="359"/>
      <c r="P792" s="359">
        <f>IF(BI76&gt;0,ROUND(BI76,0),0)</f>
        <v>0</v>
      </c>
      <c r="Q792" s="359">
        <f>IF(BI77&gt;0,ROUND(BI77,0),0)</f>
        <v>0</v>
      </c>
      <c r="R792" s="359">
        <f>IF(BI78&gt;0,ROUND(BI78,0),0)</f>
        <v>0</v>
      </c>
      <c r="S792" s="359">
        <f>IF(BI79&gt;0,ROUND(BI79,0),0)</f>
        <v>0</v>
      </c>
      <c r="T792" s="364">
        <f>IF(BI80&gt;0,ROUND(BI80,2),0)</f>
        <v>0</v>
      </c>
      <c r="U792" s="359"/>
      <c r="V792" s="362"/>
      <c r="W792" s="359"/>
      <c r="X792" s="359"/>
      <c r="Y792" s="359"/>
      <c r="Z792" s="362"/>
      <c r="AA792" s="362"/>
      <c r="AB792" s="362"/>
      <c r="AC792" s="362"/>
      <c r="AD792" s="362"/>
      <c r="AE792" s="362"/>
      <c r="AF792" s="362"/>
      <c r="AG792" s="362"/>
      <c r="AH792" s="362"/>
      <c r="AI792" s="362"/>
      <c r="AJ792" s="362"/>
      <c r="AK792" s="362"/>
      <c r="AL792" s="362"/>
      <c r="AM792" s="362"/>
      <c r="AN792" s="362"/>
      <c r="AO792" s="362"/>
      <c r="AP792" s="362"/>
      <c r="AQ792" s="362"/>
      <c r="AR792" s="362"/>
      <c r="AS792" s="362"/>
      <c r="AT792" s="362"/>
      <c r="AU792" s="362"/>
      <c r="AV792" s="362"/>
      <c r="AW792" s="362"/>
      <c r="AX792" s="362"/>
      <c r="AY792" s="362"/>
      <c r="AZ792" s="362"/>
      <c r="BA792" s="362"/>
      <c r="BB792" s="362"/>
      <c r="BC792" s="362"/>
      <c r="BD792" s="362"/>
      <c r="BE792" s="362"/>
      <c r="BF792" s="362"/>
      <c r="BG792" s="362"/>
      <c r="BH792" s="362"/>
      <c r="BI792" s="362"/>
      <c r="BJ792" s="362"/>
      <c r="BK792" s="362"/>
      <c r="BL792" s="362"/>
      <c r="BM792" s="362"/>
      <c r="BN792" s="362"/>
      <c r="BO792" s="362"/>
      <c r="BP792" s="362"/>
      <c r="BQ792" s="362"/>
      <c r="BR792" s="362"/>
      <c r="BS792" s="362"/>
      <c r="BT792" s="362"/>
      <c r="BU792" s="362"/>
      <c r="BV792" s="362"/>
      <c r="BW792" s="362"/>
      <c r="BX792" s="362"/>
      <c r="BY792" s="362"/>
      <c r="BZ792" s="362"/>
      <c r="CA792" s="362"/>
      <c r="CB792" s="362"/>
      <c r="CC792" s="362"/>
      <c r="CD792" s="362"/>
      <c r="CE792" s="362"/>
    </row>
    <row r="793" spans="1:83" ht="12.65" customHeight="1">
      <c r="A793" s="363" t="str">
        <f>RIGHT($C$83,3)&amp;"*"&amp;RIGHT($C$82,4)&amp;"*"&amp;BJ$55&amp;"*"&amp;"A"</f>
        <v>197*2020*8510*A</v>
      </c>
      <c r="B793" s="359"/>
      <c r="C793" s="364">
        <f>ROUND(BJ60,2)</f>
        <v>3.76</v>
      </c>
      <c r="D793" s="359">
        <f>ROUND(BJ61,0)</f>
        <v>228222</v>
      </c>
      <c r="E793" s="359">
        <f>ROUND(BJ62,0)</f>
        <v>39938</v>
      </c>
      <c r="F793" s="359">
        <f>ROUND(BJ63,0)</f>
        <v>0</v>
      </c>
      <c r="G793" s="359">
        <f>ROUND(BJ64,0)</f>
        <v>4516</v>
      </c>
      <c r="H793" s="359">
        <f>ROUND(BJ65,0)</f>
        <v>0</v>
      </c>
      <c r="I793" s="359">
        <f>ROUND(BJ66,0)</f>
        <v>5000</v>
      </c>
      <c r="J793" s="359">
        <f>ROUND(BJ67,0)</f>
        <v>62066</v>
      </c>
      <c r="K793" s="359">
        <f>ROUND(BJ68,0)</f>
        <v>30</v>
      </c>
      <c r="L793" s="359">
        <f>ROUND(BJ69,0)</f>
        <v>76925</v>
      </c>
      <c r="M793" s="359">
        <f>ROUND(BJ70,0)</f>
        <v>0</v>
      </c>
      <c r="N793" s="359"/>
      <c r="O793" s="359"/>
      <c r="P793" s="359">
        <f>IF(BJ76&gt;0,ROUND(BJ76,0),0)</f>
        <v>1635</v>
      </c>
      <c r="Q793" s="359">
        <f>IF(BJ77&gt;0,ROUND(BJ77,0),0)</f>
        <v>0</v>
      </c>
      <c r="R793" s="359">
        <f>IF(BJ78&gt;0,ROUND(BJ78,0),0)</f>
        <v>0</v>
      </c>
      <c r="S793" s="359">
        <f>IF(BJ79&gt;0,ROUND(BJ79,0),0)</f>
        <v>0</v>
      </c>
      <c r="T793" s="364">
        <f>IF(BJ80&gt;0,ROUND(BJ80,2),0)</f>
        <v>0</v>
      </c>
      <c r="U793" s="359"/>
      <c r="V793" s="362"/>
      <c r="W793" s="359"/>
      <c r="X793" s="359"/>
      <c r="Y793" s="359"/>
      <c r="Z793" s="362"/>
      <c r="AA793" s="362"/>
      <c r="AB793" s="362"/>
      <c r="AC793" s="362"/>
      <c r="AD793" s="362"/>
      <c r="AE793" s="362"/>
      <c r="AF793" s="362"/>
      <c r="AG793" s="362"/>
      <c r="AH793" s="362"/>
      <c r="AI793" s="362"/>
      <c r="AJ793" s="362"/>
      <c r="AK793" s="362"/>
      <c r="AL793" s="362"/>
      <c r="AM793" s="362"/>
      <c r="AN793" s="362"/>
      <c r="AO793" s="362"/>
      <c r="AP793" s="362"/>
      <c r="AQ793" s="362"/>
      <c r="AR793" s="362"/>
      <c r="AS793" s="362"/>
      <c r="AT793" s="362"/>
      <c r="AU793" s="362"/>
      <c r="AV793" s="362"/>
      <c r="AW793" s="362"/>
      <c r="AX793" s="362"/>
      <c r="AY793" s="362"/>
      <c r="AZ793" s="362"/>
      <c r="BA793" s="362"/>
      <c r="BB793" s="362"/>
      <c r="BC793" s="362"/>
      <c r="BD793" s="362"/>
      <c r="BE793" s="362"/>
      <c r="BF793" s="362"/>
      <c r="BG793" s="362"/>
      <c r="BH793" s="362"/>
      <c r="BI793" s="362"/>
      <c r="BJ793" s="362"/>
      <c r="BK793" s="362"/>
      <c r="BL793" s="362"/>
      <c r="BM793" s="362"/>
      <c r="BN793" s="362"/>
      <c r="BO793" s="362"/>
      <c r="BP793" s="362"/>
      <c r="BQ793" s="362"/>
      <c r="BR793" s="362"/>
      <c r="BS793" s="362"/>
      <c r="BT793" s="362"/>
      <c r="BU793" s="362"/>
      <c r="BV793" s="362"/>
      <c r="BW793" s="362"/>
      <c r="BX793" s="362"/>
      <c r="BY793" s="362"/>
      <c r="BZ793" s="362"/>
      <c r="CA793" s="362"/>
      <c r="CB793" s="362"/>
      <c r="CC793" s="362"/>
      <c r="CD793" s="362"/>
      <c r="CE793" s="362"/>
    </row>
    <row r="794" spans="1:83" ht="12.65" customHeight="1">
      <c r="A794" s="363" t="str">
        <f>RIGHT($C$83,3)&amp;"*"&amp;RIGHT($C$82,4)&amp;"*"&amp;BK$55&amp;"*"&amp;"A"</f>
        <v>197*2020*8530*A</v>
      </c>
      <c r="B794" s="359"/>
      <c r="C794" s="364">
        <f>ROUND(BK60,2)</f>
        <v>0</v>
      </c>
      <c r="D794" s="359">
        <f>ROUND(BK61,0)</f>
        <v>0</v>
      </c>
      <c r="E794" s="359">
        <f>ROUND(BK62,0)</f>
        <v>0</v>
      </c>
      <c r="F794" s="359">
        <f>ROUND(BK63,0)</f>
        <v>0</v>
      </c>
      <c r="G794" s="359">
        <f>ROUND(BK64,0)</f>
        <v>0</v>
      </c>
      <c r="H794" s="359">
        <f>ROUND(BK65,0)</f>
        <v>0</v>
      </c>
      <c r="I794" s="359">
        <f>ROUND(BK66,0)</f>
        <v>1769837</v>
      </c>
      <c r="J794" s="359">
        <f>ROUND(BK67,0)</f>
        <v>0</v>
      </c>
      <c r="K794" s="359">
        <f>ROUND(BK68,0)</f>
        <v>0</v>
      </c>
      <c r="L794" s="359">
        <f>ROUND(BK69,0)</f>
        <v>-2</v>
      </c>
      <c r="M794" s="359">
        <f>ROUND(BK70,0)</f>
        <v>0</v>
      </c>
      <c r="N794" s="359"/>
      <c r="O794" s="359"/>
      <c r="P794" s="359">
        <f>IF(BK76&gt;0,ROUND(BK76,0),0)</f>
        <v>0</v>
      </c>
      <c r="Q794" s="359">
        <f>IF(BK77&gt;0,ROUND(BK77,0),0)</f>
        <v>0</v>
      </c>
      <c r="R794" s="359">
        <f>IF(BK78&gt;0,ROUND(BK78,0),0)</f>
        <v>0</v>
      </c>
      <c r="S794" s="359">
        <f>IF(BK79&gt;0,ROUND(BK79,0),0)</f>
        <v>0</v>
      </c>
      <c r="T794" s="364">
        <f>IF(BK80&gt;0,ROUND(BK80,2),0)</f>
        <v>0</v>
      </c>
      <c r="U794" s="359"/>
      <c r="V794" s="362"/>
      <c r="W794" s="359"/>
      <c r="X794" s="359"/>
      <c r="Y794" s="359"/>
      <c r="Z794" s="362"/>
      <c r="AA794" s="362"/>
      <c r="AB794" s="362"/>
      <c r="AC794" s="362"/>
      <c r="AD794" s="362"/>
      <c r="AE794" s="362"/>
      <c r="AF794" s="362"/>
      <c r="AG794" s="362"/>
      <c r="AH794" s="362"/>
      <c r="AI794" s="362"/>
      <c r="AJ794" s="362"/>
      <c r="AK794" s="362"/>
      <c r="AL794" s="362"/>
      <c r="AM794" s="362"/>
      <c r="AN794" s="362"/>
      <c r="AO794" s="362"/>
      <c r="AP794" s="362"/>
      <c r="AQ794" s="362"/>
      <c r="AR794" s="362"/>
      <c r="AS794" s="362"/>
      <c r="AT794" s="362"/>
      <c r="AU794" s="362"/>
      <c r="AV794" s="362"/>
      <c r="AW794" s="362"/>
      <c r="AX794" s="362"/>
      <c r="AY794" s="362"/>
      <c r="AZ794" s="362"/>
      <c r="BA794" s="362"/>
      <c r="BB794" s="362"/>
      <c r="BC794" s="362"/>
      <c r="BD794" s="362"/>
      <c r="BE794" s="362"/>
      <c r="BF794" s="362"/>
      <c r="BG794" s="362"/>
      <c r="BH794" s="362"/>
      <c r="BI794" s="362"/>
      <c r="BJ794" s="362"/>
      <c r="BK794" s="362"/>
      <c r="BL794" s="362"/>
      <c r="BM794" s="362"/>
      <c r="BN794" s="362"/>
      <c r="BO794" s="362"/>
      <c r="BP794" s="362"/>
      <c r="BQ794" s="362"/>
      <c r="BR794" s="362"/>
      <c r="BS794" s="362"/>
      <c r="BT794" s="362"/>
      <c r="BU794" s="362"/>
      <c r="BV794" s="362"/>
      <c r="BW794" s="362"/>
      <c r="BX794" s="362"/>
      <c r="BY794" s="362"/>
      <c r="BZ794" s="362"/>
      <c r="CA794" s="362"/>
      <c r="CB794" s="362"/>
      <c r="CC794" s="362"/>
      <c r="CD794" s="362"/>
      <c r="CE794" s="362"/>
    </row>
    <row r="795" spans="1:83" ht="12.65" customHeight="1">
      <c r="A795" s="363" t="str">
        <f>RIGHT($C$83,3)&amp;"*"&amp;RIGHT($C$82,4)&amp;"*"&amp;BL$55&amp;"*"&amp;"A"</f>
        <v>197*2020*8560*A</v>
      </c>
      <c r="B795" s="359"/>
      <c r="C795" s="364">
        <f>ROUND(BL60,2)</f>
        <v>18.87</v>
      </c>
      <c r="D795" s="359">
        <f>ROUND(BL61,0)</f>
        <v>916985</v>
      </c>
      <c r="E795" s="359">
        <f>ROUND(BL62,0)</f>
        <v>166375</v>
      </c>
      <c r="F795" s="359">
        <f>ROUND(BL63,0)</f>
        <v>0</v>
      </c>
      <c r="G795" s="359">
        <f>ROUND(BL64,0)</f>
        <v>20384</v>
      </c>
      <c r="H795" s="359">
        <f>ROUND(BL65,0)</f>
        <v>0</v>
      </c>
      <c r="I795" s="359">
        <f>ROUND(BL66,0)</f>
        <v>48202</v>
      </c>
      <c r="J795" s="359">
        <f>ROUND(BL67,0)</f>
        <v>68368</v>
      </c>
      <c r="K795" s="359">
        <f>ROUND(BL68,0)</f>
        <v>0</v>
      </c>
      <c r="L795" s="359">
        <f>ROUND(BL69,0)</f>
        <v>286343</v>
      </c>
      <c r="M795" s="359">
        <f>ROUND(BL70,0)</f>
        <v>0</v>
      </c>
      <c r="N795" s="359"/>
      <c r="O795" s="359"/>
      <c r="P795" s="359">
        <f>IF(BL76&gt;0,ROUND(BL76,0),0)</f>
        <v>1801</v>
      </c>
      <c r="Q795" s="359">
        <f>IF(BL77&gt;0,ROUND(BL77,0),0)</f>
        <v>0</v>
      </c>
      <c r="R795" s="359">
        <f>IF(BL78&gt;0,ROUND(BL78,0),0)</f>
        <v>459</v>
      </c>
      <c r="S795" s="359">
        <f>IF(BL79&gt;0,ROUND(BL79,0),0)</f>
        <v>0</v>
      </c>
      <c r="T795" s="364">
        <f>IF(BL80&gt;0,ROUND(BL80,2),0)</f>
        <v>0</v>
      </c>
      <c r="U795" s="359"/>
      <c r="V795" s="362"/>
      <c r="W795" s="359"/>
      <c r="X795" s="359"/>
      <c r="Y795" s="359"/>
      <c r="Z795" s="362"/>
      <c r="AA795" s="362"/>
      <c r="AB795" s="362"/>
      <c r="AC795" s="362"/>
      <c r="AD795" s="362"/>
      <c r="AE795" s="362"/>
      <c r="AF795" s="362"/>
      <c r="AG795" s="362"/>
      <c r="AH795" s="362"/>
      <c r="AI795" s="362"/>
      <c r="AJ795" s="362"/>
      <c r="AK795" s="362"/>
      <c r="AL795" s="362"/>
      <c r="AM795" s="362"/>
      <c r="AN795" s="362"/>
      <c r="AO795" s="362"/>
      <c r="AP795" s="362"/>
      <c r="AQ795" s="362"/>
      <c r="AR795" s="362"/>
      <c r="AS795" s="362"/>
      <c r="AT795" s="362"/>
      <c r="AU795" s="362"/>
      <c r="AV795" s="362"/>
      <c r="AW795" s="362"/>
      <c r="AX795" s="362"/>
      <c r="AY795" s="362"/>
      <c r="AZ795" s="362"/>
      <c r="BA795" s="362"/>
      <c r="BB795" s="362"/>
      <c r="BC795" s="362"/>
      <c r="BD795" s="362"/>
      <c r="BE795" s="362"/>
      <c r="BF795" s="362"/>
      <c r="BG795" s="362"/>
      <c r="BH795" s="362"/>
      <c r="BI795" s="362"/>
      <c r="BJ795" s="362"/>
      <c r="BK795" s="362"/>
      <c r="BL795" s="362"/>
      <c r="BM795" s="362"/>
      <c r="BN795" s="362"/>
      <c r="BO795" s="362"/>
      <c r="BP795" s="362"/>
      <c r="BQ795" s="362"/>
      <c r="BR795" s="362"/>
      <c r="BS795" s="362"/>
      <c r="BT795" s="362"/>
      <c r="BU795" s="362"/>
      <c r="BV795" s="362"/>
      <c r="BW795" s="362"/>
      <c r="BX795" s="362"/>
      <c r="BY795" s="362"/>
      <c r="BZ795" s="362"/>
      <c r="CA795" s="362"/>
      <c r="CB795" s="362"/>
      <c r="CC795" s="362"/>
      <c r="CD795" s="362"/>
      <c r="CE795" s="362"/>
    </row>
    <row r="796" spans="1:83" ht="12.65" customHeight="1">
      <c r="A796" s="363" t="str">
        <f>RIGHT($C$83,3)&amp;"*"&amp;RIGHT($C$82,4)&amp;"*"&amp;BM$55&amp;"*"&amp;"A"</f>
        <v>197*2020*8590*A</v>
      </c>
      <c r="B796" s="359"/>
      <c r="C796" s="364">
        <f>ROUND(BM60,2)</f>
        <v>0</v>
      </c>
      <c r="D796" s="359">
        <f>ROUND(BM61,0)</f>
        <v>0</v>
      </c>
      <c r="E796" s="359">
        <f>ROUND(BM62,0)</f>
        <v>0</v>
      </c>
      <c r="F796" s="359">
        <f>ROUND(BM63,0)</f>
        <v>0</v>
      </c>
      <c r="G796" s="359">
        <f>ROUND(BM64,0)</f>
        <v>0</v>
      </c>
      <c r="H796" s="359">
        <f>ROUND(BM65,0)</f>
        <v>0</v>
      </c>
      <c r="I796" s="359">
        <f>ROUND(BM66,0)</f>
        <v>0</v>
      </c>
      <c r="J796" s="359">
        <f>ROUND(BM67,0)</f>
        <v>0</v>
      </c>
      <c r="K796" s="359">
        <f>ROUND(BM68,0)</f>
        <v>0</v>
      </c>
      <c r="L796" s="359">
        <f>ROUND(BM69,0)</f>
        <v>0</v>
      </c>
      <c r="M796" s="359">
        <f>ROUND(BM70,0)</f>
        <v>0</v>
      </c>
      <c r="N796" s="359"/>
      <c r="O796" s="359"/>
      <c r="P796" s="359">
        <f>IF(BM76&gt;0,ROUND(BM76,0),0)</f>
        <v>0</v>
      </c>
      <c r="Q796" s="359">
        <f>IF(BM77&gt;0,ROUND(BM77,0),0)</f>
        <v>0</v>
      </c>
      <c r="R796" s="359">
        <f>IF(BM78&gt;0,ROUND(BM78,0),0)</f>
        <v>0</v>
      </c>
      <c r="S796" s="359">
        <f>IF(BM79&gt;0,ROUND(BM79,0),0)</f>
        <v>0</v>
      </c>
      <c r="T796" s="364">
        <f>IF(BM80&gt;0,ROUND(BM80,2),0)</f>
        <v>0</v>
      </c>
      <c r="U796" s="359"/>
      <c r="V796" s="362"/>
      <c r="W796" s="359"/>
      <c r="X796" s="359"/>
      <c r="Y796" s="359"/>
      <c r="Z796" s="362"/>
      <c r="AA796" s="362"/>
      <c r="AB796" s="362"/>
      <c r="AC796" s="362"/>
      <c r="AD796" s="362"/>
      <c r="AE796" s="362"/>
      <c r="AF796" s="362"/>
      <c r="AG796" s="362"/>
      <c r="AH796" s="362"/>
      <c r="AI796" s="362"/>
      <c r="AJ796" s="362"/>
      <c r="AK796" s="362"/>
      <c r="AL796" s="362"/>
      <c r="AM796" s="362"/>
      <c r="AN796" s="362"/>
      <c r="AO796" s="362"/>
      <c r="AP796" s="362"/>
      <c r="AQ796" s="362"/>
      <c r="AR796" s="362"/>
      <c r="AS796" s="362"/>
      <c r="AT796" s="362"/>
      <c r="AU796" s="362"/>
      <c r="AV796" s="362"/>
      <c r="AW796" s="362"/>
      <c r="AX796" s="362"/>
      <c r="AY796" s="362"/>
      <c r="AZ796" s="362"/>
      <c r="BA796" s="362"/>
      <c r="BB796" s="362"/>
      <c r="BC796" s="362"/>
      <c r="BD796" s="362"/>
      <c r="BE796" s="362"/>
      <c r="BF796" s="362"/>
      <c r="BG796" s="362"/>
      <c r="BH796" s="362"/>
      <c r="BI796" s="362"/>
      <c r="BJ796" s="362"/>
      <c r="BK796" s="362"/>
      <c r="BL796" s="362"/>
      <c r="BM796" s="362"/>
      <c r="BN796" s="362"/>
      <c r="BO796" s="362"/>
      <c r="BP796" s="362"/>
      <c r="BQ796" s="362"/>
      <c r="BR796" s="362"/>
      <c r="BS796" s="362"/>
      <c r="BT796" s="362"/>
      <c r="BU796" s="362"/>
      <c r="BV796" s="362"/>
      <c r="BW796" s="362"/>
      <c r="BX796" s="362"/>
      <c r="BY796" s="362"/>
      <c r="BZ796" s="362"/>
      <c r="CA796" s="362"/>
      <c r="CB796" s="362"/>
      <c r="CC796" s="362"/>
      <c r="CD796" s="362"/>
      <c r="CE796" s="362"/>
    </row>
    <row r="797" spans="1:83" ht="12.65" customHeight="1">
      <c r="A797" s="363" t="str">
        <f>RIGHT($C$83,3)&amp;"*"&amp;RIGHT($C$82,4)&amp;"*"&amp;BN$55&amp;"*"&amp;"A"</f>
        <v>197*2020*8610*A</v>
      </c>
      <c r="B797" s="359"/>
      <c r="C797" s="364">
        <f>ROUND(BN60,2)</f>
        <v>8.64</v>
      </c>
      <c r="D797" s="359">
        <f>ROUND(BN61,0)</f>
        <v>2247739</v>
      </c>
      <c r="E797" s="359">
        <f>ROUND(BN62,0)</f>
        <v>278815</v>
      </c>
      <c r="F797" s="359">
        <f>ROUND(BN63,0)</f>
        <v>0</v>
      </c>
      <c r="G797" s="359">
        <f>ROUND(BN64,0)</f>
        <v>11835</v>
      </c>
      <c r="H797" s="359">
        <f>ROUND(BN65,0)</f>
        <v>405</v>
      </c>
      <c r="I797" s="359">
        <f>ROUND(BN66,0)</f>
        <v>601837</v>
      </c>
      <c r="J797" s="359">
        <f>ROUND(BN67,0)</f>
        <v>147099</v>
      </c>
      <c r="K797" s="359">
        <f>ROUND(BN68,0)</f>
        <v>450787</v>
      </c>
      <c r="L797" s="359">
        <f>ROUND(BN69,0)</f>
        <v>3151513</v>
      </c>
      <c r="M797" s="359">
        <f>ROUND(BN70,0)</f>
        <v>0</v>
      </c>
      <c r="N797" s="359"/>
      <c r="O797" s="359"/>
      <c r="P797" s="359">
        <f>IF(BN76&gt;0,ROUND(BN76,0),0)</f>
        <v>3875</v>
      </c>
      <c r="Q797" s="359">
        <f>IF(BN77&gt;0,ROUND(BN77,0),0)</f>
        <v>0</v>
      </c>
      <c r="R797" s="359">
        <f>IF(BN78&gt;0,ROUND(BN78,0),0)</f>
        <v>0</v>
      </c>
      <c r="S797" s="359">
        <f>IF(BN79&gt;0,ROUND(BN79,0),0)</f>
        <v>0</v>
      </c>
      <c r="T797" s="364">
        <f>IF(BN80&gt;0,ROUND(BN80,2),0)</f>
        <v>0</v>
      </c>
      <c r="U797" s="359"/>
      <c r="V797" s="362"/>
      <c r="W797" s="359"/>
      <c r="X797" s="359"/>
      <c r="Y797" s="359"/>
      <c r="Z797" s="362"/>
      <c r="AA797" s="362"/>
      <c r="AB797" s="362"/>
      <c r="AC797" s="362"/>
      <c r="AD797" s="362"/>
      <c r="AE797" s="362"/>
      <c r="AF797" s="362"/>
      <c r="AG797" s="362"/>
      <c r="AH797" s="362"/>
      <c r="AI797" s="362"/>
      <c r="AJ797" s="362"/>
      <c r="AK797" s="362"/>
      <c r="AL797" s="362"/>
      <c r="AM797" s="362"/>
      <c r="AN797" s="362"/>
      <c r="AO797" s="362"/>
      <c r="AP797" s="362"/>
      <c r="AQ797" s="362"/>
      <c r="AR797" s="362"/>
      <c r="AS797" s="362"/>
      <c r="AT797" s="362"/>
      <c r="AU797" s="362"/>
      <c r="AV797" s="362"/>
      <c r="AW797" s="362"/>
      <c r="AX797" s="362"/>
      <c r="AY797" s="362"/>
      <c r="AZ797" s="362"/>
      <c r="BA797" s="362"/>
      <c r="BB797" s="362"/>
      <c r="BC797" s="362"/>
      <c r="BD797" s="362"/>
      <c r="BE797" s="362"/>
      <c r="BF797" s="362"/>
      <c r="BG797" s="362"/>
      <c r="BH797" s="362"/>
      <c r="BI797" s="362"/>
      <c r="BJ797" s="362"/>
      <c r="BK797" s="362"/>
      <c r="BL797" s="362"/>
      <c r="BM797" s="362"/>
      <c r="BN797" s="362"/>
      <c r="BO797" s="362"/>
      <c r="BP797" s="362"/>
      <c r="BQ797" s="362"/>
      <c r="BR797" s="362"/>
      <c r="BS797" s="362"/>
      <c r="BT797" s="362"/>
      <c r="BU797" s="362"/>
      <c r="BV797" s="362"/>
      <c r="BW797" s="362"/>
      <c r="BX797" s="362"/>
      <c r="BY797" s="362"/>
      <c r="BZ797" s="362"/>
      <c r="CA797" s="362"/>
      <c r="CB797" s="362"/>
      <c r="CC797" s="362"/>
      <c r="CD797" s="362"/>
      <c r="CE797" s="362"/>
    </row>
    <row r="798" spans="1:83" ht="12.65" customHeight="1">
      <c r="A798" s="363" t="str">
        <f>RIGHT($C$83,3)&amp;"*"&amp;RIGHT($C$82,4)&amp;"*"&amp;BO$55&amp;"*"&amp;"A"</f>
        <v>197*2020*8620*A</v>
      </c>
      <c r="B798" s="359"/>
      <c r="C798" s="364">
        <f>ROUND(BO60,2)</f>
        <v>0</v>
      </c>
      <c r="D798" s="359">
        <f>ROUND(BO61,0)</f>
        <v>0</v>
      </c>
      <c r="E798" s="359">
        <f>ROUND(BO62,0)</f>
        <v>0</v>
      </c>
      <c r="F798" s="359">
        <f>ROUND(BO63,0)</f>
        <v>0</v>
      </c>
      <c r="G798" s="359">
        <f>ROUND(BO64,0)</f>
        <v>0</v>
      </c>
      <c r="H798" s="359">
        <f>ROUND(BO65,0)</f>
        <v>0</v>
      </c>
      <c r="I798" s="359">
        <f>ROUND(BO66,0)</f>
        <v>0</v>
      </c>
      <c r="J798" s="359">
        <f>ROUND(BO67,0)</f>
        <v>0</v>
      </c>
      <c r="K798" s="359">
        <f>ROUND(BO68,0)</f>
        <v>0</v>
      </c>
      <c r="L798" s="359">
        <f>ROUND(BO69,0)</f>
        <v>0</v>
      </c>
      <c r="M798" s="359">
        <f>ROUND(BO70,0)</f>
        <v>0</v>
      </c>
      <c r="N798" s="359"/>
      <c r="O798" s="359"/>
      <c r="P798" s="359">
        <f>IF(BO76&gt;0,ROUND(BO76,0),0)</f>
        <v>0</v>
      </c>
      <c r="Q798" s="359">
        <f>IF(BO77&gt;0,ROUND(BO77,0),0)</f>
        <v>0</v>
      </c>
      <c r="R798" s="359">
        <f>IF(BO78&gt;0,ROUND(BO78,0),0)</f>
        <v>0</v>
      </c>
      <c r="S798" s="359">
        <f>IF(BO79&gt;0,ROUND(BO79,0),0)</f>
        <v>0</v>
      </c>
      <c r="T798" s="364">
        <f>IF(BO80&gt;0,ROUND(BO80,2),0)</f>
        <v>0</v>
      </c>
      <c r="U798" s="359"/>
      <c r="V798" s="362"/>
      <c r="W798" s="359"/>
      <c r="X798" s="359"/>
      <c r="Y798" s="359"/>
      <c r="Z798" s="362"/>
      <c r="AA798" s="362"/>
      <c r="AB798" s="362"/>
      <c r="AC798" s="362"/>
      <c r="AD798" s="362"/>
      <c r="AE798" s="362"/>
      <c r="AF798" s="362"/>
      <c r="AG798" s="362"/>
      <c r="AH798" s="362"/>
      <c r="AI798" s="362"/>
      <c r="AJ798" s="362"/>
      <c r="AK798" s="362"/>
      <c r="AL798" s="362"/>
      <c r="AM798" s="362"/>
      <c r="AN798" s="362"/>
      <c r="AO798" s="362"/>
      <c r="AP798" s="362"/>
      <c r="AQ798" s="362"/>
      <c r="AR798" s="362"/>
      <c r="AS798" s="362"/>
      <c r="AT798" s="362"/>
      <c r="AU798" s="362"/>
      <c r="AV798" s="362"/>
      <c r="AW798" s="362"/>
      <c r="AX798" s="362"/>
      <c r="AY798" s="362"/>
      <c r="AZ798" s="362"/>
      <c r="BA798" s="362"/>
      <c r="BB798" s="362"/>
      <c r="BC798" s="362"/>
      <c r="BD798" s="362"/>
      <c r="BE798" s="362"/>
      <c r="BF798" s="362"/>
      <c r="BG798" s="362"/>
      <c r="BH798" s="362"/>
      <c r="BI798" s="362"/>
      <c r="BJ798" s="362"/>
      <c r="BK798" s="362"/>
      <c r="BL798" s="362"/>
      <c r="BM798" s="362"/>
      <c r="BN798" s="362"/>
      <c r="BO798" s="362"/>
      <c r="BP798" s="362"/>
      <c r="BQ798" s="362"/>
      <c r="BR798" s="362"/>
      <c r="BS798" s="362"/>
      <c r="BT798" s="362"/>
      <c r="BU798" s="362"/>
      <c r="BV798" s="362"/>
      <c r="BW798" s="362"/>
      <c r="BX798" s="362"/>
      <c r="BY798" s="362"/>
      <c r="BZ798" s="362"/>
      <c r="CA798" s="362"/>
      <c r="CB798" s="362"/>
      <c r="CC798" s="362"/>
      <c r="CD798" s="362"/>
      <c r="CE798" s="362"/>
    </row>
    <row r="799" spans="1:83" ht="12.65" customHeight="1">
      <c r="A799" s="363" t="str">
        <f>RIGHT($C$83,3)&amp;"*"&amp;RIGHT($C$82,4)&amp;"*"&amp;BP$55&amp;"*"&amp;"A"</f>
        <v>197*2020*8630*A</v>
      </c>
      <c r="B799" s="359"/>
      <c r="C799" s="364">
        <f>ROUND(BP60,2)</f>
        <v>0.76</v>
      </c>
      <c r="D799" s="359">
        <f>ROUND(BP61,0)</f>
        <v>48166</v>
      </c>
      <c r="E799" s="359">
        <f>ROUND(BP62,0)</f>
        <v>8796</v>
      </c>
      <c r="F799" s="359">
        <f>ROUND(BP63,0)</f>
        <v>0</v>
      </c>
      <c r="G799" s="359">
        <f>ROUND(BP64,0)</f>
        <v>13964</v>
      </c>
      <c r="H799" s="359">
        <f>ROUND(BP65,0)</f>
        <v>0</v>
      </c>
      <c r="I799" s="359">
        <f>ROUND(BP66,0)</f>
        <v>20803</v>
      </c>
      <c r="J799" s="359">
        <f>ROUND(BP67,0)</f>
        <v>27674</v>
      </c>
      <c r="K799" s="359">
        <f>ROUND(BP68,0)</f>
        <v>0</v>
      </c>
      <c r="L799" s="359">
        <f>ROUND(BP69,0)</f>
        <v>123520</v>
      </c>
      <c r="M799" s="359">
        <f>ROUND(BP70,0)</f>
        <v>0</v>
      </c>
      <c r="N799" s="359"/>
      <c r="O799" s="359"/>
      <c r="P799" s="359">
        <f>IF(BP76&gt;0,ROUND(BP76,0),0)</f>
        <v>729</v>
      </c>
      <c r="Q799" s="359">
        <f>IF(BP77&gt;0,ROUND(BP77,0),0)</f>
        <v>0</v>
      </c>
      <c r="R799" s="359">
        <f>IF(BP78&gt;0,ROUND(BP78,0),0)</f>
        <v>0</v>
      </c>
      <c r="S799" s="359">
        <f>IF(BP79&gt;0,ROUND(BP79,0),0)</f>
        <v>0</v>
      </c>
      <c r="T799" s="364">
        <f>IF(BP80&gt;0,ROUND(BP80,2),0)</f>
        <v>0</v>
      </c>
      <c r="U799" s="359"/>
      <c r="V799" s="362"/>
      <c r="W799" s="359"/>
      <c r="X799" s="359"/>
      <c r="Y799" s="359"/>
      <c r="Z799" s="362"/>
      <c r="AA799" s="362"/>
      <c r="AB799" s="362"/>
      <c r="AC799" s="362"/>
      <c r="AD799" s="362"/>
      <c r="AE799" s="362"/>
      <c r="AF799" s="362"/>
      <c r="AG799" s="362"/>
      <c r="AH799" s="362"/>
      <c r="AI799" s="362"/>
      <c r="AJ799" s="362"/>
      <c r="AK799" s="362"/>
      <c r="AL799" s="362"/>
      <c r="AM799" s="362"/>
      <c r="AN799" s="362"/>
      <c r="AO799" s="362"/>
      <c r="AP799" s="362"/>
      <c r="AQ799" s="362"/>
      <c r="AR799" s="362"/>
      <c r="AS799" s="362"/>
      <c r="AT799" s="362"/>
      <c r="AU799" s="362"/>
      <c r="AV799" s="362"/>
      <c r="AW799" s="362"/>
      <c r="AX799" s="362"/>
      <c r="AY799" s="362"/>
      <c r="AZ799" s="362"/>
      <c r="BA799" s="362"/>
      <c r="BB799" s="362"/>
      <c r="BC799" s="362"/>
      <c r="BD799" s="362"/>
      <c r="BE799" s="362"/>
      <c r="BF799" s="362"/>
      <c r="BG799" s="362"/>
      <c r="BH799" s="362"/>
      <c r="BI799" s="362"/>
      <c r="BJ799" s="362"/>
      <c r="BK799" s="362"/>
      <c r="BL799" s="362"/>
      <c r="BM799" s="362"/>
      <c r="BN799" s="362"/>
      <c r="BO799" s="362"/>
      <c r="BP799" s="362"/>
      <c r="BQ799" s="362"/>
      <c r="BR799" s="362"/>
      <c r="BS799" s="362"/>
      <c r="BT799" s="362"/>
      <c r="BU799" s="362"/>
      <c r="BV799" s="362"/>
      <c r="BW799" s="362"/>
      <c r="BX799" s="362"/>
      <c r="BY799" s="362"/>
      <c r="BZ799" s="362"/>
      <c r="CA799" s="362"/>
      <c r="CB799" s="362"/>
      <c r="CC799" s="362"/>
      <c r="CD799" s="362"/>
      <c r="CE799" s="362"/>
    </row>
    <row r="800" spans="1:83" ht="12.65" customHeight="1">
      <c r="A800" s="363" t="str">
        <f>RIGHT($C$83,3)&amp;"*"&amp;RIGHT($C$82,4)&amp;"*"&amp;BQ$55&amp;"*"&amp;"A"</f>
        <v>197*2020*8640*A</v>
      </c>
      <c r="B800" s="359"/>
      <c r="C800" s="364">
        <f>ROUND(BQ60,2)</f>
        <v>0</v>
      </c>
      <c r="D800" s="359">
        <f>ROUND(BQ61,0)</f>
        <v>0</v>
      </c>
      <c r="E800" s="359">
        <f>ROUND(BQ62,0)</f>
        <v>0</v>
      </c>
      <c r="F800" s="359">
        <f>ROUND(BQ63,0)</f>
        <v>0</v>
      </c>
      <c r="G800" s="359">
        <f>ROUND(BQ64,0)</f>
        <v>0</v>
      </c>
      <c r="H800" s="359">
        <f>ROUND(BQ65,0)</f>
        <v>0</v>
      </c>
      <c r="I800" s="359">
        <f>ROUND(BQ66,0)</f>
        <v>0</v>
      </c>
      <c r="J800" s="359">
        <f>ROUND(BQ67,0)</f>
        <v>0</v>
      </c>
      <c r="K800" s="359">
        <f>ROUND(BQ68,0)</f>
        <v>0</v>
      </c>
      <c r="L800" s="359">
        <f>ROUND(BQ69,0)</f>
        <v>0</v>
      </c>
      <c r="M800" s="359">
        <f>ROUND(BQ70,0)</f>
        <v>0</v>
      </c>
      <c r="N800" s="359"/>
      <c r="O800" s="359"/>
      <c r="P800" s="359">
        <f>IF(BQ76&gt;0,ROUND(BQ76,0),0)</f>
        <v>0</v>
      </c>
      <c r="Q800" s="359">
        <f>IF(BQ77&gt;0,ROUND(BQ77,0),0)</f>
        <v>0</v>
      </c>
      <c r="R800" s="359">
        <f>IF(BQ78&gt;0,ROUND(BQ78,0),0)</f>
        <v>0</v>
      </c>
      <c r="S800" s="359">
        <f>IF(BQ79&gt;0,ROUND(BQ79,0),0)</f>
        <v>0</v>
      </c>
      <c r="T800" s="364">
        <f>IF(BQ80&gt;0,ROUND(BQ80,2),0)</f>
        <v>0</v>
      </c>
      <c r="U800" s="359"/>
      <c r="V800" s="362"/>
      <c r="W800" s="359"/>
      <c r="X800" s="359"/>
      <c r="Y800" s="359"/>
      <c r="Z800" s="362"/>
      <c r="AA800" s="362"/>
      <c r="AB800" s="362"/>
      <c r="AC800" s="362"/>
      <c r="AD800" s="362"/>
      <c r="AE800" s="362"/>
      <c r="AF800" s="362"/>
      <c r="AG800" s="362"/>
      <c r="AH800" s="362"/>
      <c r="AI800" s="362"/>
      <c r="AJ800" s="362"/>
      <c r="AK800" s="362"/>
      <c r="AL800" s="362"/>
      <c r="AM800" s="362"/>
      <c r="AN800" s="362"/>
      <c r="AO800" s="362"/>
      <c r="AP800" s="362"/>
      <c r="AQ800" s="362"/>
      <c r="AR800" s="362"/>
      <c r="AS800" s="362"/>
      <c r="AT800" s="362"/>
      <c r="AU800" s="362"/>
      <c r="AV800" s="362"/>
      <c r="AW800" s="362"/>
      <c r="AX800" s="362"/>
      <c r="AY800" s="362"/>
      <c r="AZ800" s="362"/>
      <c r="BA800" s="362"/>
      <c r="BB800" s="362"/>
      <c r="BC800" s="362"/>
      <c r="BD800" s="362"/>
      <c r="BE800" s="362"/>
      <c r="BF800" s="362"/>
      <c r="BG800" s="362"/>
      <c r="BH800" s="362"/>
      <c r="BI800" s="362"/>
      <c r="BJ800" s="362"/>
      <c r="BK800" s="362"/>
      <c r="BL800" s="362"/>
      <c r="BM800" s="362"/>
      <c r="BN800" s="362"/>
      <c r="BO800" s="362"/>
      <c r="BP800" s="362"/>
      <c r="BQ800" s="362"/>
      <c r="BR800" s="362"/>
      <c r="BS800" s="362"/>
      <c r="BT800" s="362"/>
      <c r="BU800" s="362"/>
      <c r="BV800" s="362"/>
      <c r="BW800" s="362"/>
      <c r="BX800" s="362"/>
      <c r="BY800" s="362"/>
      <c r="BZ800" s="362"/>
      <c r="CA800" s="362"/>
      <c r="CB800" s="362"/>
      <c r="CC800" s="362"/>
      <c r="CD800" s="362"/>
      <c r="CE800" s="362"/>
    </row>
    <row r="801" spans="1:83" ht="12.65" customHeight="1">
      <c r="A801" s="363" t="str">
        <f>RIGHT($C$83,3)&amp;"*"&amp;RIGHT($C$82,4)&amp;"*"&amp;BR$55&amp;"*"&amp;"A"</f>
        <v>197*2020*8650*A</v>
      </c>
      <c r="B801" s="359"/>
      <c r="C801" s="364">
        <f>ROUND(BR60,2)</f>
        <v>3.71</v>
      </c>
      <c r="D801" s="359">
        <f>ROUND(BR61,0)</f>
        <v>284486</v>
      </c>
      <c r="E801" s="359">
        <f>ROUND(BR62,0)</f>
        <v>50589</v>
      </c>
      <c r="F801" s="359">
        <f>ROUND(BR63,0)</f>
        <v>0</v>
      </c>
      <c r="G801" s="359">
        <f>ROUND(BR64,0)</f>
        <v>9259</v>
      </c>
      <c r="H801" s="359">
        <f>ROUND(BR65,0)</f>
        <v>0</v>
      </c>
      <c r="I801" s="359">
        <f>ROUND(BR66,0)</f>
        <v>171037</v>
      </c>
      <c r="J801" s="359">
        <f>ROUND(BR67,0)</f>
        <v>38454</v>
      </c>
      <c r="K801" s="359">
        <f>ROUND(BR68,0)</f>
        <v>17</v>
      </c>
      <c r="L801" s="359">
        <f>ROUND(BR69,0)</f>
        <v>202585</v>
      </c>
      <c r="M801" s="359">
        <f>ROUND(BR70,0)</f>
        <v>0</v>
      </c>
      <c r="N801" s="359"/>
      <c r="O801" s="359"/>
      <c r="P801" s="359">
        <f>IF(BR76&gt;0,ROUND(BR76,0),0)</f>
        <v>1013</v>
      </c>
      <c r="Q801" s="359">
        <f>IF(BR77&gt;0,ROUND(BR77,0),0)</f>
        <v>0</v>
      </c>
      <c r="R801" s="359">
        <f>IF(BR78&gt;0,ROUND(BR78,0),0)</f>
        <v>0</v>
      </c>
      <c r="S801" s="359">
        <f>IF(BR79&gt;0,ROUND(BR79,0),0)</f>
        <v>0</v>
      </c>
      <c r="T801" s="364">
        <f>IF(BR80&gt;0,ROUND(BR80,2),0)</f>
        <v>0</v>
      </c>
      <c r="U801" s="359"/>
      <c r="V801" s="362"/>
      <c r="W801" s="359"/>
      <c r="X801" s="359"/>
      <c r="Y801" s="359"/>
      <c r="Z801" s="362"/>
      <c r="AA801" s="362"/>
      <c r="AB801" s="362"/>
      <c r="AC801" s="362"/>
      <c r="AD801" s="362"/>
      <c r="AE801" s="362"/>
      <c r="AF801" s="362"/>
      <c r="AG801" s="362"/>
      <c r="AH801" s="362"/>
      <c r="AI801" s="362"/>
      <c r="AJ801" s="362"/>
      <c r="AK801" s="362"/>
      <c r="AL801" s="362"/>
      <c r="AM801" s="362"/>
      <c r="AN801" s="362"/>
      <c r="AO801" s="362"/>
      <c r="AP801" s="362"/>
      <c r="AQ801" s="362"/>
      <c r="AR801" s="362"/>
      <c r="AS801" s="362"/>
      <c r="AT801" s="362"/>
      <c r="AU801" s="362"/>
      <c r="AV801" s="362"/>
      <c r="AW801" s="362"/>
      <c r="AX801" s="362"/>
      <c r="AY801" s="362"/>
      <c r="AZ801" s="362"/>
      <c r="BA801" s="362"/>
      <c r="BB801" s="362"/>
      <c r="BC801" s="362"/>
      <c r="BD801" s="362"/>
      <c r="BE801" s="362"/>
      <c r="BF801" s="362"/>
      <c r="BG801" s="362"/>
      <c r="BH801" s="362"/>
      <c r="BI801" s="362"/>
      <c r="BJ801" s="362"/>
      <c r="BK801" s="362"/>
      <c r="BL801" s="362"/>
      <c r="BM801" s="362"/>
      <c r="BN801" s="362"/>
      <c r="BO801" s="362"/>
      <c r="BP801" s="362"/>
      <c r="BQ801" s="362"/>
      <c r="BR801" s="362"/>
      <c r="BS801" s="362"/>
      <c r="BT801" s="362"/>
      <c r="BU801" s="362"/>
      <c r="BV801" s="362"/>
      <c r="BW801" s="362"/>
      <c r="BX801" s="362"/>
      <c r="BY801" s="362"/>
      <c r="BZ801" s="362"/>
      <c r="CA801" s="362"/>
      <c r="CB801" s="362"/>
      <c r="CC801" s="362"/>
      <c r="CD801" s="362"/>
      <c r="CE801" s="362"/>
    </row>
    <row r="802" spans="1:83" ht="12.65" customHeight="1">
      <c r="A802" s="363" t="str">
        <f>RIGHT($C$83,3)&amp;"*"&amp;RIGHT($C$82,4)&amp;"*"&amp;BS$55&amp;"*"&amp;"A"</f>
        <v>197*2020*8660*A</v>
      </c>
      <c r="B802" s="359"/>
      <c r="C802" s="364">
        <f>ROUND(BS60,2)</f>
        <v>0</v>
      </c>
      <c r="D802" s="359">
        <f>ROUND(BS61,0)</f>
        <v>0</v>
      </c>
      <c r="E802" s="359">
        <f>ROUND(BS62,0)</f>
        <v>0</v>
      </c>
      <c r="F802" s="359">
        <f>ROUND(BS63,0)</f>
        <v>0</v>
      </c>
      <c r="G802" s="359">
        <f>ROUND(BS64,0)</f>
        <v>0</v>
      </c>
      <c r="H802" s="359">
        <f>ROUND(BS65,0)</f>
        <v>0</v>
      </c>
      <c r="I802" s="359">
        <f>ROUND(BS66,0)</f>
        <v>0</v>
      </c>
      <c r="J802" s="359">
        <f>ROUND(BS67,0)</f>
        <v>10857</v>
      </c>
      <c r="K802" s="359">
        <f>ROUND(BS68,0)</f>
        <v>0</v>
      </c>
      <c r="L802" s="359">
        <f>ROUND(BS69,0)</f>
        <v>0</v>
      </c>
      <c r="M802" s="359">
        <f>ROUND(BS70,0)</f>
        <v>0</v>
      </c>
      <c r="N802" s="359"/>
      <c r="O802" s="359"/>
      <c r="P802" s="359">
        <f>IF(BS76&gt;0,ROUND(BS76,0),0)</f>
        <v>286</v>
      </c>
      <c r="Q802" s="359">
        <f>IF(BS77&gt;0,ROUND(BS77,0),0)</f>
        <v>0</v>
      </c>
      <c r="R802" s="359">
        <f>IF(BS78&gt;0,ROUND(BS78,0),0)</f>
        <v>73</v>
      </c>
      <c r="S802" s="359">
        <f>IF(BS79&gt;0,ROUND(BS79,0),0)</f>
        <v>0</v>
      </c>
      <c r="T802" s="364">
        <f>IF(BS80&gt;0,ROUND(BS80,2),0)</f>
        <v>0</v>
      </c>
      <c r="U802" s="359"/>
      <c r="V802" s="362"/>
      <c r="W802" s="359"/>
      <c r="X802" s="359"/>
      <c r="Y802" s="359"/>
      <c r="Z802" s="362"/>
      <c r="AA802" s="362"/>
      <c r="AB802" s="362"/>
      <c r="AC802" s="362"/>
      <c r="AD802" s="362"/>
      <c r="AE802" s="362"/>
      <c r="AF802" s="362"/>
      <c r="AG802" s="362"/>
      <c r="AH802" s="362"/>
      <c r="AI802" s="362"/>
      <c r="AJ802" s="362"/>
      <c r="AK802" s="362"/>
      <c r="AL802" s="362"/>
      <c r="AM802" s="362"/>
      <c r="AN802" s="362"/>
      <c r="AO802" s="362"/>
      <c r="AP802" s="362"/>
      <c r="AQ802" s="362"/>
      <c r="AR802" s="362"/>
      <c r="AS802" s="362"/>
      <c r="AT802" s="362"/>
      <c r="AU802" s="362"/>
      <c r="AV802" s="362"/>
      <c r="AW802" s="362"/>
      <c r="AX802" s="362"/>
      <c r="AY802" s="362"/>
      <c r="AZ802" s="362"/>
      <c r="BA802" s="362"/>
      <c r="BB802" s="362"/>
      <c r="BC802" s="362"/>
      <c r="BD802" s="362"/>
      <c r="BE802" s="362"/>
      <c r="BF802" s="362"/>
      <c r="BG802" s="362"/>
      <c r="BH802" s="362"/>
      <c r="BI802" s="362"/>
      <c r="BJ802" s="362"/>
      <c r="BK802" s="362"/>
      <c r="BL802" s="362"/>
      <c r="BM802" s="362"/>
      <c r="BN802" s="362"/>
      <c r="BO802" s="362"/>
      <c r="BP802" s="362"/>
      <c r="BQ802" s="362"/>
      <c r="BR802" s="362"/>
      <c r="BS802" s="362"/>
      <c r="BT802" s="362"/>
      <c r="BU802" s="362"/>
      <c r="BV802" s="362"/>
      <c r="BW802" s="362"/>
      <c r="BX802" s="362"/>
      <c r="BY802" s="362"/>
      <c r="BZ802" s="362"/>
      <c r="CA802" s="362"/>
      <c r="CB802" s="362"/>
      <c r="CC802" s="362"/>
      <c r="CD802" s="362"/>
      <c r="CE802" s="362"/>
    </row>
    <row r="803" spans="1:83" ht="12.65" customHeight="1">
      <c r="A803" s="363" t="str">
        <f>RIGHT($C$83,3)&amp;"*"&amp;RIGHT($C$82,4)&amp;"*"&amp;BT$55&amp;"*"&amp;"A"</f>
        <v>197*2020*8670*A</v>
      </c>
      <c r="B803" s="359"/>
      <c r="C803" s="364">
        <f>ROUND(BT60,2)</f>
        <v>0</v>
      </c>
      <c r="D803" s="359">
        <f>ROUND(BT61,0)</f>
        <v>0</v>
      </c>
      <c r="E803" s="359">
        <f>ROUND(BT62,0)</f>
        <v>0</v>
      </c>
      <c r="F803" s="359">
        <f>ROUND(BT63,0)</f>
        <v>0</v>
      </c>
      <c r="G803" s="359">
        <f>ROUND(BT64,0)</f>
        <v>0</v>
      </c>
      <c r="H803" s="359">
        <f>ROUND(BT65,0)</f>
        <v>0</v>
      </c>
      <c r="I803" s="359">
        <f>ROUND(BT66,0)</f>
        <v>0</v>
      </c>
      <c r="J803" s="359">
        <f>ROUND(BT67,0)</f>
        <v>0</v>
      </c>
      <c r="K803" s="359">
        <f>ROUND(BT68,0)</f>
        <v>0</v>
      </c>
      <c r="L803" s="359">
        <f>ROUND(BT69,0)</f>
        <v>0</v>
      </c>
      <c r="M803" s="359">
        <f>ROUND(BT70,0)</f>
        <v>0</v>
      </c>
      <c r="N803" s="359"/>
      <c r="O803" s="359"/>
      <c r="P803" s="359">
        <f>IF(BT76&gt;0,ROUND(BT76,0),0)</f>
        <v>0</v>
      </c>
      <c r="Q803" s="359">
        <f>IF(BT77&gt;0,ROUND(BT77,0),0)</f>
        <v>0</v>
      </c>
      <c r="R803" s="359">
        <f>IF(BT78&gt;0,ROUND(BT78,0),0)</f>
        <v>0</v>
      </c>
      <c r="S803" s="359">
        <f>IF(BT79&gt;0,ROUND(BT79,0),0)</f>
        <v>0</v>
      </c>
      <c r="T803" s="364">
        <f>IF(BT80&gt;0,ROUND(BT80,2),0)</f>
        <v>0</v>
      </c>
      <c r="U803" s="359"/>
      <c r="V803" s="362"/>
      <c r="W803" s="359"/>
      <c r="X803" s="359"/>
      <c r="Y803" s="359"/>
      <c r="Z803" s="362"/>
      <c r="AA803" s="362"/>
      <c r="AB803" s="362"/>
      <c r="AC803" s="362"/>
      <c r="AD803" s="362"/>
      <c r="AE803" s="362"/>
      <c r="AF803" s="362"/>
      <c r="AG803" s="362"/>
      <c r="AH803" s="362"/>
      <c r="AI803" s="362"/>
      <c r="AJ803" s="362"/>
      <c r="AK803" s="362"/>
      <c r="AL803" s="362"/>
      <c r="AM803" s="362"/>
      <c r="AN803" s="362"/>
      <c r="AO803" s="362"/>
      <c r="AP803" s="362"/>
      <c r="AQ803" s="362"/>
      <c r="AR803" s="362"/>
      <c r="AS803" s="362"/>
      <c r="AT803" s="362"/>
      <c r="AU803" s="362"/>
      <c r="AV803" s="362"/>
      <c r="AW803" s="362"/>
      <c r="AX803" s="362"/>
      <c r="AY803" s="362"/>
      <c r="AZ803" s="362"/>
      <c r="BA803" s="362"/>
      <c r="BB803" s="362"/>
      <c r="BC803" s="362"/>
      <c r="BD803" s="362"/>
      <c r="BE803" s="362"/>
      <c r="BF803" s="362"/>
      <c r="BG803" s="362"/>
      <c r="BH803" s="362"/>
      <c r="BI803" s="362"/>
      <c r="BJ803" s="362"/>
      <c r="BK803" s="362"/>
      <c r="BL803" s="362"/>
      <c r="BM803" s="362"/>
      <c r="BN803" s="362"/>
      <c r="BO803" s="362"/>
      <c r="BP803" s="362"/>
      <c r="BQ803" s="362"/>
      <c r="BR803" s="362"/>
      <c r="BS803" s="362"/>
      <c r="BT803" s="362"/>
      <c r="BU803" s="362"/>
      <c r="BV803" s="362"/>
      <c r="BW803" s="362"/>
      <c r="BX803" s="362"/>
      <c r="BY803" s="362"/>
      <c r="BZ803" s="362"/>
      <c r="CA803" s="362"/>
      <c r="CB803" s="362"/>
      <c r="CC803" s="362"/>
      <c r="CD803" s="362"/>
      <c r="CE803" s="362"/>
    </row>
    <row r="804" spans="1:83" ht="12.65" customHeight="1">
      <c r="A804" s="363" t="str">
        <f>RIGHT($C$83,3)&amp;"*"&amp;RIGHT($C$82,4)&amp;"*"&amp;BU$55&amp;"*"&amp;"A"</f>
        <v>197*2020*8680*A</v>
      </c>
      <c r="B804" s="359"/>
      <c r="C804" s="364">
        <f>ROUND(BU60,2)</f>
        <v>0</v>
      </c>
      <c r="D804" s="359">
        <f>ROUND(BU61,0)</f>
        <v>0</v>
      </c>
      <c r="E804" s="359">
        <f>ROUND(BU62,0)</f>
        <v>0</v>
      </c>
      <c r="F804" s="359">
        <f>ROUND(BU63,0)</f>
        <v>0</v>
      </c>
      <c r="G804" s="359">
        <f>ROUND(BU64,0)</f>
        <v>0</v>
      </c>
      <c r="H804" s="359">
        <f>ROUND(BU65,0)</f>
        <v>0</v>
      </c>
      <c r="I804" s="359">
        <f>ROUND(BU66,0)</f>
        <v>0</v>
      </c>
      <c r="J804" s="359">
        <f>ROUND(BU67,0)</f>
        <v>127359</v>
      </c>
      <c r="K804" s="359">
        <f>ROUND(BU68,0)</f>
        <v>0</v>
      </c>
      <c r="L804" s="359">
        <f>ROUND(BU69,0)</f>
        <v>0</v>
      </c>
      <c r="M804" s="359">
        <f>ROUND(BU70,0)</f>
        <v>0</v>
      </c>
      <c r="N804" s="359"/>
      <c r="O804" s="359"/>
      <c r="P804" s="359">
        <f>IF(BU76&gt;0,ROUND(BU76,0),0)</f>
        <v>3355</v>
      </c>
      <c r="Q804" s="359">
        <f>IF(BU77&gt;0,ROUND(BU77,0),0)</f>
        <v>0</v>
      </c>
      <c r="R804" s="359">
        <f>IF(BU78&gt;0,ROUND(BU78,0),0)</f>
        <v>0</v>
      </c>
      <c r="S804" s="359">
        <f>IF(BU79&gt;0,ROUND(BU79,0),0)</f>
        <v>0</v>
      </c>
      <c r="T804" s="364">
        <f>IF(BU80&gt;0,ROUND(BU80,2),0)</f>
        <v>0</v>
      </c>
      <c r="U804" s="359"/>
      <c r="V804" s="362"/>
      <c r="W804" s="359"/>
      <c r="X804" s="359"/>
      <c r="Y804" s="359"/>
      <c r="Z804" s="362"/>
      <c r="AA804" s="362"/>
      <c r="AB804" s="362"/>
      <c r="AC804" s="362"/>
      <c r="AD804" s="362"/>
      <c r="AE804" s="362"/>
      <c r="AF804" s="362"/>
      <c r="AG804" s="362"/>
      <c r="AH804" s="362"/>
      <c r="AI804" s="362"/>
      <c r="AJ804" s="362"/>
      <c r="AK804" s="362"/>
      <c r="AL804" s="362"/>
      <c r="AM804" s="362"/>
      <c r="AN804" s="362"/>
      <c r="AO804" s="362"/>
      <c r="AP804" s="362"/>
      <c r="AQ804" s="362"/>
      <c r="AR804" s="362"/>
      <c r="AS804" s="362"/>
      <c r="AT804" s="362"/>
      <c r="AU804" s="362"/>
      <c r="AV804" s="362"/>
      <c r="AW804" s="362"/>
      <c r="AX804" s="362"/>
      <c r="AY804" s="362"/>
      <c r="AZ804" s="362"/>
      <c r="BA804" s="362"/>
      <c r="BB804" s="362"/>
      <c r="BC804" s="362"/>
      <c r="BD804" s="362"/>
      <c r="BE804" s="362"/>
      <c r="BF804" s="362"/>
      <c r="BG804" s="362"/>
      <c r="BH804" s="362"/>
      <c r="BI804" s="362"/>
      <c r="BJ804" s="362"/>
      <c r="BK804" s="362"/>
      <c r="BL804" s="362"/>
      <c r="BM804" s="362"/>
      <c r="BN804" s="362"/>
      <c r="BO804" s="362"/>
      <c r="BP804" s="362"/>
      <c r="BQ804" s="362"/>
      <c r="BR804" s="362"/>
      <c r="BS804" s="362"/>
      <c r="BT804" s="362"/>
      <c r="BU804" s="362"/>
      <c r="BV804" s="362"/>
      <c r="BW804" s="362"/>
      <c r="BX804" s="362"/>
      <c r="BY804" s="362"/>
      <c r="BZ804" s="362"/>
      <c r="CA804" s="362"/>
      <c r="CB804" s="362"/>
      <c r="CC804" s="362"/>
      <c r="CD804" s="362"/>
      <c r="CE804" s="362"/>
    </row>
    <row r="805" spans="1:83" ht="12.65" customHeight="1">
      <c r="A805" s="363" t="str">
        <f>RIGHT($C$83,3)&amp;"*"&amp;RIGHT($C$82,4)&amp;"*"&amp;BV$55&amp;"*"&amp;"A"</f>
        <v>197*2020*8690*A</v>
      </c>
      <c r="B805" s="359"/>
      <c r="C805" s="364">
        <f>ROUND(BV60,2)</f>
        <v>10.24</v>
      </c>
      <c r="D805" s="359">
        <f>ROUND(BV61,0)</f>
        <v>604878</v>
      </c>
      <c r="E805" s="359">
        <f>ROUND(BV62,0)</f>
        <v>107162</v>
      </c>
      <c r="F805" s="359">
        <f>ROUND(BV63,0)</f>
        <v>0</v>
      </c>
      <c r="G805" s="359">
        <f>ROUND(BV64,0)</f>
        <v>10278</v>
      </c>
      <c r="H805" s="359">
        <f>ROUND(BV65,0)</f>
        <v>0</v>
      </c>
      <c r="I805" s="359">
        <f>ROUND(BV66,0)</f>
        <v>170066</v>
      </c>
      <c r="J805" s="359">
        <f>ROUND(BV67,0)</f>
        <v>0</v>
      </c>
      <c r="K805" s="359">
        <f>ROUND(BV68,0)</f>
        <v>55510</v>
      </c>
      <c r="L805" s="359">
        <f>ROUND(BV69,0)</f>
        <v>4133</v>
      </c>
      <c r="M805" s="359">
        <f>ROUND(BV70,0)</f>
        <v>0</v>
      </c>
      <c r="N805" s="359"/>
      <c r="O805" s="359"/>
      <c r="P805" s="359">
        <f>IF(BV76&gt;0,ROUND(BV76,0),0)</f>
        <v>0</v>
      </c>
      <c r="Q805" s="359">
        <f>IF(BV77&gt;0,ROUND(BV77,0),0)</f>
        <v>0</v>
      </c>
      <c r="R805" s="359">
        <f>IF(BV78&gt;0,ROUND(BV78,0),0)</f>
        <v>855</v>
      </c>
      <c r="S805" s="359">
        <f>IF(BV79&gt;0,ROUND(BV79,0),0)</f>
        <v>0</v>
      </c>
      <c r="T805" s="364">
        <f>IF(BV80&gt;0,ROUND(BV80,2),0)</f>
        <v>0</v>
      </c>
      <c r="U805" s="359"/>
      <c r="V805" s="362"/>
      <c r="W805" s="359"/>
      <c r="X805" s="359"/>
      <c r="Y805" s="359"/>
      <c r="Z805" s="362"/>
      <c r="AA805" s="362"/>
      <c r="AB805" s="362"/>
      <c r="AC805" s="362"/>
      <c r="AD805" s="362"/>
      <c r="AE805" s="362"/>
      <c r="AF805" s="362"/>
      <c r="AG805" s="362"/>
      <c r="AH805" s="362"/>
      <c r="AI805" s="362"/>
      <c r="AJ805" s="362"/>
      <c r="AK805" s="362"/>
      <c r="AL805" s="362"/>
      <c r="AM805" s="362"/>
      <c r="AN805" s="362"/>
      <c r="AO805" s="362"/>
      <c r="AP805" s="362"/>
      <c r="AQ805" s="362"/>
      <c r="AR805" s="362"/>
      <c r="AS805" s="362"/>
      <c r="AT805" s="362"/>
      <c r="AU805" s="362"/>
      <c r="AV805" s="362"/>
      <c r="AW805" s="362"/>
      <c r="AX805" s="362"/>
      <c r="AY805" s="362"/>
      <c r="AZ805" s="362"/>
      <c r="BA805" s="362"/>
      <c r="BB805" s="362"/>
      <c r="BC805" s="362"/>
      <c r="BD805" s="362"/>
      <c r="BE805" s="362"/>
      <c r="BF805" s="362"/>
      <c r="BG805" s="362"/>
      <c r="BH805" s="362"/>
      <c r="BI805" s="362"/>
      <c r="BJ805" s="362"/>
      <c r="BK805" s="362"/>
      <c r="BL805" s="362"/>
      <c r="BM805" s="362"/>
      <c r="BN805" s="362"/>
      <c r="BO805" s="362"/>
      <c r="BP805" s="362"/>
      <c r="BQ805" s="362"/>
      <c r="BR805" s="362"/>
      <c r="BS805" s="362"/>
      <c r="BT805" s="362"/>
      <c r="BU805" s="362"/>
      <c r="BV805" s="362"/>
      <c r="BW805" s="362"/>
      <c r="BX805" s="362"/>
      <c r="BY805" s="362"/>
      <c r="BZ805" s="362"/>
      <c r="CA805" s="362"/>
      <c r="CB805" s="362"/>
      <c r="CC805" s="362"/>
      <c r="CD805" s="362"/>
      <c r="CE805" s="362"/>
    </row>
    <row r="806" spans="1:83" ht="12.65" customHeight="1">
      <c r="A806" s="363" t="str">
        <f>RIGHT($C$83,3)&amp;"*"&amp;RIGHT($C$82,4)&amp;"*"&amp;BW$55&amp;"*"&amp;"A"</f>
        <v>197*2020*8700*A</v>
      </c>
      <c r="B806" s="359"/>
      <c r="C806" s="364">
        <f>ROUND(BW60,2)</f>
        <v>1.18</v>
      </c>
      <c r="D806" s="359">
        <f>ROUND(BW61,0)</f>
        <v>103558</v>
      </c>
      <c r="E806" s="359">
        <f>ROUND(BW62,0)</f>
        <v>18878</v>
      </c>
      <c r="F806" s="359">
        <f>ROUND(BW63,0)</f>
        <v>0</v>
      </c>
      <c r="G806" s="359">
        <f>ROUND(BW64,0)</f>
        <v>1324</v>
      </c>
      <c r="H806" s="359">
        <f>ROUND(BW65,0)</f>
        <v>0</v>
      </c>
      <c r="I806" s="359">
        <f>ROUND(BW66,0)</f>
        <v>67054</v>
      </c>
      <c r="J806" s="359">
        <f>ROUND(BW67,0)</f>
        <v>0</v>
      </c>
      <c r="K806" s="359">
        <f>ROUND(BW68,0)</f>
        <v>506</v>
      </c>
      <c r="L806" s="359">
        <f>ROUND(BW69,0)</f>
        <v>4001</v>
      </c>
      <c r="M806" s="359">
        <f>ROUND(BW70,0)</f>
        <v>0</v>
      </c>
      <c r="N806" s="359"/>
      <c r="O806" s="359"/>
      <c r="P806" s="359">
        <f>IF(BW76&gt;0,ROUND(BW76,0),0)</f>
        <v>0</v>
      </c>
      <c r="Q806" s="359">
        <f>IF(BW77&gt;0,ROUND(BW77,0),0)</f>
        <v>0</v>
      </c>
      <c r="R806" s="359">
        <f>IF(BW78&gt;0,ROUND(BW78,0),0)</f>
        <v>0</v>
      </c>
      <c r="S806" s="359">
        <f>IF(BW79&gt;0,ROUND(BW79,0),0)</f>
        <v>0</v>
      </c>
      <c r="T806" s="364">
        <f>IF(BW80&gt;0,ROUND(BW80,2),0)</f>
        <v>0</v>
      </c>
      <c r="U806" s="359"/>
      <c r="V806" s="362"/>
      <c r="W806" s="359"/>
      <c r="X806" s="359"/>
      <c r="Y806" s="359"/>
      <c r="Z806" s="362"/>
      <c r="AA806" s="362"/>
      <c r="AB806" s="362"/>
      <c r="AC806" s="362"/>
      <c r="AD806" s="362"/>
      <c r="AE806" s="362"/>
      <c r="AF806" s="362"/>
      <c r="AG806" s="362"/>
      <c r="AH806" s="362"/>
      <c r="AI806" s="362"/>
      <c r="AJ806" s="362"/>
      <c r="AK806" s="362"/>
      <c r="AL806" s="362"/>
      <c r="AM806" s="362"/>
      <c r="AN806" s="362"/>
      <c r="AO806" s="362"/>
      <c r="AP806" s="362"/>
      <c r="AQ806" s="362"/>
      <c r="AR806" s="362"/>
      <c r="AS806" s="362"/>
      <c r="AT806" s="362"/>
      <c r="AU806" s="362"/>
      <c r="AV806" s="362"/>
      <c r="AW806" s="362"/>
      <c r="AX806" s="362"/>
      <c r="AY806" s="362"/>
      <c r="AZ806" s="362"/>
      <c r="BA806" s="362"/>
      <c r="BB806" s="362"/>
      <c r="BC806" s="362"/>
      <c r="BD806" s="362"/>
      <c r="BE806" s="362"/>
      <c r="BF806" s="362"/>
      <c r="BG806" s="362"/>
      <c r="BH806" s="362"/>
      <c r="BI806" s="362"/>
      <c r="BJ806" s="362"/>
      <c r="BK806" s="362"/>
      <c r="BL806" s="362"/>
      <c r="BM806" s="362"/>
      <c r="BN806" s="362"/>
      <c r="BO806" s="362"/>
      <c r="BP806" s="362"/>
      <c r="BQ806" s="362"/>
      <c r="BR806" s="362"/>
      <c r="BS806" s="362"/>
      <c r="BT806" s="362"/>
      <c r="BU806" s="362"/>
      <c r="BV806" s="362"/>
      <c r="BW806" s="362"/>
      <c r="BX806" s="362"/>
      <c r="BY806" s="362"/>
      <c r="BZ806" s="362"/>
      <c r="CA806" s="362"/>
      <c r="CB806" s="362"/>
      <c r="CC806" s="362"/>
      <c r="CD806" s="362"/>
      <c r="CE806" s="362"/>
    </row>
    <row r="807" spans="1:83" ht="12.65" customHeight="1">
      <c r="A807" s="363" t="str">
        <f>RIGHT($C$83,3)&amp;"*"&amp;RIGHT($C$82,4)&amp;"*"&amp;BX$55&amp;"*"&amp;"A"</f>
        <v>197*2020*8710*A</v>
      </c>
      <c r="B807" s="359"/>
      <c r="C807" s="364">
        <f>ROUND(BX60,2)</f>
        <v>2.1</v>
      </c>
      <c r="D807" s="359">
        <f>ROUND(BX61,0)</f>
        <v>205165</v>
      </c>
      <c r="E807" s="359">
        <f>ROUND(BX62,0)</f>
        <v>36881</v>
      </c>
      <c r="F807" s="359">
        <f>ROUND(BX63,0)</f>
        <v>44738</v>
      </c>
      <c r="G807" s="359">
        <f>ROUND(BX64,0)</f>
        <v>8820</v>
      </c>
      <c r="H807" s="359">
        <f>ROUND(BX65,0)</f>
        <v>0</v>
      </c>
      <c r="I807" s="359">
        <f>ROUND(BX66,0)</f>
        <v>220833</v>
      </c>
      <c r="J807" s="359">
        <f>ROUND(BX67,0)</f>
        <v>3151</v>
      </c>
      <c r="K807" s="359">
        <f>ROUND(BX68,0)</f>
        <v>0</v>
      </c>
      <c r="L807" s="359">
        <f>ROUND(BX69,0)</f>
        <v>101578</v>
      </c>
      <c r="M807" s="359">
        <f>ROUND(BX70,0)</f>
        <v>0</v>
      </c>
      <c r="N807" s="359"/>
      <c r="O807" s="359"/>
      <c r="P807" s="359">
        <f>IF(BX76&gt;0,ROUND(BX76,0),0)</f>
        <v>83</v>
      </c>
      <c r="Q807" s="359">
        <f>IF(BX77&gt;0,ROUND(BX77,0),0)</f>
        <v>0</v>
      </c>
      <c r="R807" s="359">
        <f>IF(BX78&gt;0,ROUND(BX78,0),0)</f>
        <v>21</v>
      </c>
      <c r="S807" s="359">
        <f>IF(BX79&gt;0,ROUND(BX79,0),0)</f>
        <v>0</v>
      </c>
      <c r="T807" s="364">
        <f>IF(BX80&gt;0,ROUND(BX80,2),0)</f>
        <v>0</v>
      </c>
      <c r="U807" s="359"/>
      <c r="V807" s="362"/>
      <c r="W807" s="359"/>
      <c r="X807" s="359"/>
      <c r="Y807" s="359"/>
      <c r="Z807" s="362"/>
      <c r="AA807" s="362"/>
      <c r="AB807" s="362"/>
      <c r="AC807" s="362"/>
      <c r="AD807" s="362"/>
      <c r="AE807" s="362"/>
      <c r="AF807" s="362"/>
      <c r="AG807" s="362"/>
      <c r="AH807" s="362"/>
      <c r="AI807" s="362"/>
      <c r="AJ807" s="362"/>
      <c r="AK807" s="362"/>
      <c r="AL807" s="362"/>
      <c r="AM807" s="362"/>
      <c r="AN807" s="362"/>
      <c r="AO807" s="362"/>
      <c r="AP807" s="362"/>
      <c r="AQ807" s="362"/>
      <c r="AR807" s="362"/>
      <c r="AS807" s="362"/>
      <c r="AT807" s="362"/>
      <c r="AU807" s="362"/>
      <c r="AV807" s="362"/>
      <c r="AW807" s="362"/>
      <c r="AX807" s="362"/>
      <c r="AY807" s="362"/>
      <c r="AZ807" s="362"/>
      <c r="BA807" s="362"/>
      <c r="BB807" s="362"/>
      <c r="BC807" s="362"/>
      <c r="BD807" s="362"/>
      <c r="BE807" s="362"/>
      <c r="BF807" s="362"/>
      <c r="BG807" s="362"/>
      <c r="BH807" s="362"/>
      <c r="BI807" s="362"/>
      <c r="BJ807" s="362"/>
      <c r="BK807" s="362"/>
      <c r="BL807" s="362"/>
      <c r="BM807" s="362"/>
      <c r="BN807" s="362"/>
      <c r="BO807" s="362"/>
      <c r="BP807" s="362"/>
      <c r="BQ807" s="362"/>
      <c r="BR807" s="362"/>
      <c r="BS807" s="362"/>
      <c r="BT807" s="362"/>
      <c r="BU807" s="362"/>
      <c r="BV807" s="362"/>
      <c r="BW807" s="362"/>
      <c r="BX807" s="362"/>
      <c r="BY807" s="362"/>
      <c r="BZ807" s="362"/>
      <c r="CA807" s="362"/>
      <c r="CB807" s="362"/>
      <c r="CC807" s="362"/>
      <c r="CD807" s="362"/>
      <c r="CE807" s="362"/>
    </row>
    <row r="808" spans="1:83" ht="12.65" customHeight="1">
      <c r="A808" s="363" t="str">
        <f>RIGHT($C$83,3)&amp;"*"&amp;RIGHT($C$82,4)&amp;"*"&amp;BY$55&amp;"*"&amp;"A"</f>
        <v>197*2020*8720*A</v>
      </c>
      <c r="B808" s="359"/>
      <c r="C808" s="364">
        <f>ROUND(BY60,2)</f>
        <v>9.2899999999999991</v>
      </c>
      <c r="D808" s="359">
        <f>ROUND(BY61,0)</f>
        <v>1081799</v>
      </c>
      <c r="E808" s="359">
        <f>ROUND(BY62,0)</f>
        <v>196294</v>
      </c>
      <c r="F808" s="359">
        <f>ROUND(BY63,0)</f>
        <v>0</v>
      </c>
      <c r="G808" s="359">
        <f>ROUND(BY64,0)</f>
        <v>2562</v>
      </c>
      <c r="H808" s="359">
        <f>ROUND(BY65,0)</f>
        <v>0</v>
      </c>
      <c r="I808" s="359">
        <f>ROUND(BY66,0)</f>
        <v>450</v>
      </c>
      <c r="J808" s="359">
        <f>ROUND(BY67,0)</f>
        <v>44225</v>
      </c>
      <c r="K808" s="359">
        <f>ROUND(BY68,0)</f>
        <v>672</v>
      </c>
      <c r="L808" s="359">
        <f>ROUND(BY69,0)</f>
        <v>10686</v>
      </c>
      <c r="M808" s="359">
        <f>ROUND(BY70,0)</f>
        <v>0</v>
      </c>
      <c r="N808" s="359"/>
      <c r="O808" s="359"/>
      <c r="P808" s="359">
        <f>IF(BY76&gt;0,ROUND(BY76,0),0)</f>
        <v>1165</v>
      </c>
      <c r="Q808" s="359">
        <f>IF(BY77&gt;0,ROUND(BY77,0),0)</f>
        <v>0</v>
      </c>
      <c r="R808" s="359">
        <f>IF(BY78&gt;0,ROUND(BY78,0),0)</f>
        <v>297</v>
      </c>
      <c r="S808" s="359">
        <f>IF(BY79&gt;0,ROUND(BY79,0),0)</f>
        <v>0</v>
      </c>
      <c r="T808" s="364">
        <f>IF(BY80&gt;0,ROUND(BY80,2),0)</f>
        <v>0</v>
      </c>
      <c r="U808" s="359"/>
      <c r="V808" s="362"/>
      <c r="W808" s="359"/>
      <c r="X808" s="359"/>
      <c r="Y808" s="359"/>
      <c r="Z808" s="362"/>
      <c r="AA808" s="362"/>
      <c r="AB808" s="362"/>
      <c r="AC808" s="362"/>
      <c r="AD808" s="362"/>
      <c r="AE808" s="362"/>
      <c r="AF808" s="362"/>
      <c r="AG808" s="362"/>
      <c r="AH808" s="362"/>
      <c r="AI808" s="362"/>
      <c r="AJ808" s="362"/>
      <c r="AK808" s="362"/>
      <c r="AL808" s="362"/>
      <c r="AM808" s="362"/>
      <c r="AN808" s="362"/>
      <c r="AO808" s="362"/>
      <c r="AP808" s="362"/>
      <c r="AQ808" s="362"/>
      <c r="AR808" s="362"/>
      <c r="AS808" s="362"/>
      <c r="AT808" s="362"/>
      <c r="AU808" s="362"/>
      <c r="AV808" s="362"/>
      <c r="AW808" s="362"/>
      <c r="AX808" s="362"/>
      <c r="AY808" s="362"/>
      <c r="AZ808" s="362"/>
      <c r="BA808" s="362"/>
      <c r="BB808" s="362"/>
      <c r="BC808" s="362"/>
      <c r="BD808" s="362"/>
      <c r="BE808" s="362"/>
      <c r="BF808" s="362"/>
      <c r="BG808" s="362"/>
      <c r="BH808" s="362"/>
      <c r="BI808" s="362"/>
      <c r="BJ808" s="362"/>
      <c r="BK808" s="362"/>
      <c r="BL808" s="362"/>
      <c r="BM808" s="362"/>
      <c r="BN808" s="362"/>
      <c r="BO808" s="362"/>
      <c r="BP808" s="362"/>
      <c r="BQ808" s="362"/>
      <c r="BR808" s="362"/>
      <c r="BS808" s="362"/>
      <c r="BT808" s="362"/>
      <c r="BU808" s="362"/>
      <c r="BV808" s="362"/>
      <c r="BW808" s="362"/>
      <c r="BX808" s="362"/>
      <c r="BY808" s="362"/>
      <c r="BZ808" s="362"/>
      <c r="CA808" s="362"/>
      <c r="CB808" s="362"/>
      <c r="CC808" s="362"/>
      <c r="CD808" s="362"/>
      <c r="CE808" s="362"/>
    </row>
    <row r="809" spans="1:83" ht="12.65" customHeight="1">
      <c r="A809" s="363" t="str">
        <f>RIGHT($C$83,3)&amp;"*"&amp;RIGHT($C$82,4)&amp;"*"&amp;BZ$55&amp;"*"&amp;"A"</f>
        <v>197*2020*8730*A</v>
      </c>
      <c r="B809" s="359"/>
      <c r="C809" s="364">
        <f>ROUND(BZ60,2)</f>
        <v>0</v>
      </c>
      <c r="D809" s="359">
        <f>ROUND(BZ61,0)</f>
        <v>0</v>
      </c>
      <c r="E809" s="359">
        <f>ROUND(BZ62,0)</f>
        <v>0</v>
      </c>
      <c r="F809" s="359">
        <f>ROUND(BZ63,0)</f>
        <v>0</v>
      </c>
      <c r="G809" s="359">
        <f>ROUND(BZ64,0)</f>
        <v>0</v>
      </c>
      <c r="H809" s="359">
        <f>ROUND(BZ65,0)</f>
        <v>0</v>
      </c>
      <c r="I809" s="359">
        <f>ROUND(BZ66,0)</f>
        <v>0</v>
      </c>
      <c r="J809" s="359">
        <f>ROUND(BZ67,0)</f>
        <v>0</v>
      </c>
      <c r="K809" s="359">
        <f>ROUND(BZ68,0)</f>
        <v>0</v>
      </c>
      <c r="L809" s="359">
        <f>ROUND(BZ69,0)</f>
        <v>0</v>
      </c>
      <c r="M809" s="359">
        <f>ROUND(BZ70,0)</f>
        <v>0</v>
      </c>
      <c r="N809" s="359"/>
      <c r="O809" s="359"/>
      <c r="P809" s="359">
        <f>IF(BZ76&gt;0,ROUND(BZ76,0),0)</f>
        <v>0</v>
      </c>
      <c r="Q809" s="359">
        <f>IF(BZ77&gt;0,ROUND(BZ77,0),0)</f>
        <v>0</v>
      </c>
      <c r="R809" s="359">
        <f>IF(BZ78&gt;0,ROUND(BZ78,0),0)</f>
        <v>0</v>
      </c>
      <c r="S809" s="359">
        <f>IF(BZ79&gt;0,ROUND(BZ79,0),0)</f>
        <v>0</v>
      </c>
      <c r="T809" s="364">
        <f>IF(BZ80&gt;0,ROUND(BZ80,2),0)</f>
        <v>0</v>
      </c>
      <c r="U809" s="359"/>
      <c r="V809" s="362"/>
      <c r="W809" s="359"/>
      <c r="X809" s="359"/>
      <c r="Y809" s="359"/>
      <c r="Z809" s="362"/>
      <c r="AA809" s="362"/>
      <c r="AB809" s="362"/>
      <c r="AC809" s="362"/>
      <c r="AD809" s="362"/>
      <c r="AE809" s="362"/>
      <c r="AF809" s="362"/>
      <c r="AG809" s="362"/>
      <c r="AH809" s="362"/>
      <c r="AI809" s="362"/>
      <c r="AJ809" s="362"/>
      <c r="AK809" s="362"/>
      <c r="AL809" s="362"/>
      <c r="AM809" s="362"/>
      <c r="AN809" s="362"/>
      <c r="AO809" s="362"/>
      <c r="AP809" s="362"/>
      <c r="AQ809" s="362"/>
      <c r="AR809" s="362"/>
      <c r="AS809" s="362"/>
      <c r="AT809" s="362"/>
      <c r="AU809" s="362"/>
      <c r="AV809" s="362"/>
      <c r="AW809" s="362"/>
      <c r="AX809" s="362"/>
      <c r="AY809" s="362"/>
      <c r="AZ809" s="362"/>
      <c r="BA809" s="362"/>
      <c r="BB809" s="362"/>
      <c r="BC809" s="362"/>
      <c r="BD809" s="362"/>
      <c r="BE809" s="362"/>
      <c r="BF809" s="362"/>
      <c r="BG809" s="362"/>
      <c r="BH809" s="362"/>
      <c r="BI809" s="362"/>
      <c r="BJ809" s="362"/>
      <c r="BK809" s="362"/>
      <c r="BL809" s="362"/>
      <c r="BM809" s="362"/>
      <c r="BN809" s="362"/>
      <c r="BO809" s="362"/>
      <c r="BP809" s="362"/>
      <c r="BQ809" s="362"/>
      <c r="BR809" s="362"/>
      <c r="BS809" s="362"/>
      <c r="BT809" s="362"/>
      <c r="BU809" s="362"/>
      <c r="BV809" s="362"/>
      <c r="BW809" s="362"/>
      <c r="BX809" s="362"/>
      <c r="BY809" s="362"/>
      <c r="BZ809" s="362"/>
      <c r="CA809" s="362"/>
      <c r="CB809" s="362"/>
      <c r="CC809" s="362"/>
      <c r="CD809" s="362"/>
      <c r="CE809" s="362"/>
    </row>
    <row r="810" spans="1:83" ht="12.65" customHeight="1">
      <c r="A810" s="363" t="str">
        <f>RIGHT($C$83,3)&amp;"*"&amp;RIGHT($C$82,4)&amp;"*"&amp;CA$55&amp;"*"&amp;"A"</f>
        <v>197*2020*8740*A</v>
      </c>
      <c r="B810" s="359"/>
      <c r="C810" s="364">
        <f>ROUND(CA60,2)</f>
        <v>1.39</v>
      </c>
      <c r="D810" s="359">
        <f>ROUND(CA61,0)</f>
        <v>164569</v>
      </c>
      <c r="E810" s="359">
        <f>ROUND(CA62,0)</f>
        <v>29909</v>
      </c>
      <c r="F810" s="359">
        <f>ROUND(CA63,0)</f>
        <v>0</v>
      </c>
      <c r="G810" s="359">
        <f>ROUND(CA64,0)</f>
        <v>431</v>
      </c>
      <c r="H810" s="359">
        <f>ROUND(CA65,0)</f>
        <v>0</v>
      </c>
      <c r="I810" s="359">
        <f>ROUND(CA66,0)</f>
        <v>0</v>
      </c>
      <c r="J810" s="359">
        <f>ROUND(CA67,0)</f>
        <v>84995</v>
      </c>
      <c r="K810" s="359">
        <f>ROUND(CA68,0)</f>
        <v>0</v>
      </c>
      <c r="L810" s="359">
        <f>ROUND(CA69,0)</f>
        <v>1782</v>
      </c>
      <c r="M810" s="359">
        <f>ROUND(CA70,0)</f>
        <v>0</v>
      </c>
      <c r="N810" s="359"/>
      <c r="O810" s="359"/>
      <c r="P810" s="359">
        <f>IF(CA76&gt;0,ROUND(CA76,0),0)</f>
        <v>2239</v>
      </c>
      <c r="Q810" s="359">
        <f>IF(CA77&gt;0,ROUND(CA77,0),0)</f>
        <v>0</v>
      </c>
      <c r="R810" s="359">
        <f>IF(CA78&gt;0,ROUND(CA78,0),0)</f>
        <v>571</v>
      </c>
      <c r="S810" s="359">
        <f>IF(CA79&gt;0,ROUND(CA79,0),0)</f>
        <v>0</v>
      </c>
      <c r="T810" s="364">
        <f>IF(CA80&gt;0,ROUND(CA80,2),0)</f>
        <v>0</v>
      </c>
      <c r="U810" s="359"/>
      <c r="V810" s="362"/>
      <c r="W810" s="359"/>
      <c r="X810" s="359"/>
      <c r="Y810" s="359"/>
      <c r="Z810" s="362"/>
      <c r="AA810" s="362"/>
      <c r="AB810" s="362"/>
      <c r="AC810" s="362"/>
      <c r="AD810" s="362"/>
      <c r="AE810" s="362"/>
      <c r="AF810" s="362"/>
      <c r="AG810" s="362"/>
      <c r="AH810" s="362"/>
      <c r="AI810" s="362"/>
      <c r="AJ810" s="362"/>
      <c r="AK810" s="362"/>
      <c r="AL810" s="362"/>
      <c r="AM810" s="362"/>
      <c r="AN810" s="362"/>
      <c r="AO810" s="362"/>
      <c r="AP810" s="362"/>
      <c r="AQ810" s="362"/>
      <c r="AR810" s="362"/>
      <c r="AS810" s="362"/>
      <c r="AT810" s="362"/>
      <c r="AU810" s="362"/>
      <c r="AV810" s="362"/>
      <c r="AW810" s="362"/>
      <c r="AX810" s="362"/>
      <c r="AY810" s="362"/>
      <c r="AZ810" s="362"/>
      <c r="BA810" s="362"/>
      <c r="BB810" s="362"/>
      <c r="BC810" s="362"/>
      <c r="BD810" s="362"/>
      <c r="BE810" s="362"/>
      <c r="BF810" s="362"/>
      <c r="BG810" s="362"/>
      <c r="BH810" s="362"/>
      <c r="BI810" s="362"/>
      <c r="BJ810" s="362"/>
      <c r="BK810" s="362"/>
      <c r="BL810" s="362"/>
      <c r="BM810" s="362"/>
      <c r="BN810" s="362"/>
      <c r="BO810" s="362"/>
      <c r="BP810" s="362"/>
      <c r="BQ810" s="362"/>
      <c r="BR810" s="362"/>
      <c r="BS810" s="362"/>
      <c r="BT810" s="362"/>
      <c r="BU810" s="362"/>
      <c r="BV810" s="362"/>
      <c r="BW810" s="362"/>
      <c r="BX810" s="362"/>
      <c r="BY810" s="362"/>
      <c r="BZ810" s="362"/>
      <c r="CA810" s="362"/>
      <c r="CB810" s="362"/>
      <c r="CC810" s="362"/>
      <c r="CD810" s="362"/>
      <c r="CE810" s="362"/>
    </row>
    <row r="811" spans="1:83" ht="12.65" customHeight="1">
      <c r="A811" s="363" t="str">
        <f>RIGHT($C$83,3)&amp;"*"&amp;RIGHT($C$82,4)&amp;"*"&amp;CB$55&amp;"*"&amp;"A"</f>
        <v>197*2020*8770*A</v>
      </c>
      <c r="B811" s="359"/>
      <c r="C811" s="364">
        <f>ROUND(CB60,2)</f>
        <v>0</v>
      </c>
      <c r="D811" s="359">
        <f>ROUND(CB61,0)</f>
        <v>0</v>
      </c>
      <c r="E811" s="359">
        <f>ROUND(CB62,0)</f>
        <v>0</v>
      </c>
      <c r="F811" s="359">
        <f>ROUND(CB63,0)</f>
        <v>0</v>
      </c>
      <c r="G811" s="359">
        <f>ROUND(CB64,0)</f>
        <v>0</v>
      </c>
      <c r="H811" s="359">
        <f>ROUND(CB65,0)</f>
        <v>0</v>
      </c>
      <c r="I811" s="359">
        <f>ROUND(CB66,0)</f>
        <v>0</v>
      </c>
      <c r="J811" s="359">
        <f>ROUND(CB67,0)</f>
        <v>0</v>
      </c>
      <c r="K811" s="359">
        <f>ROUND(CB68,0)</f>
        <v>0</v>
      </c>
      <c r="L811" s="359">
        <f>ROUND(CB69,0)</f>
        <v>0</v>
      </c>
      <c r="M811" s="359">
        <f>ROUND(CB70,0)</f>
        <v>0</v>
      </c>
      <c r="N811" s="359"/>
      <c r="O811" s="359"/>
      <c r="P811" s="359">
        <f>IF(CB76&gt;0,ROUND(CB76,0),0)</f>
        <v>0</v>
      </c>
      <c r="Q811" s="359">
        <f>IF(CB77&gt;0,ROUND(CB77,0),0)</f>
        <v>0</v>
      </c>
      <c r="R811" s="359">
        <f>IF(CB78&gt;0,ROUND(CB78,0),0)</f>
        <v>0</v>
      </c>
      <c r="S811" s="359">
        <f>IF(CB79&gt;0,ROUND(CB79,0),0)</f>
        <v>0</v>
      </c>
      <c r="T811" s="364">
        <f>IF(CB80&gt;0,ROUND(CB80,2),0)</f>
        <v>0</v>
      </c>
      <c r="U811" s="359"/>
      <c r="V811" s="362"/>
      <c r="W811" s="359"/>
      <c r="X811" s="359"/>
      <c r="Y811" s="359"/>
      <c r="Z811" s="362"/>
      <c r="AA811" s="362"/>
      <c r="AB811" s="362"/>
      <c r="AC811" s="362"/>
      <c r="AD811" s="362"/>
      <c r="AE811" s="362"/>
      <c r="AF811" s="362"/>
      <c r="AG811" s="362"/>
      <c r="AH811" s="362"/>
      <c r="AI811" s="362"/>
      <c r="AJ811" s="362"/>
      <c r="AK811" s="362"/>
      <c r="AL811" s="362"/>
      <c r="AM811" s="362"/>
      <c r="AN811" s="362"/>
      <c r="AO811" s="362"/>
      <c r="AP811" s="362"/>
      <c r="AQ811" s="362"/>
      <c r="AR811" s="362"/>
      <c r="AS811" s="362"/>
      <c r="AT811" s="362"/>
      <c r="AU811" s="362"/>
      <c r="AV811" s="362"/>
      <c r="AW811" s="362"/>
      <c r="AX811" s="362"/>
      <c r="AY811" s="362"/>
      <c r="AZ811" s="362"/>
      <c r="BA811" s="362"/>
      <c r="BB811" s="362"/>
      <c r="BC811" s="362"/>
      <c r="BD811" s="362"/>
      <c r="BE811" s="362"/>
      <c r="BF811" s="362"/>
      <c r="BG811" s="362"/>
      <c r="BH811" s="362"/>
      <c r="BI811" s="362"/>
      <c r="BJ811" s="362"/>
      <c r="BK811" s="362"/>
      <c r="BL811" s="362"/>
      <c r="BM811" s="362"/>
      <c r="BN811" s="362"/>
      <c r="BO811" s="362"/>
      <c r="BP811" s="362"/>
      <c r="BQ811" s="362"/>
      <c r="BR811" s="362"/>
      <c r="BS811" s="362"/>
      <c r="BT811" s="362"/>
      <c r="BU811" s="362"/>
      <c r="BV811" s="362"/>
      <c r="BW811" s="362"/>
      <c r="BX811" s="362"/>
      <c r="BY811" s="362"/>
      <c r="BZ811" s="362"/>
      <c r="CA811" s="362"/>
      <c r="CB811" s="362"/>
      <c r="CC811" s="362"/>
      <c r="CD811" s="362"/>
      <c r="CE811" s="362"/>
    </row>
    <row r="812" spans="1:83" ht="12.65" customHeight="1">
      <c r="A812" s="363" t="str">
        <f>RIGHT($C$83,3)&amp;"*"&amp;RIGHT($C$82,4)&amp;"*"&amp;CC$55&amp;"*"&amp;"A"</f>
        <v>197*2020*8790*A</v>
      </c>
      <c r="B812" s="359"/>
      <c r="C812" s="364">
        <f>ROUND(CC60,2)</f>
        <v>0</v>
      </c>
      <c r="D812" s="359">
        <f>ROUND(CC61,0)</f>
        <v>0</v>
      </c>
      <c r="E812" s="359">
        <f>ROUND(CC62,0)</f>
        <v>0</v>
      </c>
      <c r="F812" s="359">
        <f>ROUND(CC63,0)</f>
        <v>0</v>
      </c>
      <c r="G812" s="359">
        <f>ROUND(CC64,0)</f>
        <v>0</v>
      </c>
      <c r="H812" s="359">
        <f>ROUND(CC65,0)</f>
        <v>0</v>
      </c>
      <c r="I812" s="359">
        <f>ROUND(CC66,0)</f>
        <v>0</v>
      </c>
      <c r="J812" s="359">
        <f>ROUND(CC67,0)</f>
        <v>0</v>
      </c>
      <c r="K812" s="359">
        <f>ROUND(CC68,0)</f>
        <v>0</v>
      </c>
      <c r="L812" s="359">
        <f>ROUND(CC69,0)</f>
        <v>0</v>
      </c>
      <c r="M812" s="359">
        <f>ROUND(CC70,0)</f>
        <v>0</v>
      </c>
      <c r="N812" s="359"/>
      <c r="O812" s="359"/>
      <c r="P812" s="359">
        <f>IF(CC76&gt;0,ROUND(CC76,0),0)</f>
        <v>0</v>
      </c>
      <c r="Q812" s="359">
        <f>IF(CC77&gt;0,ROUND(CC77,0),0)</f>
        <v>0</v>
      </c>
      <c r="R812" s="359">
        <f>IF(CC78&gt;0,ROUND(CC78,0),0)</f>
        <v>0</v>
      </c>
      <c r="S812" s="359">
        <f>IF(CC79&gt;0,ROUND(CC79,0),0)</f>
        <v>0</v>
      </c>
      <c r="T812" s="364">
        <f>IF(CC80&gt;0,ROUND(CC80,2),0)</f>
        <v>0</v>
      </c>
      <c r="U812" s="359"/>
      <c r="V812" s="362"/>
      <c r="W812" s="359"/>
      <c r="X812" s="359"/>
      <c r="Y812" s="359"/>
      <c r="Z812" s="362"/>
      <c r="AA812" s="362"/>
      <c r="AB812" s="362"/>
      <c r="AC812" s="362"/>
      <c r="AD812" s="362"/>
      <c r="AE812" s="362"/>
      <c r="AF812" s="362"/>
      <c r="AG812" s="362"/>
      <c r="AH812" s="362"/>
      <c r="AI812" s="362"/>
      <c r="AJ812" s="362"/>
      <c r="AK812" s="362"/>
      <c r="AL812" s="362"/>
      <c r="AM812" s="362"/>
      <c r="AN812" s="362"/>
      <c r="AO812" s="362"/>
      <c r="AP812" s="362"/>
      <c r="AQ812" s="362"/>
      <c r="AR812" s="362"/>
      <c r="AS812" s="362"/>
      <c r="AT812" s="362"/>
      <c r="AU812" s="362"/>
      <c r="AV812" s="362"/>
      <c r="AW812" s="362"/>
      <c r="AX812" s="362"/>
      <c r="AY812" s="362"/>
      <c r="AZ812" s="362"/>
      <c r="BA812" s="362"/>
      <c r="BB812" s="362"/>
      <c r="BC812" s="362"/>
      <c r="BD812" s="362"/>
      <c r="BE812" s="362"/>
      <c r="BF812" s="362"/>
      <c r="BG812" s="362"/>
      <c r="BH812" s="362"/>
      <c r="BI812" s="362"/>
      <c r="BJ812" s="362"/>
      <c r="BK812" s="362"/>
      <c r="BL812" s="362"/>
      <c r="BM812" s="362"/>
      <c r="BN812" s="362"/>
      <c r="BO812" s="362"/>
      <c r="BP812" s="362"/>
      <c r="BQ812" s="362"/>
      <c r="BR812" s="362"/>
      <c r="BS812" s="362"/>
      <c r="BT812" s="362"/>
      <c r="BU812" s="362"/>
      <c r="BV812" s="362"/>
      <c r="BW812" s="362"/>
      <c r="BX812" s="362"/>
      <c r="BY812" s="362"/>
      <c r="BZ812" s="362"/>
      <c r="CA812" s="362"/>
      <c r="CB812" s="362"/>
      <c r="CC812" s="362"/>
      <c r="CD812" s="362"/>
      <c r="CE812" s="362"/>
    </row>
    <row r="813" spans="1:83" ht="12.65" customHeight="1">
      <c r="A813" s="363" t="str">
        <f>RIGHT($C$83,3)&amp;"*"&amp;RIGHT($C$82,4)&amp;"*"&amp;"9000"&amp;"*"&amp;"A"</f>
        <v>197*2020*9000*A</v>
      </c>
      <c r="B813" s="359"/>
      <c r="C813" s="365"/>
      <c r="D813" s="359"/>
      <c r="E813" s="359"/>
      <c r="F813" s="359"/>
      <c r="G813" s="359"/>
      <c r="H813" s="359"/>
      <c r="I813" s="359"/>
      <c r="J813" s="359"/>
      <c r="K813" s="359"/>
      <c r="L813" s="359"/>
      <c r="M813" s="359"/>
      <c r="N813" s="359"/>
      <c r="O813" s="359"/>
      <c r="P813" s="359"/>
      <c r="Q813" s="359"/>
      <c r="R813" s="359"/>
      <c r="S813" s="359"/>
      <c r="T813" s="365"/>
      <c r="U813" s="359">
        <f>ROUND(CD69,0)</f>
        <v>13483429</v>
      </c>
      <c r="V813" s="362">
        <f>ROUND(CD70,0)</f>
        <v>557924</v>
      </c>
      <c r="W813" s="359">
        <f>ROUND(CE72,0)</f>
        <v>0</v>
      </c>
      <c r="X813" s="359">
        <f>ROUND(C131,0)</f>
        <v>0</v>
      </c>
      <c r="Y813" s="359"/>
      <c r="Z813" s="362"/>
      <c r="AA813" s="362"/>
      <c r="AB813" s="362"/>
      <c r="AC813" s="362"/>
      <c r="AD813" s="362"/>
      <c r="AE813" s="362"/>
      <c r="AF813" s="362"/>
      <c r="AG813" s="362"/>
      <c r="AH813" s="362"/>
      <c r="AI813" s="362"/>
      <c r="AJ813" s="362"/>
      <c r="AK813" s="362"/>
      <c r="AL813" s="362"/>
      <c r="AM813" s="362"/>
      <c r="AN813" s="362"/>
      <c r="AO813" s="362"/>
      <c r="AP813" s="362"/>
      <c r="AQ813" s="362"/>
      <c r="AR813" s="362"/>
      <c r="AS813" s="362"/>
      <c r="AT813" s="362"/>
      <c r="AU813" s="362"/>
      <c r="AV813" s="362"/>
      <c r="AW813" s="362"/>
      <c r="AX813" s="362"/>
      <c r="AY813" s="362"/>
      <c r="AZ813" s="362"/>
      <c r="BA813" s="362"/>
      <c r="BB813" s="362"/>
      <c r="BC813" s="362"/>
      <c r="BD813" s="362"/>
      <c r="BE813" s="362"/>
      <c r="BF813" s="362"/>
      <c r="BG813" s="362"/>
      <c r="BH813" s="362"/>
      <c r="BI813" s="362"/>
      <c r="BJ813" s="362"/>
      <c r="BK813" s="362"/>
      <c r="BL813" s="362"/>
      <c r="BM813" s="362"/>
      <c r="BN813" s="362"/>
      <c r="BO813" s="362"/>
      <c r="BP813" s="362"/>
      <c r="BQ813" s="362"/>
      <c r="BR813" s="362"/>
      <c r="BS813" s="362"/>
      <c r="BT813" s="362"/>
      <c r="BU813" s="362"/>
      <c r="BV813" s="362"/>
      <c r="BW813" s="362"/>
      <c r="BX813" s="362"/>
      <c r="BY813" s="362"/>
      <c r="BZ813" s="362"/>
      <c r="CA813" s="362"/>
      <c r="CB813" s="362"/>
      <c r="CC813" s="362"/>
      <c r="CD813" s="362"/>
      <c r="CE813" s="362"/>
    </row>
    <row r="814" spans="1:83" ht="12.65" customHeight="1">
      <c r="B814" s="362"/>
      <c r="C814" s="362"/>
      <c r="D814" s="362"/>
      <c r="E814" s="362"/>
      <c r="F814" s="362"/>
      <c r="G814" s="362"/>
      <c r="H814" s="362"/>
      <c r="I814" s="362"/>
      <c r="J814" s="362"/>
      <c r="K814" s="362"/>
      <c r="L814" s="362"/>
      <c r="M814" s="362"/>
      <c r="N814" s="362"/>
      <c r="O814" s="362"/>
      <c r="P814" s="362"/>
      <c r="Q814" s="362"/>
      <c r="R814" s="362"/>
      <c r="S814" s="362"/>
      <c r="T814" s="362"/>
      <c r="U814" s="362"/>
      <c r="V814" s="362"/>
      <c r="W814" s="362"/>
      <c r="X814" s="362"/>
      <c r="Y814" s="362"/>
      <c r="Z814" s="362"/>
      <c r="AA814" s="362"/>
      <c r="AB814" s="362"/>
      <c r="AC814" s="362"/>
      <c r="AD814" s="362"/>
      <c r="AE814" s="362"/>
      <c r="AF814" s="362"/>
      <c r="AG814" s="362"/>
      <c r="AH814" s="362"/>
      <c r="AI814" s="362"/>
      <c r="AJ814" s="362"/>
      <c r="AK814" s="362"/>
      <c r="AL814" s="362"/>
      <c r="AM814" s="362"/>
      <c r="AN814" s="362"/>
      <c r="AO814" s="362"/>
      <c r="AP814" s="362"/>
      <c r="AQ814" s="362"/>
      <c r="AR814" s="362"/>
      <c r="AS814" s="362"/>
      <c r="AT814" s="362"/>
      <c r="AU814" s="362"/>
      <c r="AV814" s="362"/>
      <c r="AW814" s="362"/>
      <c r="AX814" s="362"/>
      <c r="AY814" s="362"/>
      <c r="AZ814" s="362"/>
      <c r="BA814" s="362"/>
      <c r="BB814" s="362"/>
      <c r="BC814" s="362"/>
      <c r="BD814" s="362"/>
      <c r="BE814" s="362"/>
      <c r="BF814" s="362"/>
      <c r="BG814" s="362"/>
      <c r="BH814" s="362"/>
      <c r="BI814" s="362"/>
      <c r="BJ814" s="362"/>
      <c r="BK814" s="362"/>
      <c r="BL814" s="362"/>
      <c r="BM814" s="362"/>
      <c r="BN814" s="362"/>
      <c r="BO814" s="362"/>
      <c r="BP814" s="362"/>
      <c r="BQ814" s="362"/>
      <c r="BR814" s="362"/>
      <c r="BS814" s="362"/>
      <c r="BT814" s="362"/>
      <c r="BU814" s="362"/>
      <c r="BV814" s="362"/>
      <c r="BW814" s="362"/>
      <c r="BX814" s="362"/>
      <c r="BY814" s="362"/>
      <c r="BZ814" s="362"/>
      <c r="CA814" s="362"/>
      <c r="CB814" s="362"/>
      <c r="CC814" s="362"/>
      <c r="CD814" s="362"/>
      <c r="CE814" s="362"/>
    </row>
    <row r="815" spans="1:83" ht="12.65" customHeight="1">
      <c r="B815" s="366" t="s">
        <v>1004</v>
      </c>
      <c r="C815" s="367">
        <f t="shared" ref="C815:K815" si="22">SUM(C734:C813)</f>
        <v>426.07000000000011</v>
      </c>
      <c r="D815" s="362">
        <f t="shared" si="22"/>
        <v>37106883</v>
      </c>
      <c r="E815" s="362">
        <f t="shared" si="22"/>
        <v>6548757</v>
      </c>
      <c r="F815" s="362">
        <f t="shared" si="22"/>
        <v>4805619</v>
      </c>
      <c r="G815" s="362">
        <f t="shared" si="22"/>
        <v>15014977</v>
      </c>
      <c r="H815" s="362">
        <f t="shared" si="22"/>
        <v>1157698</v>
      </c>
      <c r="I815" s="362">
        <f t="shared" si="22"/>
        <v>9602933</v>
      </c>
      <c r="J815" s="362">
        <f t="shared" si="22"/>
        <v>5898156</v>
      </c>
      <c r="K815" s="362">
        <f t="shared" si="22"/>
        <v>3187052</v>
      </c>
      <c r="L815" s="362">
        <f>SUM(L734:L813)+SUM(U734:U813)</f>
        <v>23188922</v>
      </c>
      <c r="M815" s="362">
        <f>SUM(M734:M813)+SUM(V734:V813)</f>
        <v>557924</v>
      </c>
      <c r="N815" s="362">
        <f t="shared" ref="N815:Y815" si="23">SUM(N734:N813)</f>
        <v>521165388</v>
      </c>
      <c r="O815" s="362">
        <f t="shared" si="23"/>
        <v>209402604</v>
      </c>
      <c r="P815" s="362">
        <f t="shared" si="23"/>
        <v>155374</v>
      </c>
      <c r="Q815" s="362">
        <f t="shared" si="23"/>
        <v>39776</v>
      </c>
      <c r="R815" s="362">
        <f t="shared" si="23"/>
        <v>39604</v>
      </c>
      <c r="S815" s="362">
        <f t="shared" si="23"/>
        <v>458573</v>
      </c>
      <c r="T815" s="367">
        <f t="shared" si="23"/>
        <v>358.5</v>
      </c>
      <c r="U815" s="362">
        <f t="shared" si="23"/>
        <v>13483429</v>
      </c>
      <c r="V815" s="362">
        <f t="shared" si="23"/>
        <v>557924</v>
      </c>
      <c r="W815" s="362">
        <f t="shared" si="23"/>
        <v>0</v>
      </c>
      <c r="X815" s="362">
        <f t="shared" si="23"/>
        <v>0</v>
      </c>
      <c r="Y815" s="362">
        <f t="shared" si="23"/>
        <v>48171391</v>
      </c>
      <c r="Z815" s="362"/>
      <c r="AA815" s="362"/>
      <c r="AB815" s="362"/>
      <c r="AC815" s="362"/>
      <c r="AD815" s="362"/>
      <c r="AE815" s="362"/>
      <c r="AF815" s="362"/>
      <c r="AG815" s="362"/>
      <c r="AH815" s="362"/>
      <c r="AI815" s="362"/>
      <c r="AJ815" s="362"/>
      <c r="AK815" s="362"/>
      <c r="AL815" s="362"/>
      <c r="AM815" s="362"/>
      <c r="AN815" s="362"/>
      <c r="AO815" s="362"/>
      <c r="AP815" s="362"/>
      <c r="AQ815" s="362"/>
      <c r="AR815" s="362"/>
      <c r="AS815" s="362"/>
      <c r="AT815" s="362"/>
      <c r="AU815" s="362"/>
      <c r="AV815" s="362"/>
      <c r="AW815" s="362"/>
      <c r="AX815" s="362"/>
      <c r="AY815" s="362"/>
      <c r="AZ815" s="362"/>
      <c r="BA815" s="362"/>
      <c r="BB815" s="362"/>
      <c r="BC815" s="362"/>
      <c r="BD815" s="362"/>
      <c r="BE815" s="362"/>
      <c r="BF815" s="362"/>
      <c r="BG815" s="362"/>
      <c r="BH815" s="362"/>
      <c r="BI815" s="362"/>
      <c r="BJ815" s="362"/>
      <c r="BK815" s="362"/>
      <c r="BL815" s="362"/>
      <c r="BM815" s="362"/>
      <c r="BN815" s="362"/>
      <c r="BO815" s="362"/>
      <c r="BP815" s="362"/>
      <c r="BQ815" s="362"/>
      <c r="BR815" s="362"/>
      <c r="BS815" s="362"/>
      <c r="BT815" s="362"/>
      <c r="BU815" s="362"/>
      <c r="BV815" s="362"/>
      <c r="BW815" s="362"/>
      <c r="BX815" s="362"/>
      <c r="BY815" s="362"/>
      <c r="BZ815" s="362"/>
      <c r="CA815" s="362"/>
      <c r="CB815" s="362"/>
      <c r="CC815" s="362"/>
      <c r="CD815" s="362"/>
      <c r="CE815" s="362"/>
    </row>
    <row r="816" spans="1:83" ht="12.65" customHeight="1">
      <c r="B816" s="362" t="s">
        <v>1005</v>
      </c>
      <c r="C816" s="367">
        <f>CE60</f>
        <v>426.07000000000011</v>
      </c>
      <c r="D816" s="362">
        <f>CE61</f>
        <v>37106883</v>
      </c>
      <c r="E816" s="362">
        <f>CE62</f>
        <v>6548757</v>
      </c>
      <c r="F816" s="362">
        <f>CE63</f>
        <v>4805619</v>
      </c>
      <c r="G816" s="362">
        <f>CE64</f>
        <v>15014977</v>
      </c>
      <c r="H816" s="366">
        <f>CE65</f>
        <v>1157698</v>
      </c>
      <c r="I816" s="366">
        <f>CE66</f>
        <v>9602933</v>
      </c>
      <c r="J816" s="366">
        <f>CE67</f>
        <v>5898156</v>
      </c>
      <c r="K816" s="366">
        <f>CE68</f>
        <v>3187052</v>
      </c>
      <c r="L816" s="366">
        <f>CE69</f>
        <v>23188922</v>
      </c>
      <c r="M816" s="366">
        <f>CE70</f>
        <v>557924</v>
      </c>
      <c r="N816" s="362">
        <f>CE75</f>
        <v>521165388</v>
      </c>
      <c r="O816" s="362">
        <f>CE73</f>
        <v>209402604</v>
      </c>
      <c r="P816" s="362">
        <f>CE76</f>
        <v>155374</v>
      </c>
      <c r="Q816" s="362">
        <f>CE77</f>
        <v>39775.009999999995</v>
      </c>
      <c r="R816" s="362">
        <f>CE78</f>
        <v>39604</v>
      </c>
      <c r="S816" s="362">
        <f>CE79</f>
        <v>458573</v>
      </c>
      <c r="T816" s="367">
        <f>CE80</f>
        <v>358.5</v>
      </c>
      <c r="U816" s="362" t="s">
        <v>1006</v>
      </c>
      <c r="V816" s="362" t="s">
        <v>1006</v>
      </c>
      <c r="W816" s="362" t="s">
        <v>1006</v>
      </c>
      <c r="X816" s="362" t="s">
        <v>1006</v>
      </c>
      <c r="Y816" s="362">
        <f>M716</f>
        <v>48171387</v>
      </c>
      <c r="Z816" s="362"/>
      <c r="AA816" s="362"/>
      <c r="AB816" s="362"/>
      <c r="AC816" s="362"/>
      <c r="AD816" s="362"/>
      <c r="AE816" s="362"/>
      <c r="AF816" s="362"/>
      <c r="AG816" s="362"/>
      <c r="AH816" s="362"/>
      <c r="AI816" s="362"/>
      <c r="AJ816" s="362"/>
      <c r="AK816" s="362"/>
      <c r="AL816" s="362"/>
      <c r="AM816" s="362"/>
      <c r="AN816" s="362"/>
      <c r="AO816" s="362"/>
      <c r="AP816" s="362"/>
      <c r="AQ816" s="362"/>
      <c r="AR816" s="362"/>
      <c r="AS816" s="362"/>
      <c r="AT816" s="362"/>
      <c r="AU816" s="362"/>
      <c r="AV816" s="362"/>
      <c r="AW816" s="362"/>
      <c r="AX816" s="362"/>
      <c r="AY816" s="362"/>
      <c r="AZ816" s="362"/>
      <c r="BA816" s="362"/>
      <c r="BB816" s="362"/>
      <c r="BC816" s="362"/>
      <c r="BD816" s="362"/>
      <c r="BE816" s="362"/>
      <c r="BF816" s="362"/>
      <c r="BG816" s="362"/>
      <c r="BH816" s="362"/>
      <c r="BI816" s="362"/>
      <c r="BJ816" s="362"/>
      <c r="BK816" s="362"/>
      <c r="BL816" s="362"/>
      <c r="BM816" s="362"/>
      <c r="BN816" s="362"/>
      <c r="BO816" s="362"/>
      <c r="BP816" s="362"/>
      <c r="BQ816" s="362"/>
      <c r="BR816" s="362"/>
      <c r="BS816" s="362"/>
      <c r="BT816" s="362"/>
      <c r="BU816" s="362"/>
      <c r="BV816" s="362"/>
      <c r="BW816" s="362"/>
      <c r="BX816" s="362"/>
      <c r="BY816" s="362"/>
      <c r="BZ816" s="362"/>
      <c r="CA816" s="362"/>
      <c r="CB816" s="362"/>
      <c r="CC816" s="362"/>
      <c r="CD816" s="362"/>
      <c r="CE816" s="362"/>
    </row>
    <row r="817" spans="2:15" ht="12.65" customHeight="1">
      <c r="B817" s="2" t="s">
        <v>471</v>
      </c>
      <c r="C817" s="290" t="s">
        <v>1007</v>
      </c>
      <c r="D817" s="2">
        <f>C378</f>
        <v>37106882</v>
      </c>
      <c r="E817" s="2">
        <f>C379</f>
        <v>6548760</v>
      </c>
      <c r="F817" s="2">
        <f>C380</f>
        <v>4805620</v>
      </c>
      <c r="G817" s="299">
        <f>C381</f>
        <v>15014974</v>
      </c>
      <c r="H817" s="299">
        <f>C382</f>
        <v>1157699</v>
      </c>
      <c r="I817" s="299">
        <f>C383</f>
        <v>9602928</v>
      </c>
      <c r="J817" s="299">
        <f>C384</f>
        <v>5898153</v>
      </c>
      <c r="K817" s="299">
        <f>C385</f>
        <v>3187051</v>
      </c>
      <c r="L817" s="299">
        <f>C386+C387+C388+C389</f>
        <v>21474961</v>
      </c>
      <c r="M817" s="299">
        <f>C370</f>
        <v>557924</v>
      </c>
      <c r="N817" s="2">
        <f>D361</f>
        <v>521165380</v>
      </c>
      <c r="O817" s="2">
        <f>C359</f>
        <v>209402602</v>
      </c>
    </row>
  </sheetData>
  <sheetProtection algorithmName="SHA-512" hashValue="ZK9STb9mkFcX8w9vIqsd8F+ea/x2C90zFfY+OKVGyiHBQv+tqxWaTeUlBTIagfwkZpzxFcYKpbfMnchsYKNtsw==" saltValue="0P1EC80P1MbrldgiKCiYNA==" spinCount="100000" sheet="1" objects="1" scenarios="1"/>
  <mergeCells count="1">
    <mergeCell ref="B220:C220"/>
  </mergeCells>
  <hyperlinks>
    <hyperlink ref="A16" r:id="rId1" xr:uid="{AEF114DE-EDBE-4A78-A32C-C75BA5048177}"/>
    <hyperlink ref="A17" r:id="rId2" xr:uid="{91E23499-B373-4C52-8406-9E21DF1B6FE7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37</vt:i4>
      </vt:variant>
    </vt:vector>
  </HeadingPairs>
  <TitlesOfParts>
    <vt:vector size="50" baseType="lpstr">
      <vt:lpstr>data 2021</vt:lpstr>
      <vt:lpstr>data 2Q21-4Q21</vt:lpstr>
      <vt:lpstr>data 1Q21 (2)</vt:lpstr>
      <vt:lpstr>data 1Q21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'data 1Q21'!Costcenter</vt:lpstr>
      <vt:lpstr>'data 1Q21 (2)'!Costcenter</vt:lpstr>
      <vt:lpstr>'data 2021'!Costcenter</vt:lpstr>
      <vt:lpstr>'PRIOR YEAR'!Costcenter</vt:lpstr>
      <vt:lpstr>Costcenter</vt:lpstr>
      <vt:lpstr>'data 1Q21'!Edit</vt:lpstr>
      <vt:lpstr>'data 1Q21 (2)'!Edit</vt:lpstr>
      <vt:lpstr>'data 2021'!Edit</vt:lpstr>
      <vt:lpstr>'PRIOR YEAR'!Edit</vt:lpstr>
      <vt:lpstr>Edit</vt:lpstr>
      <vt:lpstr>'data 1Q21'!Funds</vt:lpstr>
      <vt:lpstr>'data 1Q21 (2)'!Funds</vt:lpstr>
      <vt:lpstr>'data 2021'!Funds</vt:lpstr>
      <vt:lpstr>'PRIOR YEAR'!Funds</vt:lpstr>
      <vt:lpstr>Funds</vt:lpstr>
      <vt:lpstr>'data 1Q21'!Hospital</vt:lpstr>
      <vt:lpstr>'data 1Q21 (2)'!Hospital</vt:lpstr>
      <vt:lpstr>'data 2021'!Hospital</vt:lpstr>
      <vt:lpstr>'PRIOR YEAR'!Hospital</vt:lpstr>
      <vt:lpstr>Hospital</vt:lpstr>
      <vt:lpstr>'CC''s'!Print_Area</vt:lpstr>
      <vt:lpstr>'data 1Q21'!Print_Area</vt:lpstr>
      <vt:lpstr>'data 1Q21 (2)'!Print_Area</vt:lpstr>
      <vt:lpstr>'data 2021'!Print_Area</vt:lpstr>
      <vt:lpstr>'data 2Q21-4Q21'!Print_Area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'data 1Q21'!Support</vt:lpstr>
      <vt:lpstr>'data 1Q21 (2)'!Support</vt:lpstr>
      <vt:lpstr>'data 2021'!Support</vt:lpstr>
      <vt:lpstr>'PRIOR YEAR'!Support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2022-07-05T20:31:48Z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2022-07-05T20:25:14Z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b7d3a6ee-1980-40f7-a7cf-2940f3476478</vt:lpwstr>
  </property>
  <property fmtid="{D5CDD505-2E9C-101B-9397-08002B2CF9AE}" pid="8" name="MSIP_Label_1520fa42-cf58-4c22-8b93-58cf1d3bd1cb_ContentBits">
    <vt:lpwstr>0</vt:lpwstr>
  </property>
</Properties>
</file>