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CC391251-B713-42DF-8BAC-B0B35AEB27A2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8" i="24"/>
  <c r="CE87" i="24"/>
  <c r="C322" i="24" l="1"/>
  <c r="C418" i="24"/>
  <c r="C414" i="24"/>
  <c r="G403" i="24" s="1"/>
  <c r="C394" i="24"/>
  <c r="C392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D381" i="24"/>
  <c r="D366" i="24"/>
  <c r="C120" i="8" s="1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E157" i="24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77" i="32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10" i="4" l="1"/>
  <c r="C358" i="24"/>
  <c r="F10" i="4"/>
  <c r="C359" i="24"/>
  <c r="CP2" i="30"/>
  <c r="D416" i="24"/>
  <c r="D293" i="24"/>
  <c r="C35" i="8" s="1"/>
  <c r="AU48" i="24"/>
  <c r="AU62" i="24" s="1"/>
  <c r="H46" i="31" s="1"/>
  <c r="G48" i="24"/>
  <c r="G62" i="24" s="1"/>
  <c r="G12" i="32" s="1"/>
  <c r="W48" i="24"/>
  <c r="W62" i="24" s="1"/>
  <c r="BK48" i="24"/>
  <c r="BK62" i="24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S48" i="24"/>
  <c r="S62" i="24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AZ48" i="24"/>
  <c r="AZ62" i="24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E414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H55" i="31"/>
  <c r="G236" i="32"/>
  <c r="DF2" i="30"/>
  <c r="C170" i="8"/>
  <c r="AV52" i="24"/>
  <c r="AV67" i="24" s="1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X52" i="24"/>
  <c r="X67" i="24" s="1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AC49" i="25"/>
  <c r="AC63" i="25" s="1"/>
  <c r="E234" i="25"/>
  <c r="CE70" i="25"/>
  <c r="D342" i="25"/>
  <c r="D351" i="25" s="1"/>
  <c r="BM2" i="30" l="1"/>
  <c r="C112" i="8"/>
  <c r="BL2" i="30"/>
  <c r="C111" i="8"/>
  <c r="D360" i="24"/>
  <c r="H45" i="31"/>
  <c r="G76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E53" i="25"/>
  <c r="BE68" i="25" s="1"/>
  <c r="BE86" i="25" s="1"/>
  <c r="Y53" i="25"/>
  <c r="Y68" i="25" s="1"/>
  <c r="Y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C711" i="25" s="1"/>
  <c r="AK53" i="25"/>
  <c r="AK68" i="25" s="1"/>
  <c r="AK86" i="25" s="1"/>
  <c r="B49" i="1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C53" i="25"/>
  <c r="CC68" i="25" s="1"/>
  <c r="CC86" i="25" s="1"/>
  <c r="Q53" i="25"/>
  <c r="Q68" i="25" s="1"/>
  <c r="Q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M53" i="25"/>
  <c r="BM68" i="25" s="1"/>
  <c r="BM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C709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U53" i="25"/>
  <c r="BU68" i="25" s="1"/>
  <c r="BU86" i="25" s="1"/>
  <c r="AG53" i="25"/>
  <c r="AG68" i="25" s="1"/>
  <c r="AG86" i="25" s="1"/>
  <c r="CD53" i="25"/>
  <c r="BV53" i="25"/>
  <c r="BV68" i="25" s="1"/>
  <c r="BV86" i="25" s="1"/>
  <c r="BN53" i="25"/>
  <c r="BN68" i="25" s="1"/>
  <c r="BN86" i="25" s="1"/>
  <c r="B78" i="1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AW53" i="25"/>
  <c r="AW68" i="25" s="1"/>
  <c r="AW86" i="25" s="1"/>
  <c r="AO53" i="25"/>
  <c r="AO68" i="25" s="1"/>
  <c r="AO86" i="25" s="1"/>
  <c r="I53" i="25"/>
  <c r="I68" i="25" s="1"/>
  <c r="I86" i="25" s="1"/>
  <c r="CB53" i="25"/>
  <c r="CB68" i="25" s="1"/>
  <c r="CB86" i="25" s="1"/>
  <c r="BT53" i="25"/>
  <c r="BT68" i="25" s="1"/>
  <c r="BT86" i="25" s="1"/>
  <c r="B84" i="1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CA53" i="25"/>
  <c r="CA68" i="25" s="1"/>
  <c r="CA86" i="25" s="1"/>
  <c r="BS53" i="25"/>
  <c r="BS68" i="25" s="1"/>
  <c r="BS86" i="25" s="1"/>
  <c r="C640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C113" i="8" l="1"/>
  <c r="D367" i="24"/>
  <c r="D12" i="17"/>
  <c r="S85" i="24"/>
  <c r="E17" i="32"/>
  <c r="B54" i="15"/>
  <c r="F54" i="15" s="1"/>
  <c r="C703" i="25"/>
  <c r="C620" i="25"/>
  <c r="C625" i="25"/>
  <c r="B68" i="15"/>
  <c r="B27" i="15"/>
  <c r="F27" i="15" s="1"/>
  <c r="C681" i="25"/>
  <c r="B91" i="15"/>
  <c r="F91" i="15" s="1"/>
  <c r="H91" i="15" s="1"/>
  <c r="I91" i="15" s="1"/>
  <c r="C648" i="25"/>
  <c r="C638" i="25"/>
  <c r="B76" i="15"/>
  <c r="C692" i="25"/>
  <c r="B38" i="15"/>
  <c r="C699" i="25"/>
  <c r="B45" i="15"/>
  <c r="F45" i="15" s="1"/>
  <c r="C626" i="25"/>
  <c r="B63" i="15"/>
  <c r="C694" i="25"/>
  <c r="B40" i="15"/>
  <c r="C621" i="25"/>
  <c r="B93" i="15"/>
  <c r="C635" i="25"/>
  <c r="B73" i="15"/>
  <c r="F73" i="15" s="1"/>
  <c r="C696" i="25"/>
  <c r="B42" i="15"/>
  <c r="B19" i="15"/>
  <c r="C673" i="25"/>
  <c r="C674" i="25"/>
  <c r="B20" i="15"/>
  <c r="C700" i="25"/>
  <c r="B46" i="15"/>
  <c r="F46" i="15" s="1"/>
  <c r="C642" i="25"/>
  <c r="B85" i="15"/>
  <c r="C619" i="25"/>
  <c r="B71" i="15"/>
  <c r="F71" i="15" s="1"/>
  <c r="C702" i="25"/>
  <c r="B48" i="15"/>
  <c r="C671" i="25"/>
  <c r="B17" i="15"/>
  <c r="F17" i="15" s="1"/>
  <c r="C624" i="25"/>
  <c r="B81" i="15"/>
  <c r="F81" i="15" s="1"/>
  <c r="C704" i="25"/>
  <c r="B50" i="15"/>
  <c r="F50" i="15" s="1"/>
  <c r="C688" i="25"/>
  <c r="B34" i="15"/>
  <c r="C697" i="25"/>
  <c r="B43" i="15"/>
  <c r="F43" i="15" s="1"/>
  <c r="C623" i="25"/>
  <c r="B92" i="15"/>
  <c r="F92" i="15" s="1"/>
  <c r="C628" i="25"/>
  <c r="B79" i="15"/>
  <c r="C710" i="25"/>
  <c r="B56" i="15"/>
  <c r="F56" i="15" s="1"/>
  <c r="C679" i="25"/>
  <c r="B25" i="15"/>
  <c r="F25" i="15" s="1"/>
  <c r="B89" i="15"/>
  <c r="F89" i="15" s="1"/>
  <c r="C646" i="25"/>
  <c r="B58" i="15"/>
  <c r="C712" i="25"/>
  <c r="C683" i="25"/>
  <c r="B29" i="15"/>
  <c r="B36" i="15"/>
  <c r="F36" i="15" s="1"/>
  <c r="C690" i="25"/>
  <c r="B21" i="15"/>
  <c r="F21" i="15" s="1"/>
  <c r="C675" i="25"/>
  <c r="B62" i="15"/>
  <c r="C617" i="25"/>
  <c r="B23" i="15"/>
  <c r="H23" i="15" s="1"/>
  <c r="I23" i="15" s="1"/>
  <c r="C677" i="25"/>
  <c r="C644" i="25"/>
  <c r="B87" i="15"/>
  <c r="F87" i="15" s="1"/>
  <c r="C629" i="25"/>
  <c r="B64" i="15"/>
  <c r="C687" i="25"/>
  <c r="B33" i="15"/>
  <c r="F33" i="15" s="1"/>
  <c r="C691" i="25"/>
  <c r="B37" i="15"/>
  <c r="F37" i="15" s="1"/>
  <c r="C633" i="25"/>
  <c r="B66" i="15"/>
  <c r="C631" i="25"/>
  <c r="B65" i="15"/>
  <c r="C698" i="25"/>
  <c r="B44" i="15"/>
  <c r="B53" i="15"/>
  <c r="F53" i="15" s="1"/>
  <c r="C707" i="25"/>
  <c r="C630" i="25"/>
  <c r="B70" i="15"/>
  <c r="F70" i="15" s="1"/>
  <c r="C685" i="25"/>
  <c r="B31" i="15"/>
  <c r="C639" i="25"/>
  <c r="B77" i="15"/>
  <c r="H77" i="15" s="1"/>
  <c r="I77" i="15" s="1"/>
  <c r="C637" i="25"/>
  <c r="B72" i="15"/>
  <c r="C695" i="25"/>
  <c r="B41" i="15"/>
  <c r="F41" i="15" s="1"/>
  <c r="C615" i="25"/>
  <c r="D616" i="25" s="1"/>
  <c r="B69" i="15"/>
  <c r="C618" i="25"/>
  <c r="B74" i="15"/>
  <c r="B30" i="15"/>
  <c r="F30" i="15" s="1"/>
  <c r="C684" i="25"/>
  <c r="C689" i="25"/>
  <c r="B35" i="15"/>
  <c r="F35" i="15" s="1"/>
  <c r="C713" i="25"/>
  <c r="B59" i="15"/>
  <c r="C634" i="25"/>
  <c r="B67" i="15"/>
  <c r="B52" i="15"/>
  <c r="F52" i="15" s="1"/>
  <c r="C706" i="25"/>
  <c r="C632" i="25"/>
  <c r="B61" i="15"/>
  <c r="C693" i="25"/>
  <c r="B39" i="15"/>
  <c r="C670" i="25"/>
  <c r="B16" i="15"/>
  <c r="F16" i="15" s="1"/>
  <c r="C622" i="25"/>
  <c r="B80" i="15"/>
  <c r="C672" i="25"/>
  <c r="B18" i="15"/>
  <c r="H18" i="15" s="1"/>
  <c r="I18" i="15" s="1"/>
  <c r="C627" i="25"/>
  <c r="B82" i="15"/>
  <c r="B32" i="15"/>
  <c r="C686" i="25"/>
  <c r="C705" i="25"/>
  <c r="B51" i="15"/>
  <c r="F51" i="15" s="1"/>
  <c r="C636" i="25"/>
  <c r="B75" i="15"/>
  <c r="F75" i="15" s="1"/>
  <c r="C714" i="25"/>
  <c r="B60" i="15"/>
  <c r="C676" i="25"/>
  <c r="B22" i="15"/>
  <c r="F22" i="15" s="1"/>
  <c r="B86" i="15"/>
  <c r="C643" i="25"/>
  <c r="C678" i="25"/>
  <c r="B24" i="15"/>
  <c r="H24" i="15" s="1"/>
  <c r="I24" i="15" s="1"/>
  <c r="C645" i="25"/>
  <c r="B88" i="15"/>
  <c r="F88" i="15" s="1"/>
  <c r="C680" i="25"/>
  <c r="B26" i="15"/>
  <c r="H26" i="15" s="1"/>
  <c r="I26" i="15" s="1"/>
  <c r="C647" i="25"/>
  <c r="B90" i="15"/>
  <c r="B47" i="15"/>
  <c r="F47" i="15" s="1"/>
  <c r="B28" i="15"/>
  <c r="F28" i="15" s="1"/>
  <c r="C641" i="25"/>
  <c r="B55" i="15"/>
  <c r="F55" i="15" s="1"/>
  <c r="B83" i="15"/>
  <c r="B57" i="15"/>
  <c r="F57" i="15" s="1"/>
  <c r="C68" i="25"/>
  <c r="CE68" i="25" s="1"/>
  <c r="CE53" i="25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M80" i="31"/>
  <c r="D369" i="32"/>
  <c r="CC85" i="24"/>
  <c r="E53" i="32"/>
  <c r="C24" i="15"/>
  <c r="G24" i="15" s="1"/>
  <c r="C677" i="24"/>
  <c r="M21" i="31"/>
  <c r="H81" i="32"/>
  <c r="V85" i="24"/>
  <c r="F83" i="15"/>
  <c r="F63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23" i="15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F84" i="15"/>
  <c r="H84" i="15" s="1"/>
  <c r="I84" i="15" s="1"/>
  <c r="H277" i="32"/>
  <c r="M19" i="31"/>
  <c r="F81" i="32"/>
  <c r="T85" i="24"/>
  <c r="F42" i="15"/>
  <c r="M17" i="31"/>
  <c r="D81" i="32"/>
  <c r="R85" i="24"/>
  <c r="F40" i="15"/>
  <c r="H22" i="15"/>
  <c r="I22" i="15" s="1"/>
  <c r="F78" i="15"/>
  <c r="M5" i="31"/>
  <c r="F17" i="32"/>
  <c r="F85" i="24"/>
  <c r="M12" i="31"/>
  <c r="F49" i="32"/>
  <c r="M85" i="24"/>
  <c r="F39" i="15"/>
  <c r="M38" i="31"/>
  <c r="D177" i="32"/>
  <c r="AM85" i="24"/>
  <c r="M43" i="31"/>
  <c r="I177" i="32"/>
  <c r="AR85" i="24"/>
  <c r="F65" i="15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F19" i="15"/>
  <c r="F59" i="15"/>
  <c r="H59" i="15"/>
  <c r="I59" i="15" s="1"/>
  <c r="M53" i="31"/>
  <c r="E241" i="32"/>
  <c r="BB85" i="24"/>
  <c r="F31" i="15"/>
  <c r="C67" i="24"/>
  <c r="CE52" i="24"/>
  <c r="E85" i="32"/>
  <c r="C31" i="15"/>
  <c r="G31" i="15" s="1"/>
  <c r="C684" i="24"/>
  <c r="M62" i="31"/>
  <c r="G273" i="32"/>
  <c r="BK85" i="24"/>
  <c r="F85" i="15"/>
  <c r="F20" i="15"/>
  <c r="M50" i="31"/>
  <c r="I209" i="32"/>
  <c r="AY85" i="24"/>
  <c r="F82" i="15"/>
  <c r="F29" i="15"/>
  <c r="H94" i="15"/>
  <c r="I94" i="15" s="1"/>
  <c r="G94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H52" i="15"/>
  <c r="I52" i="15" s="1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C74" i="15"/>
  <c r="G74" i="15" s="1"/>
  <c r="F3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58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C121" i="8" l="1"/>
  <c r="D384" i="24"/>
  <c r="I117" i="32"/>
  <c r="C695" i="24"/>
  <c r="H36" i="15"/>
  <c r="I36" i="15" s="1"/>
  <c r="F26" i="15"/>
  <c r="H53" i="15"/>
  <c r="I53" i="15" s="1"/>
  <c r="F79" i="15"/>
  <c r="C86" i="25"/>
  <c r="H57" i="15"/>
  <c r="I57" i="15" s="1"/>
  <c r="H27" i="15"/>
  <c r="I27" i="15" s="1"/>
  <c r="F24" i="15"/>
  <c r="F77" i="15"/>
  <c r="H25" i="15"/>
  <c r="I25" i="15" s="1"/>
  <c r="H46" i="15"/>
  <c r="I46" i="15" s="1"/>
  <c r="H16" i="15"/>
  <c r="I16" i="15" s="1"/>
  <c r="H21" i="15"/>
  <c r="I21" i="15" s="1"/>
  <c r="H47" i="15"/>
  <c r="I47" i="15" s="1"/>
  <c r="H87" i="15"/>
  <c r="I87" i="15" s="1"/>
  <c r="C649" i="25"/>
  <c r="M717" i="25" s="1"/>
  <c r="F72" i="15"/>
  <c r="F18" i="15"/>
  <c r="F74" i="15"/>
  <c r="H74" i="15" s="1"/>
  <c r="I74" i="15" s="1"/>
  <c r="C76" i="15"/>
  <c r="G76" i="15" s="1"/>
  <c r="H76" i="15" s="1"/>
  <c r="I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69" i="15"/>
  <c r="I69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C277" i="32"/>
  <c r="C618" i="24"/>
  <c r="C341" i="32"/>
  <c r="C85" i="15"/>
  <c r="C641" i="24"/>
  <c r="D245" i="32"/>
  <c r="C65" i="15"/>
  <c r="C630" i="24"/>
  <c r="C56" i="15"/>
  <c r="C709" i="24"/>
  <c r="I181" i="32"/>
  <c r="F309" i="32"/>
  <c r="C81" i="15"/>
  <c r="C623" i="24"/>
  <c r="G21" i="32"/>
  <c r="C19" i="15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C138" i="8" l="1"/>
  <c r="D417" i="24"/>
  <c r="H50" i="15"/>
  <c r="I50" i="15" s="1"/>
  <c r="H79" i="15"/>
  <c r="I79" i="15" s="1"/>
  <c r="H72" i="15"/>
  <c r="I72" i="15" s="1"/>
  <c r="G83" i="15"/>
  <c r="H83" i="15" s="1"/>
  <c r="I83" i="15" s="1"/>
  <c r="G51" i="15"/>
  <c r="H51" i="15"/>
  <c r="I51" i="15" s="1"/>
  <c r="G80" i="15"/>
  <c r="H80" i="15" s="1"/>
  <c r="I80" i="15" s="1"/>
  <c r="G55" i="15"/>
  <c r="H55" i="15"/>
  <c r="I55" i="15" s="1"/>
  <c r="G85" i="15"/>
  <c r="H85" i="15" s="1"/>
  <c r="I85" i="15" s="1"/>
  <c r="G20" i="15"/>
  <c r="H20" i="15" s="1"/>
  <c r="I20" i="15" s="1"/>
  <c r="G58" i="15"/>
  <c r="H58" i="15"/>
  <c r="I58" i="15" s="1"/>
  <c r="G30" i="15"/>
  <c r="H30" i="15" s="1"/>
  <c r="I30" i="15" s="1"/>
  <c r="G19" i="15"/>
  <c r="H19" i="15"/>
  <c r="I19" i="15" s="1"/>
  <c r="G81" i="15"/>
  <c r="H81" i="15" s="1"/>
  <c r="I81" i="15" s="1"/>
  <c r="G71" i="15"/>
  <c r="H71" i="15" s="1"/>
  <c r="I71" i="15" s="1"/>
  <c r="H44" i="15"/>
  <c r="I44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C168" i="8" l="1"/>
  <c r="D421" i="24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C172" i="8" l="1"/>
  <c r="D424" i="24"/>
  <c r="C177" i="8" s="1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L700" i="24" l="1"/>
  <c r="M686" i="25"/>
  <c r="M681" i="25"/>
  <c r="M696" i="25"/>
  <c r="M674" i="25"/>
  <c r="M694" i="25"/>
  <c r="M689" i="25"/>
  <c r="M714" i="25"/>
  <c r="M684" i="25"/>
  <c r="M706" i="25"/>
  <c r="M697" i="25"/>
  <c r="M708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<sst xmlns="http://schemas.openxmlformats.org/spreadsheetml/2006/main" count="5788" uniqueCount="1384">
  <si>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</si>
  <si>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</si>
  <si>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</si>
  <si>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</si>
  <si>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</si>
  <si>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</si>
  <si>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</si>
  <si>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</si>
  <si>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</si>
  <si>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</si>
  <si>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</si>
  <si>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</si>
  <si>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</si>
  <si>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</si>
  <si>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</si>
  <si>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</si>
  <si>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</si>
  <si>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</si>
  <si>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</si>
  <si>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</si>
  <si>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</si>
  <si>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</si>
  <si>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</si>
  <si>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</si>
  <si>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</si>
  <si>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</si>
  <si>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</si>
  <si>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</si>
  <si>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</si>
  <si>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</si>
  <si>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</si>
  <si>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</si>
  <si>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</si>
  <si>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</si>
  <si>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</si>
  <si>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</si>
  <si>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</si>
  <si>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</si>
  <si>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</si>
  <si>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</si>
  <si>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</si>
  <si>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</si>
  <si>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</si>
  <si>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</si>
  <si>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</si>
  <si>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</si>
  <si>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</si>
  <si>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</si>
  <si>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</si>
  <si>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</si>
  <si>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</si>
  <si>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</si>
  <si>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</si>
  <si>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</si>
  <si>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</si>
  <si>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</si>
  <si>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</si>
  <si>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</si>
  <si>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</si>
  <si>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</si>
  <si>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</si>
  <si>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</si>
  <si>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</si>
  <si>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</si>
  <si>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</si>
  <si>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</si>
  <si>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</si>
  <si>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</si>
  <si>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</si>
  <si>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</si>
  <si>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</si>
  <si>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</si>
  <si>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</si>
  <si>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</si>
  <si>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</si>
  <si>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</si>
  <si>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</si>
  <si>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</si>
  <si>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</si>
  <si>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</si>
  <si>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</si>
  <si>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</si>
  <si>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</si>
  <si>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</si>
  <si>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</si>
  <si>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</si>
  <si>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</si>
  <si>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</si>
  <si>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</si>
  <si>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</si>
  <si>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</si>
  <si>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</si>
  <si>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</si>
  <si>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</si>
  <si>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</si>
  <si>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</si>
  <si>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</si>
  <si>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</si>
  <si>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</si>
  <si>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</si>
  <si>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</si>
  <si>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</si>
  <si>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</si>
  <si>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</si>
  <si>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</si>
  <si>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</si>
  <si>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</si>
  <si>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</si>
  <si>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</si>
  <si>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</si>
  <si>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</si>
  <si>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</si>
  <si>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</si>
  <si>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</si>
  <si>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</si>
  <si>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</si>
  <si>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</si>
  <si>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</si>
  <si>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</si>
  <si>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</si>
  <si>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</si>
  <si>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</si>
  <si>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</si>
  <si>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</si>
  <si>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</si>
  <si>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</si>
  <si>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</si>
  <si>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</si>
  <si>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</si>
  <si>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</si>
  <si>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</si>
  <si>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</si>
  <si>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</si>
  <si>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</si>
  <si>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</si>
  <si>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</si>
  <si>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</si>
  <si>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</si>
  <si>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</si>
  <si>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</si>
  <si>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</si>
  <si>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</si>
  <si>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</si>
  <si>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</si>
  <si>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</si>
  <si>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</si>
  <si>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</si>
  <si>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</si>
  <si>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</si>
  <si>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</si>
  <si>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</si>
  <si>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</si>
  <si>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</si>
  <si>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</si>
  <si>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</si>
  <si>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</si>
  <si>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</si>
  <si>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</si>
  <si>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</si>
  <si>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</si>
  <si>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</si>
  <si>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</si>
  <si>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</si>
  <si>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</si>
  <si>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</si>
  <si>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</si>
  <si>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</si>
  <si>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</si>
  <si>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</si>
  <si>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</si>
  <si>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</si>
  <si>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</si>
  <si>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</si>
  <si>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</si>
  <si>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</si>
  <si>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</si>
  <si>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</si>
  <si>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</si>
  <si>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</si>
  <si>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</si>
  <si>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</si>
  <si>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</si>
  <si>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</si>
  <si>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</si>
  <si>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</si>
  <si>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</si>
  <si>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</si>
  <si>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</si>
  <si>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</si>
  <si>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</si>
  <si>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</si>
  <si>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</si>
  <si>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</si>
  <si>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</si>
  <si>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</si>
  <si>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</si>
  <si>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</si>
  <si>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</si>
  <si>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</si>
  <si>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</si>
  <si>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</si>
  <si>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</si>
  <si>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</si>
  <si>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</si>
  <si>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</si>
  <si>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</si>
  <si>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</si>
  <si>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</si>
  <si>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</si>
  <si>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</si>
  <si>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</si>
  <si>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</si>
  <si>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</si>
  <si>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</si>
  <si>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</si>
  <si>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</si>
  <si>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</si>
  <si>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</si>
  <si>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</si>
  <si>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</si>
  <si>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</si>
  <si>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</si>
  <si>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</si>
  <si>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</si>
  <si>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</si>
  <si>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</si>
  <si>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</si>
  <si>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</si>
  <si>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</si>
  <si>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</si>
  <si>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</si>
  <si>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</si>
  <si>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</si>
  <si>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</si>
  <si>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</si>
  <si>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</si>
  <si>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</si>
  <si>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</si>
  <si>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</si>
  <si>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</si>
  <si>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</si>
  <si>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</si>
  <si>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</si>
  <si>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</si>
  <si>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</si>
  <si>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</si>
  <si>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</si>
  <si>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</si>
  <si>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</si>
  <si>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</si>
  <si>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</si>
  <si>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</si>
  <si>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</si>
  <si>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</si>
  <si>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</si>
  <si>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</si>
  <si>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</si>
  <si>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</si>
  <si>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</si>
  <si>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</si>
  <si>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</si>
  <si>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</si>
  <si>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</si>
  <si>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</si>
  <si>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</si>
  <si>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</si>
  <si>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</si>
  <si>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</si>
  <si>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</si>
  <si>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</si>
  <si>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</si>
  <si>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</si>
  <si>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</si>
  <si>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</si>
  <si>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</si>
  <si>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</si>
  <si>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</si>
  <si>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</si>
  <si>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</si>
  <si>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</si>
  <si>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</si>
  <si>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</si>
  <si>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</si>
  <si>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</si>
  <si>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</si>
  <si>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</si>
  <si>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</si>
  <si>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</si>
  <si>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</si>
  <si>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</si>
  <si>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</si>
  <si>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</si>
  <si>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</si>
  <si>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</si>
  <si>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</si>
  <si>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</si>
  <si>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</si>
  <si>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</si>
  <si>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</si>
  <si>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</si>
  <si>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</si>
  <si>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</si>
  <si>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</si>
  <si>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</si>
  <si>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</si>
  <si>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</si>
  <si>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</si>
  <si>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</si>
  <si>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</si>
  <si>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</si>
  <si>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</si>
  <si>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</si>
  <si>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</si>
  <si>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</si>
  <si>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</si>
  <si>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</si>
  <si>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</si>
  <si>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</si>
  <si>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</si>
  <si>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</si>
  <si>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</si>
  <si>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</si>
  <si>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</si>
  <si>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</si>
  <si>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</si>
  <si>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</si>
  <si>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</si>
  <si>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</si>
  <si>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</si>
  <si>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</si>
  <si>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</si>
  <si>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</si>
  <si>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</si>
  <si>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</si>
  <si>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</si>
  <si>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</si>
  <si>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</si>
  <si>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</si>
  <si>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</si>
  <si>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</si>
  <si>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</si>
  <si>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</si>
  <si>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</si>
  <si>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</si>
  <si>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</si>
  <si>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</si>
  <si>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</si>
  <si>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</si>
  <si>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</si>
  <si>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</si>
  <si>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</si>
  <si>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</si>
  <si>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</si>
  <si>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</si>
  <si>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</si>
  <si>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</si>
  <si>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</si>
  <si>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</si>
  <si>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</si>
  <si>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</si>
  <si>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</si>
  <si>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</si>
  <si>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</si>
  <si>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</si>
  <si>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</si>
  <si>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</si>
  <si>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</si>
  <si>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</si>
  <si>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</si>
  <si>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</si>
  <si>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</si>
  <si>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</si>
  <si>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</si>
  <si>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</si>
  <si>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</si>
  <si>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</si>
  <si>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</si>
  <si>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</si>
  <si>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</si>
  <si>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</si>
  <si>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</si>
  <si>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</si>
  <si>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</si>
  <si>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</si>
  <si>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</si>
  <si>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</si>
  <si>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</si>
  <si>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</si>
  <si>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</si>
  <si>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</si>
  <si>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</si>
  <si>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</si>
  <si>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</si>
  <si>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</si>
  <si>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</si>
  <si>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</si>
  <si>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</si>
  <si>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</si>
  <si>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</si>
  <si>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</si>
  <si>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</si>
  <si>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</si>
  <si>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</si>
  <si>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</si>
  <si>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</si>
  <si>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</si>
  <si>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</si>
  <si>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</si>
  <si>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</si>
  <si>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</si>
  <si>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</si>
  <si>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</si>
  <si>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</si>
  <si>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</si>
  <si>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</si>
  <si>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</si>
  <si>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</si>
  <si>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</si>
  <si>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</si>
  <si>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</si>
  <si>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</si>
  <si>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</si>
  <si>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</si>
  <si>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</si>
  <si>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</si>
  <si>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</si>
  <si>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</si>
  <si>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</si>
  <si>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</si>
  <si>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</si>
  <si>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</si>
  <si>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</si>
  <si>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</si>
  <si>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</si>
  <si>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</si>
  <si>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</si>
  <si>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</si>
  <si>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</si>
  <si>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</si>
  <si>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</si>
  <si>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</si>
  <si>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</si>
  <si>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</si>
  <si>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</si>
  <si>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</si>
  <si>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</si>
  <si>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</si>
  <si>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</si>
  <si>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</si>
  <si>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</si>
  <si>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</si>
  <si>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</si>
  <si>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</si>
  <si>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</si>
  <si>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</si>
  <si>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</si>
  <si>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</si>
  <si>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</si>
  <si>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</si>
  <si>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</si>
  <si>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</si>
  <si>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</si>
  <si>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</si>
  <si>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</si>
  <si>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</si>
  <si>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</si>
  <si>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</si>
  <si>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</si>
  <si>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</si>
  <si>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</si>
  <si>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</si>
  <si>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</si>
  <si>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</si>
  <si>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</si>
  <si>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</si>
  <si>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</si>
  <si>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</si>
  <si>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</si>
  <si>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</si>
  <si>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</si>
  <si>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</si>
  <si>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</si>
  <si>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</si>
  <si>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</si>
  <si>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</si>
  <si>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</si>
  <si>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</si>
  <si>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</si>
  <si>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</si>
  <si>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</si>
  <si>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</si>
  <si>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</si>
  <si>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</si>
  <si>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</si>
  <si>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</si>
  <si>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</si>
  <si>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</si>
  <si>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</si>
  <si>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</si>
  <si>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</si>
  <si>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</si>
  <si>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</si>
  <si>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</si>
  <si>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</si>
  <si>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</si>
  <si>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</si>
  <si>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</si>
  <si>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</si>
  <si>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</si>
  <si>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</si>
  <si>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</si>
  <si>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</si>
  <si>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</si>
  <si>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</si>
  <si>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</si>
  <si>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</si>
  <si>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</si>
  <si>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</si>
  <si>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</si>
  <si>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</si>
  <si>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</si>
  <si>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</si>
  <si>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</si>
  <si>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</si>
  <si>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</si>
  <si>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</si>
  <si>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</si>
  <si>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</si>
  <si>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</si>
  <si>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</si>
  <si>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</si>
  <si>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</si>
  <si>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</si>
  <si>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</si>
  <si>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</si>
  <si>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</si>
  <si>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</si>
  <si>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</si>
  <si>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</si>
  <si>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</si>
  <si>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</si>
  <si>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</si>
  <si>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</si>
  <si>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</si>
  <si>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</si>
  <si>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</si>
  <si>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</si>
  <si>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</si>
  <si>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</si>
  <si>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</si>
  <si>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</si>
  <si>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</si>
  <si>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</si>
  <si>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</si>
  <si>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</si>
  <si>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</si>
  <si>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</si>
  <si>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</si>
  <si>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</si>
  <si>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</si>
  <si>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</si>
  <si>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</si>
  <si>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</si>
  <si>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</si>
  <si>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</si>
  <si>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</si>
  <si>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</si>
  <si>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</si>
  <si>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</si>
  <si>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</si>
  <si>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</si>
  <si>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</si>
  <si>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</si>
  <si>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</si>
  <si>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</si>
  <si>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</si>
  <si>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</si>
  <si>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</si>
  <si>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</si>
  <si>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</si>
  <si>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</si>
  <si>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</si>
  <si>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</si>
  <si>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</si>
  <si>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</si>
  <si>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</si>
  <si>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</si>
  <si>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</si>
  <si>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</si>
  <si>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</si>
  <si>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</si>
  <si>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</si>
  <si>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</si>
  <si>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</si>
  <si>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</si>
  <si>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</si>
  <si>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</si>
  <si>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</si>
  <si>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</si>
  <si>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</si>
  <si>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</si>
  <si>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</si>
  <si>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</si>
  <si>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</si>
  <si>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</si>
  <si>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</si>
  <si>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</si>
  <si>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</si>
  <si>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</si>
  <si>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</si>
  <si>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</si>
  <si>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</si>
  <si>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</si>
  <si>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</si>
  <si>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</si>
  <si>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</si>
  <si>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</si>
  <si>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</si>
  <si>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</si>
  <si>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</si>
  <si>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</si>
  <si>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</si>
  <si>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</si>
  <si>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</si>
  <si>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</si>
  <si>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</si>
  <si>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</si>
  <si>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</si>
  <si>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</si>
  <si>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</si>
  <si>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</si>
  <si>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</si>
  <si>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</si>
  <si>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</si>
  <si>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</si>
  <si>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</si>
  <si>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</si>
  <si>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</si>
  <si>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</si>
  <si>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</si>
  <si>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</si>
  <si>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</si>
  <si>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</si>
  <si>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</si>
  <si>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</si>
  <si>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</si>
  <si>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</si>
  <si>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</si>
  <si>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</si>
  <si>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</si>
  <si>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</si>
  <si>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</si>
  <si>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</si>
  <si>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</si>
  <si>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</si>
  <si>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</si>
  <si>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</si>
  <si>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</si>
  <si>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</si>
  <si>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</si>
  <si>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</si>
  <si>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</si>
  <si>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</si>
  <si>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</si>
  <si>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</si>
  <si>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</si>
  <si>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</si>
  <si>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</si>
  <si>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</si>
  <si>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</si>
  <si>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</si>
  <si>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</si>
  <si>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</si>
  <si>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</si>
  <si>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</si>
  <si>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</si>
  <si>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</si>
  <si>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</si>
  <si>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</si>
  <si>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</si>
  <si>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</si>
  <si>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</si>
  <si>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</si>
  <si>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</si>
  <si>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</si>
  <si>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</si>
  <si>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</si>
  <si>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</si>
  <si>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</si>
  <si>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</si>
  <si>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</si>
  <si>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</si>
  <si>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</si>
  <si>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</si>
  <si>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</si>
  <si>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</si>
  <si>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</si>
  <si>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</si>
  <si>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</si>
  <si>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</si>
  <si>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</si>
  <si>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</si>
  <si>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</si>
  <si>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</si>
  <si>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</si>
  <si>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</si>
  <si>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</si>
  <si>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</si>
  <si>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</si>
  <si>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</si>
  <si>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</si>
  <si>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</si>
  <si>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</si>
  <si>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</si>
  <si>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</si>
  <si>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</si>
  <si>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</si>
  <si>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</si>
  <si>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</si>
  <si>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</si>
  <si>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</si>
  <si>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</si>
  <si>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</si>
  <si>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</si>
  <si>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</si>
  <si>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</si>
  <si>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</si>
  <si>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</si>
  <si>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</si>
  <si>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</si>
  <si>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</si>
  <si>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</si>
  <si>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</si>
  <si>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</si>
  <si>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</si>
  <si>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</si>
  <si>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</si>
  <si>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</si>
  <si>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</si>
  <si>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</si>
  <si>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</si>
  <si>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</si>
  <si>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</si>
  <si>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</si>
  <si>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</si>
  <si>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</si>
  <si>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</si>
  <si>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</si>
  <si>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</si>
  <si>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</si>
  <si>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</si>
  <si>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</si>
  <si>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</si>
  <si>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</si>
  <si>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</si>
  <si>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</si>
  <si>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</si>
  <si>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</si>
  <si>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</si>
  <si>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</si>
  <si>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</si>
  <si>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</si>
  <si>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</si>
  <si>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</si>
  <si>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</si>
  <si>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</si>
  <si>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</si>
  <si>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</si>
  <si>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</si>
  <si>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</si>
  <si>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</si>
  <si>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</si>
  <si>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</si>
  <si>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</si>
  <si>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</si>
  <si>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</si>
  <si>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</si>
  <si>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</si>
  <si>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</si>
  <si>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</si>
  <si>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</si>
  <si>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</si>
  <si>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</si>
  <si>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</si>
  <si>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</si>
  <si>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</si>
  <si>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</si>
  <si>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</si>
  <si>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</si>
  <si>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</si>
  <si>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</si>
  <si>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</si>
  <si>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</si>
  <si>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</si>
  <si>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</si>
  <si>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</si>
  <si>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</si>
  <si>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</si>
  <si>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</si>
  <si>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</si>
  <si>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</si>
  <si>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</si>
  <si>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</si>
  <si>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</si>
  <si>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</si>
  <si>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</si>
  <si>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</si>
  <si>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</si>
  <si>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</si>
  <si>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</si>
  <si>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</si>
  <si>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</si>
  <si>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</si>
  <si>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</si>
  <si>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</si>
  <si>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</si>
  <si>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</si>
  <si>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</si>
  <si>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</si>
  <si>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</si>
  <si>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</si>
  <si>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</si>
  <si>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</si>
  <si>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</si>
  <si>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</si>
  <si>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</si>
  <si>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</si>
  <si>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</si>
  <si>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</si>
  <si>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</si>
  <si>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</si>
  <si>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</si>
  <si>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</si>
  <si>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</si>
  <si>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</si>
  <si>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</si>
  <si>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</si>
  <si>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</si>
  <si>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</si>
  <si>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</si>
  <si>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</si>
  <si>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</si>
  <si>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</si>
  <si>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</si>
  <si>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</si>
  <si>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</si>
  <si>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</si>
  <si>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</si>
  <si>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</si>
  <si>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</si>
  <si>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</si>
  <si>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</si>
  <si>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</si>
  <si>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</si>
  <si>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</si>
  <si>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</si>
  <si>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</si>
  <si>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</si>
  <si>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</si>
  <si>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</si>
  <si>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</si>
  <si>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</si>
  <si>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</si>
  <si>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</si>
  <si>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</si>
  <si>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</si>
  <si>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</si>
  <si>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</si>
  <si>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</si>
  <si>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</si>
  <si>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</si>
  <si>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</si>
  <si>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</si>
  <si>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</si>
  <si>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</si>
  <si>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</si>
  <si>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</si>
  <si>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</si>
  <si>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</si>
  <si>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</si>
  <si>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</si>
  <si>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</si>
  <si>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</si>
  <si>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</si>
  <si>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</si>
  <si>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</si>
  <si>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</si>
  <si>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</si>
  <si>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</si>
  <si>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</si>
  <si>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</si>
  <si>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</si>
  <si>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</si>
  <si>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</si>
  <si>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</si>
  <si>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</si>
  <si>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</si>
  <si>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</si>
  <si>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</si>
  <si>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</si>
  <si>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</si>
  <si>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</si>
  <si>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</si>
  <si>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</si>
  <si>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</si>
  <si>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</si>
  <si>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</si>
  <si>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</si>
  <si>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</si>
  <si>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</si>
  <si>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</si>
  <si>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</si>
  <si>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</si>
  <si>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</si>
  <si>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</si>
  <si>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</si>
  <si>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</si>
  <si>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</si>
  <si>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</si>
  <si>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</si>
  <si>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</si>
  <si>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</si>
  <si>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</si>
  <si>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</si>
  <si>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</si>
  <si>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</si>
  <si>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</si>
  <si>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</si>
  <si>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</si>
  <si>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</si>
  <si>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</si>
  <si>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</si>
  <si>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</si>
  <si>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</si>
  <si>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</si>
  <si>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</si>
  <si>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</si>
  <si>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</si>
  <si>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</si>
  <si>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</si>
  <si>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</si>
  <si>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</si>
  <si>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</si>
  <si>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</si>
  <si>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</si>
  <si>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</si>
  <si>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</si>
  <si>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</si>
  <si>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</si>
  <si>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</si>
  <si>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</si>
  <si>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</si>
  <si>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</si>
  <si>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</si>
  <si>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</si>
  <si>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</si>
  <si>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</si>
  <si>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</si>
  <si>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</si>
  <si>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</si>
  <si>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</si>
  <si>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</si>
  <si>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</si>
  <si>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</si>
  <si>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</si>
  <si>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</si>
  <si>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</si>
  <si>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</si>
  <si>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</si>
  <si>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</si>
  <si>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</si>
  <si>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</si>
  <si>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</si>
  <si>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</si>
  <si>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</si>
  <si>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</si>
  <si>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</si>
  <si>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</si>
  <si>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</si>
  <si>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</si>
  <si>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</si>
  <si>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</si>
  <si>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</si>
  <si>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</si>
  <si>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</si>
  <si>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</si>
  <si>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</si>
  <si>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</si>
  <si>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</si>
  <si>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</si>
  <si>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</si>
  <si>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</si>
  <si>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</si>
  <si>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</si>
  <si>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</si>
  <si>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</si>
  <si>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</si>
  <si>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</si>
  <si>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</si>
  <si>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</si>
  <si>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</si>
  <si>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</si>
  <si>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</si>
  <si>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</si>
  <si>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</si>
  <si>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</si>
  <si>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</si>
  <si>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</si>
  <si>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</si>
  <si>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</si>
  <si>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</si>
  <si>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</si>
  <si>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</si>
  <si>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</si>
  <si>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</si>
  <si>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</si>
  <si>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</si>
  <si>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</si>
  <si>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</si>
  <si>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</si>
  <si>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</si>
  <si>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</si>
  <si>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</si>
  <si>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</si>
  <si>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</si>
  <si>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</si>
  <si>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</si>
  <si>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</si>
  <si>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</si>
  <si>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</si>
  <si>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</si>
  <si>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</si>
  <si>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</si>
  <si>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</si>
  <si>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</si>
  <si>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</si>
  <si>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</si>
  <si>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</si>
  <si>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</si>
  <si>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</si>
  <si>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</si>
  <si>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</si>
  <si>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</si>
  <si>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</si>
  <si>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</si>
  <si>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</si>
  <si>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</si>
  <si>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</si>
  <si>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</si>
  <si>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</si>
  <si>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</si>
  <si>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</si>
  <si>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</si>
  <si>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</si>
  <si>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</si>
  <si>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</si>
  <si>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</si>
  <si>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</si>
  <si>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</si>
  <si>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</si>
  <si>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</si>
  <si>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</si>
  <si>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</si>
  <si>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</si>
  <si>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</si>
  <si>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</si>
  <si>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</si>
  <si>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</si>
  <si>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</si>
  <si>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</si>
  <si>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</si>
  <si>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</si>
  <si>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</si>
  <si>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</si>
  <si>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</si>
  <si>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</si>
  <si>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</si>
  <si>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</si>
  <si>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</si>
  <si>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</si>
  <si>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</si>
  <si>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</si>
  <si>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</si>
  <si>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</si>
  <si>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</si>
  <si>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</si>
  <si>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</si>
  <si>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</si>
  <si>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</si>
  <si>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</si>
  <si>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</si>
  <si>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</si>
  <si>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</si>
  <si>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</si>
  <si>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</si>
  <si>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</si>
  <si>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</si>
  <si>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</si>
  <si>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</si>
  <si>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</si>
  <si>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</si>
  <si>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</si>
  <si>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</si>
  <si>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</si>
  <si>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</si>
  <si>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</si>
  <si>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</si>
  <si>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</si>
  <si>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</si>
  <si>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</si>
  <si>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</si>
  <si>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</si>
  <si>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</si>
  <si>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</si>
  <si>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</si>
  <si>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</si>
  <si>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</si>
  <si>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</si>
  <si>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</si>
  <si>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</si>
  <si>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</si>
  <si>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</si>
  <si>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</si>
  <si>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</si>
  <si>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</si>
  <si>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</si>
  <si>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</si>
  <si>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</si>
  <si>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</si>
  <si>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</si>
  <si>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</si>
  <si>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</si>
  <si>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</si>
  <si>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</si>
  <si>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</si>
  <si>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</si>
  <si>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</si>
  <si>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</si>
  <si>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</si>
  <si>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</si>
  <si>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</si>
  <si>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</si>
  <si>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</si>
  <si>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</si>
  <si>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</si>
  <si>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</si>
  <si>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</si>
  <si>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</si>
  <si>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</si>
  <si>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</si>
  <si>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</si>
  <si>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</si>
  <si>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</si>
  <si>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</si>
  <si>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</si>
  <si>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</si>
  <si>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</si>
  <si>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</si>
  <si>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</si>
  <si>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</si>
  <si>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</si>
  <si>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</si>
  <si>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</si>
  <si>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</si>
  <si>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</si>
  <si>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</si>
  <si>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</si>
  <si>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</si>
  <si>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</si>
  <si>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</si>
  <si>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</si>
  <si>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</si>
  <si>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</si>
  <si>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</si>
  <si>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</si>
  <si>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</si>
  <si>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</si>
  <si>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</si>
  <si>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</si>
  <si>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</si>
  <si>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</si>
  <si>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</si>
  <si>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</si>
  <si>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</si>
  <si>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</si>
  <si>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</si>
  <si>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</si>
  <si>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</si>
  <si>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</si>
  <si>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</si>
  <si>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</si>
  <si>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</si>
  <si>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</si>
  <si>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</si>
  <si>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</si>
  <si>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</si>
  <si>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</si>
  <si>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</si>
  <si>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</si>
  <si>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</si>
  <si>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</si>
  <si>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</si>
  <si>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</si>
  <si>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</si>
  <si>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</si>
  <si>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</si>
  <si>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</si>
  <si>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</si>
  <si>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</si>
  <si>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</si>
  <si>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</si>
  <si>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</si>
  <si>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</si>
  <si>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</si>
  <si>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</si>
  <si>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</si>
  <si>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</si>
  <si>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</si>
  <si>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</si>
  <si>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</si>
  <si>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</si>
  <si>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</si>
  <si>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</si>
  <si>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</si>
  <si>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</si>
  <si>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</si>
  <si>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</si>
  <si>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</si>
  <si>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</si>
  <si>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</si>
  <si>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</si>
  <si>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</si>
  <si>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</si>
  <si>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</si>
  <si>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</si>
  <si>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</si>
  <si>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</si>
  <si>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</si>
  <si>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</si>
  <si>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</si>
  <si>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</si>
  <si>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</si>
  <si>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</si>
  <si>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</si>
  <si>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</si>
  <si>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</si>
  <si>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</si>
  <si>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</si>
  <si>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</si>
  <si>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</si>
  <si>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</si>
  <si>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</si>
  <si>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</si>
  <si>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</si>
  <si>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</si>
  <si>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</si>
  <si>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</si>
  <si>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</si>
  <si>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</si>
  <si>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</si>
  <si>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</si>
  <si>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</si>
  <si>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</si>
  <si>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</si>
  <si>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</si>
  <si>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</si>
  <si>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</si>
  <si>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</si>
  <si>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</si>
  <si>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</si>
  <si>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</si>
  <si>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</si>
  <si>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</si>
  <si>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</si>
  <si>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</si>
  <si>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</si>
  <si>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</si>
  <si>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</si>
  <si>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</si>
  <si>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</si>
  <si>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</si>
  <si>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</si>
  <si>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</si>
  <si>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</si>
  <si>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</si>
  <si>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</si>
  <si>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</si>
  <si>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</si>
  <si>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</si>
  <si>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</si>
  <si>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</si>
  <si>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</si>
  <si>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</si>
  <si>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</si>
  <si>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</si>
  <si>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</si>
  <si>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</si>
  <si>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</si>
  <si>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</si>
  <si>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</si>
  <si>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</si>
  <si>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</si>
  <si>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</si>
  <si>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</si>
  <si>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</si>
  <si>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</si>
  <si>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</si>
  <si>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</si>
  <si>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</si>
  <si>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</si>
  <si>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</si>
  <si>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</si>
  <si>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</si>
  <si>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</si>
  <si>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</si>
  <si>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</si>
  <si>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</si>
  <si>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</si>
  <si>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</si>
  <si>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</si>
  <si>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</si>
  <si>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</si>
  <si>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</si>
  <si>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</si>
  <si>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</si>
  <si>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</si>
  <si>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</si>
  <si>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</si>
  <si>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</si>
  <si>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</si>
  <si>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</si>
  <si>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</si>
  <si>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</si>
  <si>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</si>
  <si>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</si>
  <si>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</si>
  <si>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</si>
  <si>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</si>
  <si>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</si>
  <si>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</si>
  <si>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</si>
  <si>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</si>
  <si>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</si>
  <si>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</si>
  <si>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</si>
  <si>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</si>
  <si>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</si>
  <si>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</si>
  <si>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</si>
  <si>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</si>
  <si>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</si>
  <si>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</si>
  <si>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</si>
  <si>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</si>
  <si>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</si>
  <si>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</si>
  <si>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</si>
  <si>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</si>
  <si>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</si>
  <si>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</si>
  <si>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</si>
  <si>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</si>
  <si>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</si>
  <si>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09/30/2021</t>
  </si>
  <si>
    <t>014</t>
  </si>
  <si>
    <t>Seattle Children's</t>
  </si>
  <si>
    <t>P.O. Box 5371</t>
  </si>
  <si>
    <t xml:space="preserve">Seattle  </t>
  </si>
  <si>
    <t>WA</t>
  </si>
  <si>
    <t>King</t>
  </si>
  <si>
    <t>Dr. Jeffrey Sperring</t>
  </si>
  <si>
    <t>Suzanne Beitel</t>
  </si>
  <si>
    <t>Susan Mask</t>
  </si>
  <si>
    <t>206 987-2000</t>
  </si>
  <si>
    <t>206 987-3830</t>
  </si>
  <si>
    <t>09/30/2022</t>
  </si>
  <si>
    <t>Seattle Children's Hospital</t>
  </si>
  <si>
    <t>PO Box 5371</t>
  </si>
  <si>
    <t>Seattle</t>
  </si>
  <si>
    <t>98145-5005</t>
  </si>
  <si>
    <t>Dr. Jeff Sperring</t>
  </si>
  <si>
    <t>Joel French</t>
  </si>
  <si>
    <t>206-987-2000</t>
  </si>
  <si>
    <t>update Joo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</si>
</sst>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3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  <xf numFmtId="0" fontId="2" fillId="0" borderId="0"/>
    <xf numFmtId="43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</cellStyleXfs>
  <cellXfs count="350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3" fillId="0" borderId="0" xfId="0" applyFont="1"/>
    <xf numFmtId="37" fontId="12" fillId="0" borderId="0" xfId="0" applyFont="1"/>
    <xf numFmtId="37" fontId="14" fillId="0" borderId="0" xfId="0" applyFont="1"/>
    <xf numFmtId="37" fontId="14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6" fillId="0" borderId="1" xfId="1" quotePrefix="1" applyNumberFormat="1" applyFont="1" applyBorder="1" applyProtection="1">
      <protection locked="0"/>
    </xf>
    <xf numFmtId="37" fontId="16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6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2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7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3" fillId="0" borderId="0" xfId="0" quotePrefix="1" applyFont="1" applyAlignment="1">
      <alignment horizontal="left"/>
    </xf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8" fillId="0" borderId="4" xfId="0" applyFont="1" applyBorder="1"/>
    <xf numFmtId="37" fontId="22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2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2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8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8" fillId="0" borderId="14" xfId="0" applyFont="1" applyBorder="1"/>
    <xf numFmtId="37" fontId="23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37" fontId="24" fillId="0" borderId="1" xfId="0" quotePrefix="1" applyFont="1" applyBorder="1" applyProtection="1">
      <protection locked="0"/>
    </xf>
    <xf numFmtId="37" fontId="24" fillId="0" borderId="1" xfId="1" quotePrefix="1" applyNumberFormat="1" applyFont="1" applyBorder="1" applyProtection="1">
      <protection locked="0"/>
    </xf>
    <xf numFmtId="37" fontId="24" fillId="0" borderId="1" xfId="0" applyFont="1" applyBorder="1" applyProtection="1">
      <protection locked="0"/>
    </xf>
    <xf numFmtId="38" fontId="24" fillId="4" borderId="1" xfId="0" applyNumberFormat="1" applyFont="1" applyFill="1" applyBorder="1" applyProtection="1">
      <protection locked="0"/>
    </xf>
    <xf numFmtId="49" fontId="24" fillId="4" borderId="1" xfId="0" quotePrefix="1" applyNumberFormat="1" applyFont="1" applyFill="1" applyBorder="1" applyProtection="1">
      <protection locked="0"/>
    </xf>
    <xf numFmtId="38" fontId="24" fillId="4" borderId="1" xfId="0" quotePrefix="1" applyNumberFormat="1" applyFont="1" applyFill="1" applyBorder="1" applyProtection="1">
      <protection locked="0"/>
    </xf>
    <xf numFmtId="38" fontId="24" fillId="4" borderId="14" xfId="0" applyNumberFormat="1" applyFont="1" applyFill="1" applyBorder="1" applyProtection="1">
      <protection locked="0"/>
    </xf>
    <xf numFmtId="37" fontId="24" fillId="4" borderId="1" xfId="0" applyFont="1" applyFill="1" applyBorder="1" applyProtection="1">
      <protection locked="0"/>
    </xf>
    <xf numFmtId="38" fontId="24" fillId="4" borderId="1" xfId="0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5" fillId="3" borderId="0" xfId="0" applyFont="1" applyFill="1"/>
    <xf numFmtId="37" fontId="24" fillId="0" borderId="1" xfId="1" applyNumberFormat="1" applyFont="1" applyBorder="1" applyProtection="1">
      <protection locked="0"/>
    </xf>
    <xf numFmtId="37" fontId="24" fillId="0" borderId="1" xfId="4" quotePrefix="1" applyNumberFormat="1" applyFont="1" applyBorder="1" applyProtection="1">
      <protection locked="0"/>
    </xf>
    <xf numFmtId="37" fontId="25" fillId="3" borderId="0" xfId="0" quotePrefix="1" applyFont="1" applyFill="1" applyAlignment="1">
      <alignment horizontal="fill"/>
    </xf>
    <xf numFmtId="39" fontId="25" fillId="3" borderId="0" xfId="0" quotePrefix="1" applyNumberFormat="1" applyFont="1" applyFill="1" applyAlignment="1">
      <alignment horizontal="fill"/>
    </xf>
    <xf numFmtId="37" fontId="25" fillId="0" borderId="0" xfId="0" applyFont="1"/>
    <xf numFmtId="43" fontId="12" fillId="7" borderId="0" xfId="1" applyFont="1" applyFill="1"/>
    <xf numFmtId="37" fontId="25" fillId="7" borderId="0" xfId="0" quotePrefix="1" applyFont="1" applyFill="1" applyAlignment="1">
      <alignment horizontal="fill"/>
    </xf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24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8" fillId="0" borderId="0" xfId="0" applyNumberFormat="1" applyFont="1"/>
    <xf numFmtId="37" fontId="25" fillId="0" borderId="0" xfId="0" applyFont="1" applyProtection="1">
      <protection locked="0"/>
    </xf>
    <xf numFmtId="1" fontId="24" fillId="0" borderId="1" xfId="0" quotePrefix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24" fillId="0" borderId="1" xfId="0" quotePrefix="1" applyNumberFormat="1" applyFont="1" applyBorder="1" applyProtection="1">
      <protection locked="0"/>
    </xf>
    <xf numFmtId="2" fontId="24" fillId="0" borderId="1" xfId="1" quotePrefix="1" applyNumberFormat="1" applyFont="1" applyBorder="1" applyProtection="1">
      <protection locked="0"/>
    </xf>
    <xf numFmtId="2" fontId="24" fillId="0" borderId="1" xfId="4" quotePrefix="1" applyNumberFormat="1" applyFont="1" applyBorder="1" applyProtection="1">
      <protection locked="0"/>
    </xf>
    <xf numFmtId="2" fontId="24" fillId="0" borderId="1" xfId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fill"/>
    </xf>
    <xf numFmtId="166" fontId="24" fillId="4" borderId="14" xfId="0" applyNumberFormat="1" applyFont="1" applyFill="1" applyBorder="1" applyAlignment="1" applyProtection="1">
      <alignment horizontal="left"/>
      <protection locked="0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25" fillId="7" borderId="0" xfId="1" applyNumberFormat="1" applyFont="1" applyFill="1"/>
    <xf numFmtId="37" fontId="12" fillId="7" borderId="0" xfId="0" quotePrefix="1" applyFont="1" applyFill="1" applyAlignment="1">
      <alignment horizontal="fill"/>
    </xf>
    <xf numFmtId="0" fontId="25" fillId="3" borderId="0" xfId="0" quotePrefix="1" applyNumberFormat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7" fontId="25" fillId="7" borderId="0" xfId="0" applyFont="1" applyFill="1"/>
    <xf numFmtId="37" fontId="8" fillId="7" borderId="0" xfId="0" applyFont="1" applyFill="1"/>
    <xf numFmtId="37" fontId="25" fillId="0" borderId="1" xfId="0" applyFont="1" applyBorder="1" applyProtection="1">
      <protection locked="0"/>
    </xf>
    <xf numFmtId="37" fontId="12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12" fillId="0" borderId="0" xfId="0" applyFont="1" applyAlignment="1">
      <alignment horizontal="right" vertical="center"/>
    </xf>
    <xf numFmtId="37" fontId="12" fillId="0" borderId="0" xfId="0" applyFont="1" applyAlignment="1">
      <alignment horizontal="right" vertical="center" wrapText="1"/>
    </xf>
    <xf numFmtId="37" fontId="8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31" fillId="0" borderId="1" xfId="0" applyFont="1" applyBorder="1" applyProtection="1">
      <protection locked="0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7" fillId="0" borderId="14" xfId="2" applyBorder="1">
      <alignment vertical="top"/>
      <protection locked="0"/>
    </xf>
    <xf numFmtId="37" fontId="4" fillId="0" borderId="0" xfId="0" applyFont="1"/>
    <xf numFmtId="37" fontId="4" fillId="0" borderId="0" xfId="0" quotePrefix="1" applyFont="1" applyAlignment="1">
      <alignment vertical="center" readingOrder="1"/>
    </xf>
    <xf numFmtId="37" fontId="4" fillId="0" borderId="0" xfId="0" quotePrefix="1" applyFont="1"/>
    <xf numFmtId="37" fontId="19" fillId="0" borderId="0" xfId="0" applyFont="1"/>
    <xf numFmtId="0" fontId="15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4" fillId="11" borderId="0" xfId="0" applyFont="1" applyFill="1"/>
    <xf numFmtId="38" fontId="4" fillId="11" borderId="0" xfId="0" applyNumberFormat="1" applyFont="1" applyFill="1"/>
    <xf numFmtId="37" fontId="4" fillId="11" borderId="0" xfId="0" quotePrefix="1" applyFont="1" applyFill="1" applyAlignment="1">
      <alignment vertical="center" readingOrder="1"/>
    </xf>
    <xf numFmtId="37" fontId="4" fillId="11" borderId="0" xfId="0" quotePrefix="1" applyFont="1" applyFill="1" applyAlignment="1">
      <alignment horizontal="left"/>
    </xf>
    <xf numFmtId="37" fontId="4" fillId="11" borderId="0" xfId="0" quotePrefix="1" applyFont="1" applyFill="1"/>
    <xf numFmtId="37" fontId="4" fillId="11" borderId="0" xfId="0" applyFont="1" applyFill="1" applyAlignment="1">
      <alignment vertical="center" readingOrder="1"/>
    </xf>
    <xf numFmtId="37" fontId="3" fillId="11" borderId="0" xfId="0" quotePrefix="1" applyFont="1" applyFill="1"/>
    <xf numFmtId="168" fontId="24" fillId="4" borderId="1" xfId="0" quotePrefix="1" applyNumberFormat="1" applyFont="1" applyFill="1" applyBorder="1" applyAlignment="1" applyProtection="1">
      <alignment horizontal="left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24" fillId="4" borderId="1" xfId="5" quotePrefix="1" applyNumberFormat="1" applyFont="1" applyFill="1" applyBorder="1" applyProtection="1">
      <protection locked="0"/>
    </xf>
    <xf numFmtId="166" fontId="16" fillId="4" borderId="14" xfId="0" quotePrefix="1" applyNumberFormat="1" applyFont="1" applyFill="1" applyBorder="1" applyAlignment="1" applyProtection="1">
      <alignment horizontal="left"/>
      <protection locked="0"/>
    </xf>
    <xf numFmtId="0" fontId="7" fillId="0" borderId="0" xfId="2">
      <alignment vertical="top"/>
      <protection locked="0"/>
    </xf>
    <xf numFmtId="37" fontId="24" fillId="0" borderId="1" xfId="7" quotePrefix="1" applyNumberFormat="1" applyFont="1" applyBorder="1" applyProtection="1">
      <protection locked="0"/>
    </xf>
    <xf numFmtId="37" fontId="25" fillId="3" borderId="0" xfId="6" applyNumberFormat="1" applyFont="1" applyFill="1" applyProtection="1"/>
    <xf numFmtId="39" fontId="24" fillId="0" borderId="1" xfId="8" quotePrefix="1" applyNumberFormat="1" applyFont="1" applyBorder="1" applyProtection="1">
      <protection locked="0"/>
    </xf>
    <xf numFmtId="37" fontId="24" fillId="0" borderId="1" xfId="6" quotePrefix="1" applyNumberFormat="1" applyFont="1" applyBorder="1" applyProtection="1">
      <protection locked="0"/>
    </xf>
    <xf numFmtId="37" fontId="24" fillId="0" borderId="1" xfId="7" applyNumberFormat="1" applyFont="1" applyBorder="1" applyProtection="1">
      <protection locked="0"/>
    </xf>
    <xf numFmtId="37" fontId="25" fillId="3" borderId="0" xfId="7" quotePrefix="1" applyNumberFormat="1" applyFont="1" applyFill="1" applyAlignment="1">
      <alignment horizontal="fill"/>
    </xf>
    <xf numFmtId="37" fontId="25" fillId="3" borderId="0" xfId="7" applyNumberFormat="1" applyFont="1" applyFill="1"/>
    <xf numFmtId="169" fontId="24" fillId="0" borderId="1" xfId="6" quotePrefix="1" applyNumberFormat="1" applyFont="1" applyBorder="1" applyProtection="1">
      <protection locked="0"/>
    </xf>
    <xf numFmtId="39" fontId="24" fillId="0" borderId="1" xfId="7" applyNumberFormat="1" applyFont="1" applyBorder="1" applyProtection="1">
      <protection locked="0"/>
    </xf>
    <xf numFmtId="39" fontId="25" fillId="3" borderId="0" xfId="7" quotePrefix="1" applyNumberFormat="1" applyFont="1" applyFill="1" applyAlignment="1">
      <alignment horizontal="fill"/>
    </xf>
    <xf numFmtId="37" fontId="16" fillId="8" borderId="1" xfId="0" applyFont="1" applyFill="1" applyBorder="1" applyProtection="1">
      <protection locked="0"/>
    </xf>
    <xf numFmtId="37" fontId="16" fillId="8" borderId="0" xfId="0" applyFont="1" applyFill="1" applyAlignment="1">
      <alignment horizontal="centerContinuous"/>
    </xf>
    <xf numFmtId="37" fontId="16" fillId="3" borderId="0" xfId="0" applyFont="1" applyFill="1" applyAlignment="1">
      <alignment horizontal="center" vertical="center"/>
    </xf>
  </cellXfs>
  <cellStyles count="9">
    <cellStyle name="Comma" xfId="1" builtinId="3"/>
    <cellStyle name="Comma_data" xfId="6" xr:uid="{FC3EA968-3144-4522-8882-F7186E8B2F6D}"/>
    <cellStyle name="Hyperlink" xfId="2" builtinId="8"/>
    <cellStyle name="Normal" xfId="0" builtinId="0"/>
    <cellStyle name="Normal 2" xfId="3" xr:uid="{B190D761-ADDB-4CFB-8149-54EEFCE0B1C0}"/>
    <cellStyle name="Normal_data" xfId="5" xr:uid="{393CF7BD-750F-45F3-A0C5-7653C966EA66}"/>
    <cellStyle name="Normal_data_1" xfId="7" xr:uid="{F336D54E-4F35-44A4-819D-B1E8B8D7322D}"/>
    <cellStyle name="Percent" xfId="4" builtinId="5"/>
    <cellStyle name="Percent_data" xfId="8" xr:uid="{8E2C30F8-D562-442A-AB1C-D70A753948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94" transitionEvaluation="1" transitionEntry="1" codeName="Sheet1">
    <tabColor rgb="FF92D050"/>
    <pageSetUpPr autoPageBreaks="0" fitToPage="1"/>
  </sheetPr>
  <dimension ref="A1:CF716"/>
  <sheetViews>
    <sheetView tabSelected="1" topLeftCell="A94" zoomScaleNormal="100" workbookViewId="0">
      <selection activeCell="C353" sqref="C353"/>
    </sheetView>
  </sheetViews>
  <sheetFormatPr defaultColWidth="11.75" defaultRowHeight="14.5" x14ac:dyDescent="0.35"/>
  <cols>
    <col min="1" max="1" width="44.4140625" style="12" customWidth="1"/>
    <col min="2" max="82" width="13.58203125" style="12" customWidth="1"/>
    <col min="83" max="83" width="15.9140625" style="12" customWidth="1"/>
    <col min="84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4" t="s">
        <v>18</v>
      </c>
      <c r="B36" s="325"/>
      <c r="C36" s="326"/>
      <c r="D36" s="325"/>
      <c r="E36" s="325"/>
      <c r="F36" s="325"/>
      <c r="G36" s="325"/>
    </row>
    <row r="37" spans="1:83" x14ac:dyDescent="0.35">
      <c r="A37" s="327" t="s">
        <v>1342</v>
      </c>
      <c r="B37" s="328"/>
      <c r="C37" s="326"/>
      <c r="D37" s="325"/>
      <c r="E37" s="325"/>
      <c r="F37" s="325"/>
      <c r="G37" s="325"/>
    </row>
    <row r="38" spans="1:83" x14ac:dyDescent="0.35">
      <c r="A38" s="331" t="s">
        <v>1361</v>
      </c>
      <c r="B38" s="328"/>
      <c r="C38" s="326"/>
      <c r="D38" s="325"/>
      <c r="E38" s="325"/>
      <c r="F38" s="325"/>
      <c r="G38" s="325"/>
    </row>
    <row r="39" spans="1:83" x14ac:dyDescent="0.35">
      <c r="A39" s="330" t="s">
        <v>1343</v>
      </c>
      <c r="B39" s="325"/>
      <c r="C39" s="326"/>
      <c r="D39" s="325"/>
      <c r="E39" s="325"/>
      <c r="F39" s="325"/>
      <c r="G39" s="325"/>
    </row>
    <row r="40" spans="1:83" x14ac:dyDescent="0.35">
      <c r="A40" s="331" t="s">
        <v>1362</v>
      </c>
      <c r="B40" s="325"/>
      <c r="C40" s="326"/>
      <c r="D40" s="325"/>
      <c r="E40" s="325"/>
      <c r="F40" s="325"/>
      <c r="G40" s="32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211794755.63999999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211794755.63999999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312">
        <v>142550848.65000001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142550848.65000001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337">
        <v>0</v>
      </c>
      <c r="D59" s="337">
        <v>1699263</v>
      </c>
      <c r="E59" s="337">
        <v>1125810</v>
      </c>
      <c r="F59" s="337">
        <v>2121880</v>
      </c>
      <c r="G59" s="337">
        <v>0</v>
      </c>
      <c r="H59" s="337">
        <v>1330727</v>
      </c>
      <c r="I59" s="337">
        <v>41686</v>
      </c>
      <c r="J59" s="337">
        <v>12571</v>
      </c>
      <c r="K59" s="337">
        <v>9453</v>
      </c>
      <c r="L59" s="337">
        <v>118434</v>
      </c>
      <c r="M59" s="337">
        <v>1292</v>
      </c>
      <c r="N59" s="337">
        <v>1463</v>
      </c>
      <c r="O59" s="337">
        <v>583</v>
      </c>
      <c r="P59" s="337">
        <v>0</v>
      </c>
      <c r="Q59" s="337">
        <v>10315</v>
      </c>
      <c r="R59" s="337">
        <v>173247</v>
      </c>
      <c r="S59" s="338"/>
      <c r="T59" s="338"/>
      <c r="U59" s="337">
        <v>0</v>
      </c>
      <c r="V59" s="337">
        <v>0</v>
      </c>
      <c r="W59" s="337">
        <v>0</v>
      </c>
      <c r="X59" s="337">
        <v>72872</v>
      </c>
      <c r="Y59" s="337">
        <v>52189</v>
      </c>
      <c r="Z59" s="337">
        <v>0</v>
      </c>
      <c r="AA59" s="337">
        <v>0</v>
      </c>
      <c r="AB59" s="338"/>
      <c r="AC59" s="337">
        <v>0</v>
      </c>
      <c r="AD59" s="337">
        <v>0</v>
      </c>
      <c r="AE59" s="337">
        <v>0</v>
      </c>
      <c r="AF59" s="337">
        <v>0</v>
      </c>
      <c r="AG59" s="337">
        <v>59</v>
      </c>
      <c r="AH59" s="337">
        <v>0</v>
      </c>
      <c r="AI59" s="337">
        <v>504</v>
      </c>
      <c r="AJ59" s="337">
        <v>0</v>
      </c>
      <c r="AK59" s="337">
        <v>0</v>
      </c>
      <c r="AL59" s="337">
        <v>250992</v>
      </c>
      <c r="AM59" s="337">
        <v>0</v>
      </c>
      <c r="AN59" s="337">
        <v>0</v>
      </c>
      <c r="AO59" s="337">
        <v>0</v>
      </c>
      <c r="AP59" s="337">
        <v>0</v>
      </c>
      <c r="AQ59" s="337">
        <v>0</v>
      </c>
      <c r="AR59" s="337">
        <v>0</v>
      </c>
      <c r="AS59" s="337">
        <v>0</v>
      </c>
      <c r="AT59" s="337">
        <v>0</v>
      </c>
      <c r="AU59" s="337">
        <v>0</v>
      </c>
      <c r="AV59" s="338"/>
      <c r="AW59" s="338"/>
      <c r="AX59" s="338"/>
      <c r="AY59" s="337">
        <v>986903</v>
      </c>
      <c r="AZ59" s="337">
        <v>0</v>
      </c>
      <c r="BA59" s="338"/>
      <c r="BB59" s="338"/>
      <c r="BC59" s="338"/>
      <c r="BD59" s="338"/>
      <c r="BE59" s="337">
        <v>2116017</v>
      </c>
      <c r="BF59" s="338"/>
      <c r="BG59" s="338"/>
      <c r="BH59" s="338"/>
      <c r="BI59" s="338"/>
      <c r="BJ59" s="338"/>
      <c r="BK59" s="338"/>
      <c r="BL59" s="338"/>
      <c r="BM59" s="338"/>
      <c r="BN59" s="338"/>
      <c r="BO59" s="338"/>
      <c r="BP59" s="338"/>
      <c r="BQ59" s="338"/>
      <c r="BR59" s="338"/>
      <c r="BS59" s="338"/>
      <c r="BT59" s="338"/>
      <c r="BU59" s="338"/>
      <c r="BV59" s="338"/>
      <c r="BW59" s="338"/>
      <c r="BX59" s="338"/>
      <c r="BY59" s="338"/>
      <c r="BZ59" s="338"/>
      <c r="CA59" s="338"/>
      <c r="CB59" s="338"/>
      <c r="CC59" s="338"/>
      <c r="CD59" s="264"/>
      <c r="CE59" s="32"/>
    </row>
    <row r="60" spans="1:83" s="225" customFormat="1" x14ac:dyDescent="0.35">
      <c r="A60" s="241" t="s">
        <v>247</v>
      </c>
      <c r="B60" s="242"/>
      <c r="C60" s="339">
        <v>431.53080920461548</v>
      </c>
      <c r="D60" s="339">
        <v>0</v>
      </c>
      <c r="E60" s="339">
        <v>579.38299511489004</v>
      </c>
      <c r="F60" s="339">
        <v>0</v>
      </c>
      <c r="G60" s="339">
        <v>36.103077092074173</v>
      </c>
      <c r="H60" s="339">
        <v>166.53330553159344</v>
      </c>
      <c r="I60" s="339">
        <v>0</v>
      </c>
      <c r="J60" s="339">
        <v>0</v>
      </c>
      <c r="K60" s="339">
        <v>0</v>
      </c>
      <c r="L60" s="339">
        <v>0</v>
      </c>
      <c r="M60" s="339">
        <v>0</v>
      </c>
      <c r="N60" s="339">
        <v>0</v>
      </c>
      <c r="O60" s="339">
        <v>0</v>
      </c>
      <c r="P60" s="339">
        <v>224.18450126932694</v>
      </c>
      <c r="Q60" s="339">
        <v>98.721928923434064</v>
      </c>
      <c r="R60" s="339">
        <v>32.597740020068684</v>
      </c>
      <c r="S60" s="339">
        <v>123.63128344387125</v>
      </c>
      <c r="T60" s="339">
        <v>12.801023690054945</v>
      </c>
      <c r="U60" s="339">
        <v>226.16063253950551</v>
      </c>
      <c r="V60" s="339">
        <v>63.511522811881868</v>
      </c>
      <c r="W60" s="339">
        <v>10.817882141620879</v>
      </c>
      <c r="X60" s="339">
        <v>10.701446265247256</v>
      </c>
      <c r="Y60" s="339">
        <v>115.40713551024724</v>
      </c>
      <c r="Z60" s="339">
        <v>9.2802117116758236</v>
      </c>
      <c r="AA60" s="339">
        <v>3.9301151518681325</v>
      </c>
      <c r="AB60" s="339">
        <v>195.8806705471566</v>
      </c>
      <c r="AC60" s="339">
        <v>122.74826531734888</v>
      </c>
      <c r="AD60" s="339">
        <v>30.906872095206044</v>
      </c>
      <c r="AE60" s="339">
        <v>91.083746583241748</v>
      </c>
      <c r="AF60" s="339">
        <v>137.15829414809065</v>
      </c>
      <c r="AG60" s="339">
        <v>136.21147375472981</v>
      </c>
      <c r="AH60" s="339">
        <v>31.527100404505504</v>
      </c>
      <c r="AI60" s="339">
        <v>0</v>
      </c>
      <c r="AJ60" s="339">
        <v>1051.56070452056</v>
      </c>
      <c r="AK60" s="339">
        <v>27.112435829739017</v>
      </c>
      <c r="AL60" s="339">
        <v>19.162379529766483</v>
      </c>
      <c r="AM60" s="339">
        <v>29.175504410370877</v>
      </c>
      <c r="AN60" s="339">
        <v>0</v>
      </c>
      <c r="AO60" s="339">
        <v>0</v>
      </c>
      <c r="AP60" s="339">
        <v>0</v>
      </c>
      <c r="AQ60" s="339">
        <v>0</v>
      </c>
      <c r="AR60" s="339">
        <v>64.171143863067314</v>
      </c>
      <c r="AS60" s="339">
        <v>0</v>
      </c>
      <c r="AT60" s="339">
        <v>2.2782515177884615</v>
      </c>
      <c r="AU60" s="339">
        <v>0</v>
      </c>
      <c r="AV60" s="339">
        <v>55.321258477582411</v>
      </c>
      <c r="AW60" s="339">
        <v>1233.1532339576083</v>
      </c>
      <c r="AX60" s="339">
        <v>0</v>
      </c>
      <c r="AY60" s="339">
        <v>178.55626237392858</v>
      </c>
      <c r="AZ60" s="339">
        <v>2.0536288962912082</v>
      </c>
      <c r="BA60" s="339">
        <v>5.3092092360714291</v>
      </c>
      <c r="BB60" s="339">
        <v>145.44231912335164</v>
      </c>
      <c r="BC60" s="339">
        <v>5.7495390746565933</v>
      </c>
      <c r="BD60" s="339">
        <v>31.402610635686809</v>
      </c>
      <c r="BE60" s="339">
        <v>253.57438998428023</v>
      </c>
      <c r="BF60" s="339">
        <v>171.47504722365386</v>
      </c>
      <c r="BG60" s="339">
        <v>23.965061222649723</v>
      </c>
      <c r="BH60" s="339">
        <v>291.29691337672523</v>
      </c>
      <c r="BI60" s="339">
        <v>39.290620110384609</v>
      </c>
      <c r="BJ60" s="339">
        <v>51.615695730879125</v>
      </c>
      <c r="BK60" s="339">
        <v>208.29413485129118</v>
      </c>
      <c r="BL60" s="339">
        <v>114.22043491646977</v>
      </c>
      <c r="BM60" s="339">
        <v>0</v>
      </c>
      <c r="BN60" s="339">
        <v>88.416374632706038</v>
      </c>
      <c r="BO60" s="339">
        <v>16.509906074958792</v>
      </c>
      <c r="BP60" s="339">
        <v>44.036864898791208</v>
      </c>
      <c r="BQ60" s="339">
        <v>49.672130186222532</v>
      </c>
      <c r="BR60" s="339">
        <v>105.08096210509616</v>
      </c>
      <c r="BS60" s="339">
        <v>-0.11799313186813173</v>
      </c>
      <c r="BT60" s="339">
        <v>6.4722789773489016</v>
      </c>
      <c r="BU60" s="339">
        <v>2.382092005837912</v>
      </c>
      <c r="BV60" s="339">
        <v>33.753763188173082</v>
      </c>
      <c r="BW60" s="339">
        <v>28.779571768021977</v>
      </c>
      <c r="BX60" s="339">
        <v>102.65224382050822</v>
      </c>
      <c r="BY60" s="339">
        <v>78.582966971254336</v>
      </c>
      <c r="BZ60" s="339">
        <v>72.23107153295328</v>
      </c>
      <c r="CA60" s="339">
        <v>0</v>
      </c>
      <c r="CB60" s="339">
        <v>0</v>
      </c>
      <c r="CC60" s="339">
        <v>387.39637912739204</v>
      </c>
      <c r="CD60" s="247" t="s">
        <v>233</v>
      </c>
      <c r="CE60" s="268">
        <f t="shared" ref="CE60:CE68" si="4">SUM(C60:CD60)</f>
        <v>7910.8414242924509</v>
      </c>
    </row>
    <row r="61" spans="1:83" x14ac:dyDescent="0.35">
      <c r="A61" s="39" t="s">
        <v>248</v>
      </c>
      <c r="B61" s="20"/>
      <c r="C61" s="337">
        <v>44624772.090000011</v>
      </c>
      <c r="D61" s="337">
        <v>0</v>
      </c>
      <c r="E61" s="337">
        <v>52576318.830000006</v>
      </c>
      <c r="F61" s="337">
        <v>0</v>
      </c>
      <c r="G61" s="337">
        <v>3775143.9499999993</v>
      </c>
      <c r="H61" s="337">
        <v>11749673.470000001</v>
      </c>
      <c r="I61" s="337">
        <v>0</v>
      </c>
      <c r="J61" s="337">
        <v>0</v>
      </c>
      <c r="K61" s="337">
        <v>0</v>
      </c>
      <c r="L61" s="337">
        <v>0</v>
      </c>
      <c r="M61" s="337">
        <v>0</v>
      </c>
      <c r="N61" s="337">
        <v>0</v>
      </c>
      <c r="O61" s="337">
        <v>0</v>
      </c>
      <c r="P61" s="337">
        <v>22114786.069999997</v>
      </c>
      <c r="Q61" s="337">
        <v>10637658.000000002</v>
      </c>
      <c r="R61" s="337">
        <v>2442435.9</v>
      </c>
      <c r="S61" s="337">
        <v>8444033.0800000001</v>
      </c>
      <c r="T61" s="337">
        <v>1712929.5399999998</v>
      </c>
      <c r="U61" s="337">
        <v>23140841.060000002</v>
      </c>
      <c r="V61" s="337">
        <v>6486606.96</v>
      </c>
      <c r="W61" s="337">
        <v>1376021.1100000003</v>
      </c>
      <c r="X61" s="337">
        <v>1290221.6399999999</v>
      </c>
      <c r="Y61" s="337">
        <v>11934438.219999999</v>
      </c>
      <c r="Z61" s="337">
        <v>900417.24</v>
      </c>
      <c r="AA61" s="337">
        <v>502914.01999999996</v>
      </c>
      <c r="AB61" s="337">
        <v>23061712.949999999</v>
      </c>
      <c r="AC61" s="337">
        <v>11519212.979999999</v>
      </c>
      <c r="AD61" s="337">
        <v>3640189.1100000003</v>
      </c>
      <c r="AE61" s="337">
        <v>10128472.049999999</v>
      </c>
      <c r="AF61" s="337">
        <v>14627118.219999997</v>
      </c>
      <c r="AG61" s="337">
        <v>13095584.439999999</v>
      </c>
      <c r="AH61" s="337">
        <v>4455615.1599999992</v>
      </c>
      <c r="AI61" s="337">
        <v>0</v>
      </c>
      <c r="AJ61" s="337">
        <v>113753150.31</v>
      </c>
      <c r="AK61" s="337">
        <v>2836676.82</v>
      </c>
      <c r="AL61" s="337">
        <v>2081045.9</v>
      </c>
      <c r="AM61" s="337">
        <v>2182905.4</v>
      </c>
      <c r="AN61" s="337">
        <v>0</v>
      </c>
      <c r="AO61" s="337">
        <v>0</v>
      </c>
      <c r="AP61" s="337">
        <v>0</v>
      </c>
      <c r="AQ61" s="337">
        <v>0</v>
      </c>
      <c r="AR61" s="337">
        <v>6059273.1900000004</v>
      </c>
      <c r="AS61" s="337">
        <v>0</v>
      </c>
      <c r="AT61" s="337">
        <v>380927.33999999997</v>
      </c>
      <c r="AU61" s="337">
        <v>0</v>
      </c>
      <c r="AV61" s="337">
        <v>5100901.91</v>
      </c>
      <c r="AW61" s="337">
        <v>107782420.05000001</v>
      </c>
      <c r="AX61" s="337">
        <v>0</v>
      </c>
      <c r="AY61" s="337"/>
      <c r="AZ61" s="337">
        <v>109035.8</v>
      </c>
      <c r="BA61" s="337">
        <v>275596.61</v>
      </c>
      <c r="BB61" s="337">
        <v>13501739.66</v>
      </c>
      <c r="BC61" s="337">
        <v>292400.61000000004</v>
      </c>
      <c r="BD61" s="337">
        <v>2714108.2700000005</v>
      </c>
      <c r="BE61" s="337">
        <v>21058788.130000003</v>
      </c>
      <c r="BF61" s="337">
        <v>10108728.819999998</v>
      </c>
      <c r="BG61" s="337">
        <v>2202585.3000000003</v>
      </c>
      <c r="BH61" s="337">
        <v>37402016.340000004</v>
      </c>
      <c r="BI61" s="337">
        <v>3802961.7899999996</v>
      </c>
      <c r="BJ61" s="337">
        <v>5961829.3800000008</v>
      </c>
      <c r="BK61" s="337">
        <v>16571172.369999999</v>
      </c>
      <c r="BL61" s="337">
        <v>7057150.0800000001</v>
      </c>
      <c r="BM61" s="337">
        <v>0</v>
      </c>
      <c r="BN61" s="337">
        <v>19558250.469999999</v>
      </c>
      <c r="BO61" s="337">
        <v>1621362.07</v>
      </c>
      <c r="BP61" s="337">
        <v>4642451.78</v>
      </c>
      <c r="BQ61" s="337">
        <v>6386916.1299999999</v>
      </c>
      <c r="BR61" s="337">
        <v>13064389.68</v>
      </c>
      <c r="BS61" s="337">
        <v>-7687.8100000000013</v>
      </c>
      <c r="BT61" s="337">
        <v>643752.6</v>
      </c>
      <c r="BU61" s="337">
        <v>229470.24</v>
      </c>
      <c r="BV61" s="337">
        <v>2364972.3000000003</v>
      </c>
      <c r="BW61" s="337">
        <v>2456986.13</v>
      </c>
      <c r="BX61" s="337">
        <v>12321117.559999999</v>
      </c>
      <c r="BY61" s="337">
        <v>9088746.6699999999</v>
      </c>
      <c r="BZ61" s="337">
        <v>6053974.6500000004</v>
      </c>
      <c r="CA61" s="337">
        <v>0</v>
      </c>
      <c r="CB61" s="337">
        <v>0</v>
      </c>
      <c r="CC61" s="337">
        <v>63763063.449999996</v>
      </c>
      <c r="CD61" s="29" t="s">
        <v>233</v>
      </c>
      <c r="CE61" s="32">
        <f t="shared" si="4"/>
        <v>787660296.09000003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0</v>
      </c>
      <c r="BF62" s="32">
        <f t="shared" si="5"/>
        <v>0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0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0</v>
      </c>
    </row>
    <row r="63" spans="1:83" x14ac:dyDescent="0.35">
      <c r="A63" s="39" t="s">
        <v>249</v>
      </c>
      <c r="B63" s="20"/>
      <c r="C63" s="337"/>
      <c r="D63" s="337"/>
      <c r="E63" s="337"/>
      <c r="F63" s="340"/>
      <c r="G63" s="337"/>
      <c r="H63" s="337"/>
      <c r="I63" s="340"/>
      <c r="J63" s="340"/>
      <c r="K63" s="340"/>
      <c r="L63" s="340"/>
      <c r="M63" s="337"/>
      <c r="N63" s="337"/>
      <c r="O63" s="337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340"/>
      <c r="AK63" s="340"/>
      <c r="AL63" s="340"/>
      <c r="AM63" s="340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0"/>
      <c r="AZ63" s="340"/>
      <c r="BA63" s="340"/>
      <c r="BB63" s="340"/>
      <c r="BC63" s="340"/>
      <c r="BD63" s="340"/>
      <c r="BE63" s="340"/>
      <c r="BF63" s="340"/>
      <c r="BG63" s="340"/>
      <c r="BH63" s="340"/>
      <c r="BI63" s="340"/>
      <c r="BJ63" s="340"/>
      <c r="BK63" s="340"/>
      <c r="BL63" s="340"/>
      <c r="BM63" s="340"/>
      <c r="BN63" s="340"/>
      <c r="BO63" s="340"/>
      <c r="BP63" s="340"/>
      <c r="BQ63" s="340"/>
      <c r="BR63" s="340"/>
      <c r="BS63" s="340"/>
      <c r="BT63" s="340"/>
      <c r="BU63" s="340"/>
      <c r="BV63" s="340"/>
      <c r="BW63" s="340"/>
      <c r="BX63" s="340"/>
      <c r="BY63" s="340"/>
      <c r="BZ63" s="340"/>
      <c r="CA63" s="340"/>
      <c r="CB63" s="340"/>
      <c r="CC63" s="340"/>
      <c r="CD63" s="29" t="s">
        <v>233</v>
      </c>
      <c r="CE63" s="32">
        <f t="shared" si="4"/>
        <v>0</v>
      </c>
    </row>
    <row r="64" spans="1:83" x14ac:dyDescent="0.35">
      <c r="A64" s="39" t="s">
        <v>250</v>
      </c>
      <c r="B64" s="20"/>
      <c r="C64" s="337">
        <v>4607413.4399999995</v>
      </c>
      <c r="D64" s="337">
        <v>0</v>
      </c>
      <c r="E64" s="337">
        <v>4319991.5199999996</v>
      </c>
      <c r="F64" s="337">
        <v>0</v>
      </c>
      <c r="G64" s="337">
        <v>182810.71000000002</v>
      </c>
      <c r="H64" s="337">
        <v>262166.27999999997</v>
      </c>
      <c r="I64" s="337">
        <v>0</v>
      </c>
      <c r="J64" s="337">
        <v>0</v>
      </c>
      <c r="K64" s="337">
        <v>0</v>
      </c>
      <c r="L64" s="337">
        <v>0</v>
      </c>
      <c r="M64" s="337">
        <v>0</v>
      </c>
      <c r="N64" s="337">
        <v>0</v>
      </c>
      <c r="O64" s="337">
        <v>0</v>
      </c>
      <c r="P64" s="337">
        <v>28729807.310000002</v>
      </c>
      <c r="Q64" s="337">
        <v>329772.26</v>
      </c>
      <c r="R64" s="337">
        <v>2103057.2499999995</v>
      </c>
      <c r="S64" s="337">
        <v>1304557.9499999993</v>
      </c>
      <c r="T64" s="337">
        <v>155087.78999999998</v>
      </c>
      <c r="U64" s="337">
        <v>15418865.650000002</v>
      </c>
      <c r="V64" s="337">
        <v>484588.24999999994</v>
      </c>
      <c r="W64" s="337">
        <v>80614.419999999984</v>
      </c>
      <c r="X64" s="337">
        <v>92491.679999999978</v>
      </c>
      <c r="Y64" s="337">
        <v>5810268.1900000013</v>
      </c>
      <c r="Z64" s="337">
        <v>136318.64000000001</v>
      </c>
      <c r="AA64" s="337">
        <v>715538.39999999979</v>
      </c>
      <c r="AB64" s="337">
        <v>85054812.120000005</v>
      </c>
      <c r="AC64" s="337">
        <v>3402533.9299999997</v>
      </c>
      <c r="AD64" s="337">
        <v>1199827.3800000001</v>
      </c>
      <c r="AE64" s="337">
        <v>155704.53000000003</v>
      </c>
      <c r="AF64" s="337">
        <v>148245.96999999997</v>
      </c>
      <c r="AG64" s="337">
        <v>1838384.13</v>
      </c>
      <c r="AH64" s="337">
        <v>85655.359999999986</v>
      </c>
      <c r="AI64" s="337">
        <v>0</v>
      </c>
      <c r="AJ64" s="337">
        <v>4730844.7</v>
      </c>
      <c r="AK64" s="337">
        <v>108985.99999999999</v>
      </c>
      <c r="AL64" s="337">
        <v>44394.140000000007</v>
      </c>
      <c r="AM64" s="337">
        <v>5462.5899999999992</v>
      </c>
      <c r="AN64" s="337">
        <v>0</v>
      </c>
      <c r="AO64" s="337">
        <v>0</v>
      </c>
      <c r="AP64" s="337">
        <v>0</v>
      </c>
      <c r="AQ64" s="337">
        <v>0</v>
      </c>
      <c r="AR64" s="337">
        <v>9904910.7899999991</v>
      </c>
      <c r="AS64" s="337">
        <v>0</v>
      </c>
      <c r="AT64" s="337">
        <v>10656.91</v>
      </c>
      <c r="AU64" s="337">
        <v>0</v>
      </c>
      <c r="AV64" s="337">
        <v>1022973.4</v>
      </c>
      <c r="AW64" s="337">
        <v>23612690.129999999</v>
      </c>
      <c r="AX64" s="337">
        <v>971605.88</v>
      </c>
      <c r="AY64" s="337">
        <v>3846829.9299999997</v>
      </c>
      <c r="AZ64" s="337">
        <v>97139.08</v>
      </c>
      <c r="BA64" s="337">
        <v>20490.900000000009</v>
      </c>
      <c r="BB64" s="337">
        <v>259053.56</v>
      </c>
      <c r="BC64" s="337">
        <v>20.54</v>
      </c>
      <c r="BD64" s="337">
        <v>445724.99000000005</v>
      </c>
      <c r="BE64" s="337">
        <v>1327561.21</v>
      </c>
      <c r="BF64" s="337">
        <v>1266857.53</v>
      </c>
      <c r="BG64" s="337">
        <v>-3138.7400000000025</v>
      </c>
      <c r="BH64" s="337">
        <v>562018.11</v>
      </c>
      <c r="BI64" s="337">
        <v>273605.90999999997</v>
      </c>
      <c r="BJ64" s="337">
        <v>27573.269999999997</v>
      </c>
      <c r="BK64" s="337">
        <v>131336.80000000002</v>
      </c>
      <c r="BL64" s="337">
        <v>28782.490000000005</v>
      </c>
      <c r="BM64" s="337">
        <v>0</v>
      </c>
      <c r="BN64" s="337">
        <v>126870.18999999999</v>
      </c>
      <c r="BO64" s="337">
        <v>362625.43</v>
      </c>
      <c r="BP64" s="337">
        <v>97957.61</v>
      </c>
      <c r="BQ64" s="337">
        <v>8347.5099999999984</v>
      </c>
      <c r="BR64" s="337">
        <v>131199.85</v>
      </c>
      <c r="BS64" s="337">
        <v>157.05000000000001</v>
      </c>
      <c r="BT64" s="337">
        <v>11958.32</v>
      </c>
      <c r="BU64" s="337">
        <v>152.19999999999999</v>
      </c>
      <c r="BV64" s="337">
        <v>29126.860000000004</v>
      </c>
      <c r="BW64" s="337">
        <v>642476.54</v>
      </c>
      <c r="BX64" s="337">
        <v>18855.380000000005</v>
      </c>
      <c r="BY64" s="337">
        <v>61373.440000000002</v>
      </c>
      <c r="BZ64" s="337">
        <v>3893.86</v>
      </c>
      <c r="CA64" s="337">
        <v>0</v>
      </c>
      <c r="CB64" s="337">
        <v>0</v>
      </c>
      <c r="CC64" s="337">
        <v>516033.26</v>
      </c>
      <c r="CD64" s="29" t="s">
        <v>233</v>
      </c>
      <c r="CE64" s="32">
        <f t="shared" si="4"/>
        <v>207325920.78000006</v>
      </c>
    </row>
    <row r="65" spans="1:83" x14ac:dyDescent="0.35">
      <c r="A65" s="39" t="s">
        <v>251</v>
      </c>
      <c r="B65" s="20"/>
      <c r="C65" s="337">
        <v>0</v>
      </c>
      <c r="D65" s="337">
        <v>0</v>
      </c>
      <c r="E65" s="337">
        <v>0</v>
      </c>
      <c r="F65" s="337">
        <v>0</v>
      </c>
      <c r="G65" s="337">
        <v>0</v>
      </c>
      <c r="H65" s="337">
        <v>0</v>
      </c>
      <c r="I65" s="337">
        <v>0</v>
      </c>
      <c r="J65" s="337">
        <v>0</v>
      </c>
      <c r="K65" s="337">
        <v>0</v>
      </c>
      <c r="L65" s="337">
        <v>0</v>
      </c>
      <c r="M65" s="337">
        <v>0</v>
      </c>
      <c r="N65" s="337">
        <v>0</v>
      </c>
      <c r="O65" s="337">
        <v>0</v>
      </c>
      <c r="P65" s="337">
        <v>0</v>
      </c>
      <c r="Q65" s="337">
        <v>0</v>
      </c>
      <c r="R65" s="337">
        <v>0</v>
      </c>
      <c r="S65" s="337">
        <v>0</v>
      </c>
      <c r="T65" s="337">
        <v>0</v>
      </c>
      <c r="U65" s="337">
        <v>0</v>
      </c>
      <c r="V65" s="337">
        <v>4.41</v>
      </c>
      <c r="W65" s="337">
        <v>0</v>
      </c>
      <c r="X65" s="337">
        <v>0</v>
      </c>
      <c r="Y65" s="337">
        <v>0</v>
      </c>
      <c r="Z65" s="337">
        <v>0</v>
      </c>
      <c r="AA65" s="337">
        <v>0</v>
      </c>
      <c r="AB65" s="337">
        <v>0</v>
      </c>
      <c r="AC65" s="337">
        <v>0</v>
      </c>
      <c r="AD65" s="337">
        <v>0</v>
      </c>
      <c r="AE65" s="337">
        <v>257.76</v>
      </c>
      <c r="AF65" s="337">
        <v>22796.210000000003</v>
      </c>
      <c r="AG65" s="337">
        <v>0</v>
      </c>
      <c r="AH65" s="337">
        <v>0</v>
      </c>
      <c r="AI65" s="337">
        <v>0</v>
      </c>
      <c r="AJ65" s="337">
        <v>123889.06</v>
      </c>
      <c r="AK65" s="337">
        <v>257.76</v>
      </c>
      <c r="AL65" s="337">
        <v>257.76</v>
      </c>
      <c r="AM65" s="337">
        <v>0</v>
      </c>
      <c r="AN65" s="337">
        <v>0</v>
      </c>
      <c r="AO65" s="337">
        <v>0</v>
      </c>
      <c r="AP65" s="337">
        <v>0</v>
      </c>
      <c r="AQ65" s="337">
        <v>0</v>
      </c>
      <c r="AR65" s="337">
        <v>46883.92</v>
      </c>
      <c r="AS65" s="337">
        <v>0</v>
      </c>
      <c r="AT65" s="337">
        <v>0</v>
      </c>
      <c r="AU65" s="337">
        <v>0</v>
      </c>
      <c r="AV65" s="337">
        <v>0</v>
      </c>
      <c r="AW65" s="337">
        <v>3278663.83</v>
      </c>
      <c r="AX65" s="337">
        <v>0</v>
      </c>
      <c r="AY65" s="337">
        <v>0</v>
      </c>
      <c r="AZ65" s="337">
        <v>0</v>
      </c>
      <c r="BA65" s="337">
        <v>0</v>
      </c>
      <c r="BB65" s="337">
        <v>0</v>
      </c>
      <c r="BC65" s="337">
        <v>0</v>
      </c>
      <c r="BD65" s="337">
        <v>0</v>
      </c>
      <c r="BE65" s="337">
        <v>8283102.8699999992</v>
      </c>
      <c r="BF65" s="337">
        <v>1543510.9900000002</v>
      </c>
      <c r="BG65" s="337">
        <v>1315336.5300000003</v>
      </c>
      <c r="BH65" s="337">
        <v>1835846.54</v>
      </c>
      <c r="BI65" s="337">
        <v>230888.08</v>
      </c>
      <c r="BJ65" s="337">
        <v>0</v>
      </c>
      <c r="BK65" s="337">
        <v>0</v>
      </c>
      <c r="BL65" s="337">
        <v>0</v>
      </c>
      <c r="BM65" s="337">
        <v>0</v>
      </c>
      <c r="BN65" s="337">
        <v>0</v>
      </c>
      <c r="BO65" s="337">
        <v>0</v>
      </c>
      <c r="BP65" s="337">
        <v>0</v>
      </c>
      <c r="BQ65" s="337">
        <v>0</v>
      </c>
      <c r="BR65" s="337">
        <v>0</v>
      </c>
      <c r="BS65" s="337">
        <v>0</v>
      </c>
      <c r="BT65" s="337">
        <v>0</v>
      </c>
      <c r="BU65" s="337">
        <v>0</v>
      </c>
      <c r="BV65" s="337">
        <v>0</v>
      </c>
      <c r="BW65" s="337">
        <v>0</v>
      </c>
      <c r="BX65" s="337">
        <v>0</v>
      </c>
      <c r="BY65" s="337">
        <v>0</v>
      </c>
      <c r="BZ65" s="337">
        <v>0</v>
      </c>
      <c r="CA65" s="337">
        <v>0</v>
      </c>
      <c r="CB65" s="337">
        <v>0</v>
      </c>
      <c r="CC65" s="337">
        <v>125995.78999999998</v>
      </c>
      <c r="CD65" s="29" t="s">
        <v>233</v>
      </c>
      <c r="CE65" s="32">
        <f t="shared" si="4"/>
        <v>16807691.509999998</v>
      </c>
    </row>
    <row r="66" spans="1:83" x14ac:dyDescent="0.35">
      <c r="A66" s="39" t="s">
        <v>252</v>
      </c>
      <c r="B66" s="20"/>
      <c r="C66" s="337">
        <v>23940766.639999997</v>
      </c>
      <c r="D66" s="337">
        <v>0</v>
      </c>
      <c r="E66" s="337">
        <v>17456441.800000001</v>
      </c>
      <c r="F66" s="337">
        <v>0</v>
      </c>
      <c r="G66" s="337">
        <v>636562.80000000005</v>
      </c>
      <c r="H66" s="337">
        <v>6679774.0000000009</v>
      </c>
      <c r="I66" s="337">
        <v>0</v>
      </c>
      <c r="J66" s="337">
        <v>0</v>
      </c>
      <c r="K66" s="337">
        <v>0</v>
      </c>
      <c r="L66" s="337">
        <v>0</v>
      </c>
      <c r="M66" s="337">
        <v>0</v>
      </c>
      <c r="N66" s="337">
        <v>0</v>
      </c>
      <c r="O66" s="337">
        <v>0</v>
      </c>
      <c r="P66" s="337">
        <v>7387144.9199999999</v>
      </c>
      <c r="Q66" s="337">
        <v>2909047.6399999997</v>
      </c>
      <c r="R66" s="337">
        <v>2523182.89</v>
      </c>
      <c r="S66" s="337">
        <v>2536903.66</v>
      </c>
      <c r="T66" s="337">
        <v>10466.17</v>
      </c>
      <c r="U66" s="337">
        <v>11862118.399999999</v>
      </c>
      <c r="V66" s="337">
        <v>424008.94999999995</v>
      </c>
      <c r="W66" s="337">
        <v>77648.599999999991</v>
      </c>
      <c r="X66" s="337">
        <v>77790.209999999992</v>
      </c>
      <c r="Y66" s="337">
        <v>3184276.1599999997</v>
      </c>
      <c r="Z66" s="337">
        <v>1481239.38</v>
      </c>
      <c r="AA66" s="337">
        <v>10217.51</v>
      </c>
      <c r="AB66" s="337">
        <v>363153.18000000005</v>
      </c>
      <c r="AC66" s="337">
        <v>5133564.0799999991</v>
      </c>
      <c r="AD66" s="337">
        <v>669679.80000000005</v>
      </c>
      <c r="AE66" s="337">
        <v>1025806.4999999999</v>
      </c>
      <c r="AF66" s="337">
        <v>2224025.5099999998</v>
      </c>
      <c r="AG66" s="337">
        <v>7404240.2700000005</v>
      </c>
      <c r="AH66" s="337">
        <v>628826.61</v>
      </c>
      <c r="AI66" s="337">
        <v>0</v>
      </c>
      <c r="AJ66" s="337">
        <v>10706577.1</v>
      </c>
      <c r="AK66" s="337">
        <v>827.34</v>
      </c>
      <c r="AL66" s="337">
        <v>56871.76</v>
      </c>
      <c r="AM66" s="337">
        <v>806.25</v>
      </c>
      <c r="AN66" s="337">
        <v>0</v>
      </c>
      <c r="AO66" s="337">
        <v>0</v>
      </c>
      <c r="AP66" s="337">
        <v>0</v>
      </c>
      <c r="AQ66" s="337">
        <v>0</v>
      </c>
      <c r="AR66" s="337">
        <v>884578.75000000012</v>
      </c>
      <c r="AS66" s="337">
        <v>0</v>
      </c>
      <c r="AT66" s="337">
        <v>3445597.6</v>
      </c>
      <c r="AU66" s="337">
        <v>0</v>
      </c>
      <c r="AV66" s="337">
        <v>398754.75</v>
      </c>
      <c r="AW66" s="337">
        <v>217889481.52000004</v>
      </c>
      <c r="AX66" s="337">
        <v>452232.61000000004</v>
      </c>
      <c r="AY66" s="337">
        <v>164480.53</v>
      </c>
      <c r="AZ66" s="337">
        <v>0</v>
      </c>
      <c r="BA66" s="337">
        <v>3505380.09</v>
      </c>
      <c r="BB66" s="337">
        <v>5255906.6900000004</v>
      </c>
      <c r="BC66" s="337">
        <v>0</v>
      </c>
      <c r="BD66" s="337">
        <v>407818.94000000006</v>
      </c>
      <c r="BE66" s="337">
        <v>8739211.5500000007</v>
      </c>
      <c r="BF66" s="337">
        <v>799126.44000000006</v>
      </c>
      <c r="BG66" s="337">
        <v>2370912.66</v>
      </c>
      <c r="BH66" s="337">
        <v>45737956.479999997</v>
      </c>
      <c r="BI66" s="337">
        <v>3497683.7500000005</v>
      </c>
      <c r="BJ66" s="337">
        <v>3071576.2100000004</v>
      </c>
      <c r="BK66" s="337">
        <v>1763552.93</v>
      </c>
      <c r="BL66" s="337">
        <v>36400.800000000003</v>
      </c>
      <c r="BM66" s="337">
        <v>0</v>
      </c>
      <c r="BN66" s="337">
        <v>10321613.4</v>
      </c>
      <c r="BO66" s="337">
        <v>100486.31000000001</v>
      </c>
      <c r="BP66" s="337">
        <v>5594261.1700000009</v>
      </c>
      <c r="BQ66" s="337">
        <v>4059752.1399999997</v>
      </c>
      <c r="BR66" s="337">
        <v>5332610.01</v>
      </c>
      <c r="BS66" s="337">
        <v>0</v>
      </c>
      <c r="BT66" s="337">
        <v>513051.30000000005</v>
      </c>
      <c r="BU66" s="337">
        <v>4745.5300000000007</v>
      </c>
      <c r="BV66" s="337">
        <v>594611.27999999991</v>
      </c>
      <c r="BW66" s="337">
        <v>31392608.229999993</v>
      </c>
      <c r="BX66" s="337">
        <v>1634991.19</v>
      </c>
      <c r="BY66" s="337">
        <v>609104.81000000006</v>
      </c>
      <c r="BZ66" s="337">
        <v>99203.049999999988</v>
      </c>
      <c r="CA66" s="337">
        <v>0</v>
      </c>
      <c r="CB66" s="337">
        <v>0</v>
      </c>
      <c r="CC66" s="337">
        <v>27089899.550000001</v>
      </c>
      <c r="CD66" s="29" t="s">
        <v>233</v>
      </c>
      <c r="CE66" s="32">
        <f t="shared" si="4"/>
        <v>495179558.39999998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0</v>
      </c>
    </row>
    <row r="68" spans="1:83" x14ac:dyDescent="0.35">
      <c r="A68" s="39" t="s">
        <v>253</v>
      </c>
      <c r="B68" s="32"/>
      <c r="C68" s="337">
        <v>165747.44999999998</v>
      </c>
      <c r="D68" s="337">
        <v>0</v>
      </c>
      <c r="E68" s="337">
        <v>591093.84000000008</v>
      </c>
      <c r="F68" s="337">
        <v>0</v>
      </c>
      <c r="G68" s="337">
        <v>11111.43</v>
      </c>
      <c r="H68" s="337">
        <v>0</v>
      </c>
      <c r="I68" s="337">
        <v>0</v>
      </c>
      <c r="J68" s="337">
        <v>0</v>
      </c>
      <c r="K68" s="337">
        <v>0</v>
      </c>
      <c r="L68" s="337">
        <v>0</v>
      </c>
      <c r="M68" s="337">
        <v>0</v>
      </c>
      <c r="N68" s="337">
        <v>0</v>
      </c>
      <c r="O68" s="337">
        <v>0</v>
      </c>
      <c r="P68" s="337">
        <v>132015.05000000002</v>
      </c>
      <c r="Q68" s="337">
        <v>0</v>
      </c>
      <c r="R68" s="337">
        <v>0</v>
      </c>
      <c r="S68" s="337">
        <v>166004.93</v>
      </c>
      <c r="T68" s="337">
        <v>0</v>
      </c>
      <c r="U68" s="337">
        <v>510</v>
      </c>
      <c r="V68" s="337">
        <v>435824.79999999993</v>
      </c>
      <c r="W68" s="337">
        <v>0</v>
      </c>
      <c r="X68" s="337">
        <v>0</v>
      </c>
      <c r="Y68" s="337">
        <v>0</v>
      </c>
      <c r="Z68" s="337">
        <v>0</v>
      </c>
      <c r="AA68" s="337">
        <v>0</v>
      </c>
      <c r="AB68" s="337">
        <v>0</v>
      </c>
      <c r="AC68" s="337">
        <v>58474.47</v>
      </c>
      <c r="AD68" s="337">
        <v>158.44999999999999</v>
      </c>
      <c r="AE68" s="337">
        <v>0</v>
      </c>
      <c r="AF68" s="337">
        <v>880857.38000000012</v>
      </c>
      <c r="AG68" s="337">
        <v>0</v>
      </c>
      <c r="AH68" s="337">
        <v>0</v>
      </c>
      <c r="AI68" s="337">
        <v>0</v>
      </c>
      <c r="AJ68" s="337">
        <v>1429623.53</v>
      </c>
      <c r="AK68" s="337">
        <v>0</v>
      </c>
      <c r="AL68" s="337">
        <v>0</v>
      </c>
      <c r="AM68" s="337">
        <v>0</v>
      </c>
      <c r="AN68" s="337">
        <v>0</v>
      </c>
      <c r="AO68" s="337">
        <v>0</v>
      </c>
      <c r="AP68" s="337">
        <v>0</v>
      </c>
      <c r="AQ68" s="337">
        <v>0</v>
      </c>
      <c r="AR68" s="337">
        <v>1094969.03</v>
      </c>
      <c r="AS68" s="337">
        <v>0</v>
      </c>
      <c r="AT68" s="337">
        <v>0</v>
      </c>
      <c r="AU68" s="337">
        <v>0</v>
      </c>
      <c r="AV68" s="337">
        <v>0</v>
      </c>
      <c r="AW68" s="337">
        <v>8421019.1400000006</v>
      </c>
      <c r="AX68" s="337">
        <v>140651.52000000002</v>
      </c>
      <c r="AY68" s="337">
        <v>0</v>
      </c>
      <c r="AZ68" s="337">
        <v>0</v>
      </c>
      <c r="BA68" s="337">
        <v>0</v>
      </c>
      <c r="BB68" s="337">
        <v>0</v>
      </c>
      <c r="BC68" s="337">
        <v>0</v>
      </c>
      <c r="BD68" s="337">
        <v>709.35</v>
      </c>
      <c r="BE68" s="337">
        <v>232524.87000000002</v>
      </c>
      <c r="BF68" s="337">
        <v>410.07</v>
      </c>
      <c r="BG68" s="337">
        <v>636.09999999999854</v>
      </c>
      <c r="BH68" s="337">
        <v>895952.42999999993</v>
      </c>
      <c r="BI68" s="337">
        <v>1743213.43</v>
      </c>
      <c r="BJ68" s="337">
        <v>0</v>
      </c>
      <c r="BK68" s="337">
        <v>0</v>
      </c>
      <c r="BL68" s="337">
        <v>0</v>
      </c>
      <c r="BM68" s="337">
        <v>0</v>
      </c>
      <c r="BN68" s="337">
        <v>0</v>
      </c>
      <c r="BO68" s="337">
        <v>0</v>
      </c>
      <c r="BP68" s="337">
        <v>0</v>
      </c>
      <c r="BQ68" s="337">
        <v>0</v>
      </c>
      <c r="BR68" s="337">
        <v>0</v>
      </c>
      <c r="BS68" s="337">
        <v>0</v>
      </c>
      <c r="BT68" s="337">
        <v>0</v>
      </c>
      <c r="BU68" s="337">
        <v>0</v>
      </c>
      <c r="BV68" s="337">
        <v>0</v>
      </c>
      <c r="BW68" s="337">
        <v>0</v>
      </c>
      <c r="BX68" s="337">
        <v>0</v>
      </c>
      <c r="BY68" s="337">
        <v>0</v>
      </c>
      <c r="BZ68" s="337">
        <v>0</v>
      </c>
      <c r="CA68" s="337">
        <v>0</v>
      </c>
      <c r="CB68" s="337">
        <v>0</v>
      </c>
      <c r="CC68" s="337">
        <v>15134075.42</v>
      </c>
      <c r="CD68" s="29" t="s">
        <v>233</v>
      </c>
      <c r="CE68" s="32">
        <f t="shared" si="4"/>
        <v>31535582.689999998</v>
      </c>
    </row>
    <row r="69" spans="1:83" x14ac:dyDescent="0.35">
      <c r="A69" s="39" t="s">
        <v>254</v>
      </c>
      <c r="B69" s="20"/>
      <c r="C69" s="32">
        <f t="shared" ref="C69:BN69" si="9">SUM(C70:C83)</f>
        <v>198239.74000000002</v>
      </c>
      <c r="D69" s="32">
        <f t="shared" si="9"/>
        <v>0</v>
      </c>
      <c r="E69" s="32">
        <f t="shared" si="9"/>
        <v>131054.48000000001</v>
      </c>
      <c r="F69" s="32">
        <f t="shared" si="9"/>
        <v>0</v>
      </c>
      <c r="G69" s="32">
        <f t="shared" si="9"/>
        <v>2079.41</v>
      </c>
      <c r="H69" s="32">
        <f t="shared" si="9"/>
        <v>69486.87999999999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2089687.3799999997</v>
      </c>
      <c r="Q69" s="32">
        <f t="shared" si="9"/>
        <v>43173.539999999994</v>
      </c>
      <c r="R69" s="32">
        <f t="shared" si="9"/>
        <v>109036.72</v>
      </c>
      <c r="S69" s="32">
        <f t="shared" si="9"/>
        <v>155318.19</v>
      </c>
      <c r="T69" s="32">
        <f t="shared" si="9"/>
        <v>3582.7599999999998</v>
      </c>
      <c r="U69" s="32">
        <f t="shared" si="9"/>
        <v>1995078.14</v>
      </c>
      <c r="V69" s="32">
        <f t="shared" si="9"/>
        <v>533770.99</v>
      </c>
      <c r="W69" s="32">
        <f t="shared" si="9"/>
        <v>421971.12000000005</v>
      </c>
      <c r="X69" s="32">
        <f t="shared" si="9"/>
        <v>388695.54</v>
      </c>
      <c r="Y69" s="32">
        <f t="shared" si="9"/>
        <v>1390405.7799999998</v>
      </c>
      <c r="Z69" s="32">
        <f t="shared" si="9"/>
        <v>107890.93000000001</v>
      </c>
      <c r="AA69" s="32">
        <f t="shared" si="9"/>
        <v>242775.38</v>
      </c>
      <c r="AB69" s="32">
        <f t="shared" si="9"/>
        <v>335467.06000000006</v>
      </c>
      <c r="AC69" s="32">
        <f t="shared" si="9"/>
        <v>137009.56999999998</v>
      </c>
      <c r="AD69" s="32">
        <f t="shared" si="9"/>
        <v>62430.23000000001</v>
      </c>
      <c r="AE69" s="32">
        <f t="shared" si="9"/>
        <v>77390.03</v>
      </c>
      <c r="AF69" s="32">
        <f t="shared" si="9"/>
        <v>783223.34000000008</v>
      </c>
      <c r="AG69" s="32">
        <f t="shared" si="9"/>
        <v>69515.070000000007</v>
      </c>
      <c r="AH69" s="32">
        <f t="shared" si="9"/>
        <v>40483.950000000004</v>
      </c>
      <c r="AI69" s="32">
        <f t="shared" si="9"/>
        <v>0</v>
      </c>
      <c r="AJ69" s="32">
        <f t="shared" si="9"/>
        <v>2237994.0699999998</v>
      </c>
      <c r="AK69" s="32">
        <f t="shared" si="9"/>
        <v>12463.25</v>
      </c>
      <c r="AL69" s="32">
        <f t="shared" si="9"/>
        <v>11419.47</v>
      </c>
      <c r="AM69" s="32">
        <f t="shared" si="9"/>
        <v>3588.74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301230.95999999996</v>
      </c>
      <c r="AS69" s="32">
        <f t="shared" si="9"/>
        <v>0</v>
      </c>
      <c r="AT69" s="32">
        <f t="shared" si="9"/>
        <v>22534.080000000002</v>
      </c>
      <c r="AU69" s="32">
        <f t="shared" si="9"/>
        <v>0</v>
      </c>
      <c r="AV69" s="32">
        <f t="shared" si="9"/>
        <v>192260.13999999998</v>
      </c>
      <c r="AW69" s="32">
        <f t="shared" si="9"/>
        <v>40428245.509999998</v>
      </c>
      <c r="AX69" s="32">
        <f t="shared" si="9"/>
        <v>0</v>
      </c>
      <c r="AY69" s="32">
        <f t="shared" si="9"/>
        <v>181167.28999999998</v>
      </c>
      <c r="AZ69" s="32">
        <f t="shared" si="9"/>
        <v>5620.0000000000009</v>
      </c>
      <c r="BA69" s="32">
        <f t="shared" si="9"/>
        <v>0</v>
      </c>
      <c r="BB69" s="32">
        <f t="shared" si="9"/>
        <v>375606.19999999995</v>
      </c>
      <c r="BC69" s="32">
        <f t="shared" si="9"/>
        <v>0</v>
      </c>
      <c r="BD69" s="32">
        <f t="shared" si="9"/>
        <v>133564.18000000005</v>
      </c>
      <c r="BE69" s="32">
        <f t="shared" si="9"/>
        <v>13309716.43</v>
      </c>
      <c r="BF69" s="32">
        <f t="shared" si="9"/>
        <v>49331.9</v>
      </c>
      <c r="BG69" s="32">
        <f t="shared" si="9"/>
        <v>260599.83999999997</v>
      </c>
      <c r="BH69" s="32">
        <f t="shared" si="9"/>
        <v>4783313.2999999989</v>
      </c>
      <c r="BI69" s="32">
        <f t="shared" si="9"/>
        <v>18762.729999999632</v>
      </c>
      <c r="BJ69" s="32">
        <f t="shared" si="9"/>
        <v>-531916.69999999984</v>
      </c>
      <c r="BK69" s="32">
        <f t="shared" si="9"/>
        <v>1054188.24</v>
      </c>
      <c r="BL69" s="32">
        <f t="shared" si="9"/>
        <v>389.75</v>
      </c>
      <c r="BM69" s="32">
        <f t="shared" si="9"/>
        <v>0</v>
      </c>
      <c r="BN69" s="32">
        <f t="shared" si="9"/>
        <v>3594087.1799999997</v>
      </c>
      <c r="BO69" s="32">
        <f t="shared" ref="BO69:CD69" si="10">SUM(BO70:BO83)</f>
        <v>36137.29</v>
      </c>
      <c r="BP69" s="32">
        <f t="shared" si="10"/>
        <v>884387.3600000001</v>
      </c>
      <c r="BQ69" s="32">
        <f t="shared" si="10"/>
        <v>22742.830000000013</v>
      </c>
      <c r="BR69" s="32">
        <f t="shared" si="10"/>
        <v>2375788.31</v>
      </c>
      <c r="BS69" s="32">
        <f t="shared" si="10"/>
        <v>-100</v>
      </c>
      <c r="BT69" s="32">
        <f t="shared" si="10"/>
        <v>11744.29</v>
      </c>
      <c r="BU69" s="32">
        <f t="shared" si="10"/>
        <v>852019.7300000001</v>
      </c>
      <c r="BV69" s="32">
        <f t="shared" si="10"/>
        <v>9918.69</v>
      </c>
      <c r="BW69" s="32">
        <f t="shared" si="10"/>
        <v>437033.64</v>
      </c>
      <c r="BX69" s="32">
        <f t="shared" si="10"/>
        <v>349332.15</v>
      </c>
      <c r="BY69" s="32">
        <f t="shared" si="10"/>
        <v>342598.32</v>
      </c>
      <c r="BZ69" s="32">
        <f t="shared" si="10"/>
        <v>8177.49</v>
      </c>
      <c r="CA69" s="32">
        <f t="shared" si="10"/>
        <v>0</v>
      </c>
      <c r="CB69" s="32">
        <f t="shared" si="10"/>
        <v>0</v>
      </c>
      <c r="CC69" s="32">
        <f t="shared" si="10"/>
        <v>59225458.880000025</v>
      </c>
      <c r="CD69" s="32">
        <f t="shared" si="10"/>
        <v>0</v>
      </c>
      <c r="CE69" s="32">
        <f>SUM(CE70:CE84)</f>
        <v>505890430.51000011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337">
        <v>198239.74000000002</v>
      </c>
      <c r="D83" s="337">
        <v>0</v>
      </c>
      <c r="E83" s="337">
        <v>131054.48000000001</v>
      </c>
      <c r="F83" s="337">
        <v>0</v>
      </c>
      <c r="G83" s="337">
        <v>2079.41</v>
      </c>
      <c r="H83" s="337">
        <v>69486.87999999999</v>
      </c>
      <c r="I83" s="337">
        <v>0</v>
      </c>
      <c r="J83" s="337">
        <v>0</v>
      </c>
      <c r="K83" s="337">
        <v>0</v>
      </c>
      <c r="L83" s="337">
        <v>0</v>
      </c>
      <c r="M83" s="337">
        <v>0</v>
      </c>
      <c r="N83" s="337">
        <v>0</v>
      </c>
      <c r="O83" s="337">
        <v>0</v>
      </c>
      <c r="P83" s="337">
        <v>2089687.3799999997</v>
      </c>
      <c r="Q83" s="337">
        <v>43173.539999999994</v>
      </c>
      <c r="R83" s="337">
        <v>109036.72</v>
      </c>
      <c r="S83" s="337">
        <v>155318.19</v>
      </c>
      <c r="T83" s="337">
        <v>3582.7599999999998</v>
      </c>
      <c r="U83" s="337">
        <v>1995078.14</v>
      </c>
      <c r="V83" s="337">
        <v>533770.99</v>
      </c>
      <c r="W83" s="337">
        <v>421971.12000000005</v>
      </c>
      <c r="X83" s="337">
        <v>388695.54</v>
      </c>
      <c r="Y83" s="337">
        <v>1390405.7799999998</v>
      </c>
      <c r="Z83" s="337">
        <v>107890.93000000001</v>
      </c>
      <c r="AA83" s="337">
        <v>242775.38</v>
      </c>
      <c r="AB83" s="337">
        <v>335467.06000000006</v>
      </c>
      <c r="AC83" s="337">
        <v>137009.56999999998</v>
      </c>
      <c r="AD83" s="337">
        <v>62430.23000000001</v>
      </c>
      <c r="AE83" s="337">
        <v>77390.03</v>
      </c>
      <c r="AF83" s="337">
        <v>783223.34000000008</v>
      </c>
      <c r="AG83" s="337">
        <v>69515.070000000007</v>
      </c>
      <c r="AH83" s="337">
        <v>40483.950000000004</v>
      </c>
      <c r="AI83" s="337">
        <v>0</v>
      </c>
      <c r="AJ83" s="337">
        <v>2237994.0699999998</v>
      </c>
      <c r="AK83" s="337">
        <v>12463.25</v>
      </c>
      <c r="AL83" s="337">
        <v>11419.47</v>
      </c>
      <c r="AM83" s="337">
        <v>3588.74</v>
      </c>
      <c r="AN83" s="337">
        <v>0</v>
      </c>
      <c r="AO83" s="337">
        <v>0</v>
      </c>
      <c r="AP83" s="337">
        <v>0</v>
      </c>
      <c r="AQ83" s="337">
        <v>0</v>
      </c>
      <c r="AR83" s="337">
        <v>301230.95999999996</v>
      </c>
      <c r="AS83" s="337">
        <v>0</v>
      </c>
      <c r="AT83" s="337">
        <v>22534.080000000002</v>
      </c>
      <c r="AU83" s="337">
        <v>0</v>
      </c>
      <c r="AV83" s="337">
        <v>192260.13999999998</v>
      </c>
      <c r="AW83" s="337">
        <v>40428245.509999998</v>
      </c>
      <c r="AX83" s="337">
        <v>0</v>
      </c>
      <c r="AY83" s="337">
        <v>181167.28999999998</v>
      </c>
      <c r="AZ83" s="337">
        <v>5620.0000000000009</v>
      </c>
      <c r="BA83" s="337">
        <v>0</v>
      </c>
      <c r="BB83" s="337">
        <v>375606.19999999995</v>
      </c>
      <c r="BC83" s="337">
        <v>0</v>
      </c>
      <c r="BD83" s="337">
        <v>133564.18000000005</v>
      </c>
      <c r="BE83" s="337">
        <v>13309716.43</v>
      </c>
      <c r="BF83" s="337">
        <v>49331.9</v>
      </c>
      <c r="BG83" s="337">
        <v>260599.83999999997</v>
      </c>
      <c r="BH83" s="337">
        <v>4783313.2999999989</v>
      </c>
      <c r="BI83" s="337">
        <v>18762.729999999632</v>
      </c>
      <c r="BJ83" s="337">
        <v>-531916.69999999984</v>
      </c>
      <c r="BK83" s="337">
        <v>1054188.24</v>
      </c>
      <c r="BL83" s="337">
        <v>389.75</v>
      </c>
      <c r="BM83" s="337">
        <v>0</v>
      </c>
      <c r="BN83" s="337">
        <v>3594087.1799999997</v>
      </c>
      <c r="BO83" s="337">
        <v>36137.29</v>
      </c>
      <c r="BP83" s="337">
        <v>884387.3600000001</v>
      </c>
      <c r="BQ83" s="337">
        <v>22742.830000000013</v>
      </c>
      <c r="BR83" s="337">
        <v>2375788.31</v>
      </c>
      <c r="BS83" s="337">
        <v>-100</v>
      </c>
      <c r="BT83" s="337">
        <v>11744.29</v>
      </c>
      <c r="BU83" s="337">
        <v>852019.7300000001</v>
      </c>
      <c r="BV83" s="337">
        <v>9918.69</v>
      </c>
      <c r="BW83" s="337">
        <v>437033.64</v>
      </c>
      <c r="BX83" s="337">
        <v>349332.15</v>
      </c>
      <c r="BY83" s="337">
        <v>342598.32</v>
      </c>
      <c r="BZ83" s="337">
        <v>8177.49</v>
      </c>
      <c r="CA83" s="337">
        <v>0</v>
      </c>
      <c r="CB83" s="337">
        <v>0</v>
      </c>
      <c r="CC83" s="341">
        <v>59225458.880000025</v>
      </c>
      <c r="CD83" s="35"/>
      <c r="CE83" s="32">
        <f t="shared" si="11"/>
        <v>140387171.77000004</v>
      </c>
    </row>
    <row r="84" spans="1:84" x14ac:dyDescent="0.35">
      <c r="A84" s="39" t="s">
        <v>269</v>
      </c>
      <c r="B84" s="20"/>
      <c r="C84" s="337">
        <v>0</v>
      </c>
      <c r="D84" s="337">
        <v>0</v>
      </c>
      <c r="E84" s="337">
        <v>-1987936.34</v>
      </c>
      <c r="F84" s="337">
        <v>0</v>
      </c>
      <c r="G84" s="337">
        <v>0</v>
      </c>
      <c r="H84" s="337">
        <v>0</v>
      </c>
      <c r="I84" s="337">
        <v>0</v>
      </c>
      <c r="J84" s="337">
        <v>0</v>
      </c>
      <c r="K84" s="337">
        <v>0</v>
      </c>
      <c r="L84" s="337">
        <v>0</v>
      </c>
      <c r="M84" s="337">
        <v>0</v>
      </c>
      <c r="N84" s="337">
        <v>0</v>
      </c>
      <c r="O84" s="337">
        <v>0</v>
      </c>
      <c r="P84" s="337">
        <v>0</v>
      </c>
      <c r="Q84" s="337">
        <v>0</v>
      </c>
      <c r="R84" s="337">
        <v>0</v>
      </c>
      <c r="S84" s="337">
        <v>0</v>
      </c>
      <c r="T84" s="337">
        <v>0</v>
      </c>
      <c r="U84" s="337">
        <v>3074140.1</v>
      </c>
      <c r="V84" s="337">
        <v>0</v>
      </c>
      <c r="W84" s="337">
        <v>0</v>
      </c>
      <c r="X84" s="337">
        <v>0</v>
      </c>
      <c r="Y84" s="337">
        <v>61233.91</v>
      </c>
      <c r="Z84" s="337">
        <v>53926.38</v>
      </c>
      <c r="AA84" s="337">
        <v>0</v>
      </c>
      <c r="AB84" s="337">
        <v>75778.039999999994</v>
      </c>
      <c r="AC84" s="337">
        <v>25</v>
      </c>
      <c r="AD84" s="337">
        <v>0</v>
      </c>
      <c r="AE84" s="337">
        <v>1815</v>
      </c>
      <c r="AF84" s="337">
        <v>1374727.85</v>
      </c>
      <c r="AG84" s="337">
        <v>354604.75</v>
      </c>
      <c r="AH84" s="337">
        <v>389640.4</v>
      </c>
      <c r="AI84" s="337">
        <v>0</v>
      </c>
      <c r="AJ84" s="337">
        <v>2875081.3999999994</v>
      </c>
      <c r="AK84" s="337">
        <v>0</v>
      </c>
      <c r="AL84" s="337">
        <v>0</v>
      </c>
      <c r="AM84" s="337">
        <v>2515</v>
      </c>
      <c r="AN84" s="337">
        <v>0</v>
      </c>
      <c r="AO84" s="337">
        <v>0</v>
      </c>
      <c r="AP84" s="337">
        <v>0</v>
      </c>
      <c r="AQ84" s="337">
        <v>0</v>
      </c>
      <c r="AR84" s="337">
        <v>0</v>
      </c>
      <c r="AS84" s="337">
        <v>0</v>
      </c>
      <c r="AT84" s="337">
        <v>201</v>
      </c>
      <c r="AU84" s="337">
        <v>0</v>
      </c>
      <c r="AV84" s="337">
        <v>1814264.6900000002</v>
      </c>
      <c r="AW84" s="337">
        <v>279425678.22000003</v>
      </c>
      <c r="AX84" s="337">
        <v>0</v>
      </c>
      <c r="AY84" s="337">
        <v>3875602.5000000005</v>
      </c>
      <c r="AZ84" s="337">
        <v>211030.22000000003</v>
      </c>
      <c r="BA84" s="337">
        <v>0</v>
      </c>
      <c r="BB84" s="337">
        <v>-12232.860000000015</v>
      </c>
      <c r="BC84" s="337">
        <v>0</v>
      </c>
      <c r="BD84" s="337">
        <v>0</v>
      </c>
      <c r="BE84" s="337">
        <v>-87693.04</v>
      </c>
      <c r="BF84" s="337">
        <v>0</v>
      </c>
      <c r="BG84" s="337">
        <v>0</v>
      </c>
      <c r="BH84" s="337">
        <v>0</v>
      </c>
      <c r="BI84" s="337">
        <v>1006885.22</v>
      </c>
      <c r="BJ84" s="337">
        <v>0</v>
      </c>
      <c r="BK84" s="337">
        <v>8016732.2400000002</v>
      </c>
      <c r="BL84" s="337">
        <v>0</v>
      </c>
      <c r="BM84" s="337">
        <v>0</v>
      </c>
      <c r="BN84" s="337">
        <v>5746423.7899999991</v>
      </c>
      <c r="BO84" s="337">
        <v>0</v>
      </c>
      <c r="BP84" s="337">
        <v>38590</v>
      </c>
      <c r="BQ84" s="337">
        <v>5044.6500000000015</v>
      </c>
      <c r="BR84" s="337">
        <v>0</v>
      </c>
      <c r="BS84" s="337">
        <v>0</v>
      </c>
      <c r="BT84" s="337">
        <v>0</v>
      </c>
      <c r="BU84" s="337">
        <v>0</v>
      </c>
      <c r="BV84" s="337">
        <v>48762.75</v>
      </c>
      <c r="BW84" s="337">
        <v>150600.10000000003</v>
      </c>
      <c r="BX84" s="337">
        <v>41264</v>
      </c>
      <c r="BY84" s="337">
        <v>-52875.97</v>
      </c>
      <c r="BZ84" s="337">
        <v>0</v>
      </c>
      <c r="CA84" s="337">
        <v>0</v>
      </c>
      <c r="CB84" s="337">
        <v>0</v>
      </c>
      <c r="CC84" s="337">
        <v>58999429.739999995</v>
      </c>
      <c r="CD84" s="35"/>
      <c r="CE84" s="32">
        <f t="shared" si="11"/>
        <v>365503258.74000007</v>
      </c>
    </row>
    <row r="85" spans="1:84" x14ac:dyDescent="0.35">
      <c r="A85" s="39" t="s">
        <v>270</v>
      </c>
      <c r="B85" s="32"/>
      <c r="C85" s="32">
        <f>SUM(C61:C69)-C84</f>
        <v>73536939.359999999</v>
      </c>
      <c r="D85" s="32">
        <f t="shared" ref="D85:BO85" si="12">SUM(D61:D69)-D84</f>
        <v>0</v>
      </c>
      <c r="E85" s="32">
        <f t="shared" si="12"/>
        <v>77062836.810000017</v>
      </c>
      <c r="F85" s="32">
        <f t="shared" si="12"/>
        <v>0</v>
      </c>
      <c r="G85" s="32">
        <f t="shared" si="12"/>
        <v>4607708.2999999989</v>
      </c>
      <c r="H85" s="32">
        <f t="shared" si="12"/>
        <v>18761100.629999999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60453440.729999997</v>
      </c>
      <c r="Q85" s="32">
        <f t="shared" si="12"/>
        <v>13919651.440000001</v>
      </c>
      <c r="R85" s="32">
        <f t="shared" si="12"/>
        <v>7177712.7599999988</v>
      </c>
      <c r="S85" s="32">
        <f t="shared" si="12"/>
        <v>12606817.809999999</v>
      </c>
      <c r="T85" s="32">
        <f t="shared" si="12"/>
        <v>1882066.2599999998</v>
      </c>
      <c r="U85" s="32">
        <f t="shared" si="12"/>
        <v>49343273.150000006</v>
      </c>
      <c r="V85" s="32">
        <f t="shared" si="12"/>
        <v>8364804.3600000003</v>
      </c>
      <c r="W85" s="32">
        <f t="shared" si="12"/>
        <v>1956255.2500000005</v>
      </c>
      <c r="X85" s="32">
        <f t="shared" si="12"/>
        <v>1849199.0699999998</v>
      </c>
      <c r="Y85" s="32">
        <f t="shared" si="12"/>
        <v>22258154.440000001</v>
      </c>
      <c r="Z85" s="32">
        <f t="shared" si="12"/>
        <v>2571939.81</v>
      </c>
      <c r="AA85" s="32">
        <f t="shared" si="12"/>
        <v>1471445.3099999996</v>
      </c>
      <c r="AB85" s="32">
        <f t="shared" si="12"/>
        <v>108739367.27000001</v>
      </c>
      <c r="AC85" s="32">
        <f t="shared" si="12"/>
        <v>20250770.029999997</v>
      </c>
      <c r="AD85" s="32">
        <f t="shared" si="12"/>
        <v>5572284.9700000007</v>
      </c>
      <c r="AE85" s="32">
        <f t="shared" si="12"/>
        <v>11385815.869999997</v>
      </c>
      <c r="AF85" s="32">
        <f t="shared" si="12"/>
        <v>17311538.779999994</v>
      </c>
      <c r="AG85" s="32">
        <f t="shared" si="12"/>
        <v>22053119.16</v>
      </c>
      <c r="AH85" s="32">
        <f t="shared" si="12"/>
        <v>4820940.68</v>
      </c>
      <c r="AI85" s="32">
        <f t="shared" si="12"/>
        <v>0</v>
      </c>
      <c r="AJ85" s="32">
        <f t="shared" si="12"/>
        <v>130106997.36999999</v>
      </c>
      <c r="AK85" s="32">
        <f t="shared" si="12"/>
        <v>2959211.1699999995</v>
      </c>
      <c r="AL85" s="32">
        <f t="shared" si="12"/>
        <v>2193989.0299999998</v>
      </c>
      <c r="AM85" s="32">
        <f t="shared" si="12"/>
        <v>2190247.98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18291846.640000004</v>
      </c>
      <c r="AS85" s="32">
        <f t="shared" si="12"/>
        <v>0</v>
      </c>
      <c r="AT85" s="32">
        <f t="shared" si="12"/>
        <v>3859514.93</v>
      </c>
      <c r="AU85" s="32">
        <f t="shared" si="12"/>
        <v>0</v>
      </c>
      <c r="AV85" s="32">
        <f t="shared" si="12"/>
        <v>4900625.51</v>
      </c>
      <c r="AW85" s="32">
        <f t="shared" si="12"/>
        <v>121986841.96000004</v>
      </c>
      <c r="AX85" s="32">
        <f t="shared" si="12"/>
        <v>1564490.01</v>
      </c>
      <c r="AY85" s="32">
        <f t="shared" si="12"/>
        <v>316875.24999999907</v>
      </c>
      <c r="AZ85" s="32">
        <f t="shared" si="12"/>
        <v>764.65999999997439</v>
      </c>
      <c r="BA85" s="32">
        <f t="shared" si="12"/>
        <v>3801467.5999999996</v>
      </c>
      <c r="BB85" s="32">
        <f t="shared" si="12"/>
        <v>19404538.969999999</v>
      </c>
      <c r="BC85" s="32">
        <f t="shared" si="12"/>
        <v>292421.15000000002</v>
      </c>
      <c r="BD85" s="32">
        <f t="shared" si="12"/>
        <v>3701925.7300000009</v>
      </c>
      <c r="BE85" s="32">
        <f t="shared" si="12"/>
        <v>53038598.100000001</v>
      </c>
      <c r="BF85" s="32">
        <f t="shared" si="12"/>
        <v>13767965.749999998</v>
      </c>
      <c r="BG85" s="32">
        <f t="shared" si="12"/>
        <v>6146931.6899999995</v>
      </c>
      <c r="BH85" s="32">
        <f t="shared" si="12"/>
        <v>91217103.200000003</v>
      </c>
      <c r="BI85" s="32">
        <f t="shared" si="12"/>
        <v>8560230.4699999988</v>
      </c>
      <c r="BJ85" s="32">
        <f t="shared" si="12"/>
        <v>8529062.160000002</v>
      </c>
      <c r="BK85" s="32">
        <f t="shared" si="12"/>
        <v>11503518.1</v>
      </c>
      <c r="BL85" s="32">
        <f t="shared" si="12"/>
        <v>7122723.1200000001</v>
      </c>
      <c r="BM85" s="32">
        <f t="shared" si="12"/>
        <v>0</v>
      </c>
      <c r="BN85" s="32">
        <f t="shared" si="12"/>
        <v>27854397.450000003</v>
      </c>
      <c r="BO85" s="32">
        <f t="shared" si="12"/>
        <v>2120611.1</v>
      </c>
      <c r="BP85" s="32">
        <f t="shared" ref="BP85:CD85" si="13">SUM(BP61:BP69)-BP84</f>
        <v>11180467.920000002</v>
      </c>
      <c r="BQ85" s="32">
        <f t="shared" si="13"/>
        <v>10472713.959999999</v>
      </c>
      <c r="BR85" s="32">
        <f t="shared" si="13"/>
        <v>20903987.849999998</v>
      </c>
      <c r="BS85" s="32">
        <f t="shared" si="13"/>
        <v>-7630.7600000000011</v>
      </c>
      <c r="BT85" s="32">
        <f t="shared" si="13"/>
        <v>1180506.51</v>
      </c>
      <c r="BU85" s="32">
        <f t="shared" si="13"/>
        <v>1086387.7000000002</v>
      </c>
      <c r="BV85" s="32">
        <f t="shared" si="13"/>
        <v>2949866.38</v>
      </c>
      <c r="BW85" s="32">
        <f t="shared" si="13"/>
        <v>34778504.43999999</v>
      </c>
      <c r="BX85" s="32">
        <f t="shared" si="13"/>
        <v>14283032.279999999</v>
      </c>
      <c r="BY85" s="32">
        <f t="shared" si="13"/>
        <v>10154699.210000001</v>
      </c>
      <c r="BZ85" s="32">
        <f t="shared" si="13"/>
        <v>6165249.0500000007</v>
      </c>
      <c r="CA85" s="32">
        <f t="shared" si="13"/>
        <v>0</v>
      </c>
      <c r="CB85" s="32">
        <f t="shared" si="13"/>
        <v>0</v>
      </c>
      <c r="CC85" s="32">
        <f t="shared" si="13"/>
        <v>106855096.61000003</v>
      </c>
      <c r="CD85" s="32">
        <f t="shared" si="13"/>
        <v>0</v>
      </c>
      <c r="CE85" s="32">
        <f t="shared" si="11"/>
        <v>1313392962.5000002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337">
        <v>560322288.39999998</v>
      </c>
      <c r="D87" s="337">
        <v>0</v>
      </c>
      <c r="E87" s="337">
        <v>482220259.40000004</v>
      </c>
      <c r="F87" s="337">
        <v>0</v>
      </c>
      <c r="G87" s="337">
        <v>29179350.699999999</v>
      </c>
      <c r="H87" s="337">
        <v>96908397.299999997</v>
      </c>
      <c r="I87" s="337">
        <v>0</v>
      </c>
      <c r="J87" s="337">
        <v>0</v>
      </c>
      <c r="K87" s="337">
        <v>0</v>
      </c>
      <c r="L87" s="337">
        <v>0</v>
      </c>
      <c r="M87" s="337">
        <v>0</v>
      </c>
      <c r="N87" s="337">
        <v>0</v>
      </c>
      <c r="O87" s="337">
        <v>0</v>
      </c>
      <c r="P87" s="337">
        <v>208611081.40000004</v>
      </c>
      <c r="Q87" s="337">
        <v>11191025.5</v>
      </c>
      <c r="R87" s="337">
        <v>51863256.399999999</v>
      </c>
      <c r="S87" s="337">
        <v>8364402.6699999999</v>
      </c>
      <c r="T87" s="337">
        <v>0</v>
      </c>
      <c r="U87" s="337">
        <v>136584494.85000002</v>
      </c>
      <c r="V87" s="337">
        <v>30837215.699999999</v>
      </c>
      <c r="W87" s="337">
        <v>10440558.600000001</v>
      </c>
      <c r="X87" s="337">
        <v>12195810.15</v>
      </c>
      <c r="Y87" s="337">
        <v>46843383.690000005</v>
      </c>
      <c r="Z87" s="337">
        <v>6197642.6999999993</v>
      </c>
      <c r="AA87" s="337">
        <v>1113214.95</v>
      </c>
      <c r="AB87" s="337">
        <v>261274965.81</v>
      </c>
      <c r="AC87" s="337">
        <v>17073528.699999999</v>
      </c>
      <c r="AD87" s="337">
        <v>17333810.199999999</v>
      </c>
      <c r="AE87" s="337">
        <v>6525048.3999999994</v>
      </c>
      <c r="AF87" s="337">
        <v>2015151</v>
      </c>
      <c r="AG87" s="337">
        <v>28002137.400000002</v>
      </c>
      <c r="AH87" s="337">
        <v>1075040.8</v>
      </c>
      <c r="AI87" s="337">
        <v>0</v>
      </c>
      <c r="AJ87" s="337">
        <v>3742149.3200000003</v>
      </c>
      <c r="AK87" s="337">
        <v>6830974.6199999992</v>
      </c>
      <c r="AL87" s="337">
        <v>3092265.9000000008</v>
      </c>
      <c r="AM87" s="337">
        <v>0</v>
      </c>
      <c r="AN87" s="337">
        <v>0</v>
      </c>
      <c r="AO87" s="337">
        <v>0</v>
      </c>
      <c r="AP87" s="337">
        <v>0</v>
      </c>
      <c r="AQ87" s="337">
        <v>0</v>
      </c>
      <c r="AR87" s="337">
        <v>827990.9</v>
      </c>
      <c r="AS87" s="337">
        <v>0</v>
      </c>
      <c r="AT87" s="337">
        <v>7290500</v>
      </c>
      <c r="AU87" s="337">
        <v>0</v>
      </c>
      <c r="AV87" s="337">
        <v>14375513.499999998</v>
      </c>
      <c r="AW87" s="342" t="s">
        <v>233</v>
      </c>
      <c r="AX87" s="342" t="s">
        <v>233</v>
      </c>
      <c r="AY87" s="342" t="s">
        <v>233</v>
      </c>
      <c r="AZ87" s="342" t="s">
        <v>233</v>
      </c>
      <c r="BA87" s="342" t="s">
        <v>233</v>
      </c>
      <c r="BB87" s="342" t="s">
        <v>233</v>
      </c>
      <c r="BC87" s="342" t="s">
        <v>233</v>
      </c>
      <c r="BD87" s="342" t="s">
        <v>233</v>
      </c>
      <c r="BE87" s="342" t="s">
        <v>233</v>
      </c>
      <c r="BF87" s="342" t="s">
        <v>233</v>
      </c>
      <c r="BG87" s="342" t="s">
        <v>233</v>
      </c>
      <c r="BH87" s="342" t="s">
        <v>233</v>
      </c>
      <c r="BI87" s="342" t="s">
        <v>233</v>
      </c>
      <c r="BJ87" s="342" t="s">
        <v>233</v>
      </c>
      <c r="BK87" s="342" t="s">
        <v>233</v>
      </c>
      <c r="BL87" s="342" t="s">
        <v>233</v>
      </c>
      <c r="BM87" s="342" t="s">
        <v>233</v>
      </c>
      <c r="BN87" s="342" t="s">
        <v>233</v>
      </c>
      <c r="BO87" s="342" t="s">
        <v>233</v>
      </c>
      <c r="BP87" s="342" t="s">
        <v>233</v>
      </c>
      <c r="BQ87" s="342" t="s">
        <v>233</v>
      </c>
      <c r="BR87" s="342" t="s">
        <v>233</v>
      </c>
      <c r="BS87" s="342" t="s">
        <v>233</v>
      </c>
      <c r="BT87" s="342" t="s">
        <v>233</v>
      </c>
      <c r="BU87" s="342" t="s">
        <v>233</v>
      </c>
      <c r="BV87" s="342" t="s">
        <v>233</v>
      </c>
      <c r="BW87" s="342" t="s">
        <v>233</v>
      </c>
      <c r="BX87" s="342" t="s">
        <v>233</v>
      </c>
      <c r="BY87" s="342" t="s">
        <v>233</v>
      </c>
      <c r="BZ87" s="342" t="s">
        <v>233</v>
      </c>
      <c r="CA87" s="342" t="s">
        <v>233</v>
      </c>
      <c r="CB87" s="342" t="s">
        <v>233</v>
      </c>
      <c r="CC87" s="342" t="s">
        <v>233</v>
      </c>
      <c r="CD87" s="342" t="s">
        <v>233</v>
      </c>
      <c r="CE87" s="343">
        <f>SUM(C87:CD87)</f>
        <v>2062331458.9600008</v>
      </c>
    </row>
    <row r="88" spans="1:84" x14ac:dyDescent="0.35">
      <c r="A88" s="26" t="s">
        <v>273</v>
      </c>
      <c r="B88" s="20"/>
      <c r="C88" s="337">
        <v>2097319.9000000004</v>
      </c>
      <c r="D88" s="337">
        <v>0</v>
      </c>
      <c r="E88" s="337">
        <v>40671235.700000003</v>
      </c>
      <c r="F88" s="337">
        <v>0</v>
      </c>
      <c r="G88" s="337">
        <v>1943911.8</v>
      </c>
      <c r="H88" s="337">
        <v>0</v>
      </c>
      <c r="I88" s="337">
        <v>0</v>
      </c>
      <c r="J88" s="337">
        <v>0</v>
      </c>
      <c r="K88" s="337">
        <v>0</v>
      </c>
      <c r="L88" s="337">
        <v>0</v>
      </c>
      <c r="M88" s="337">
        <v>0</v>
      </c>
      <c r="N88" s="337">
        <v>0</v>
      </c>
      <c r="O88" s="337">
        <v>0</v>
      </c>
      <c r="P88" s="337">
        <v>196783328.58000001</v>
      </c>
      <c r="Q88" s="337">
        <v>28918242.000000004</v>
      </c>
      <c r="R88" s="337">
        <v>55337068.800000004</v>
      </c>
      <c r="S88" s="337">
        <v>10521323.210000003</v>
      </c>
      <c r="T88" s="337">
        <v>0</v>
      </c>
      <c r="U88" s="337">
        <v>114649641.90000001</v>
      </c>
      <c r="V88" s="337">
        <v>57542101.849999994</v>
      </c>
      <c r="W88" s="337">
        <v>35178578.5</v>
      </c>
      <c r="X88" s="337">
        <v>17931185.399999999</v>
      </c>
      <c r="Y88" s="337">
        <v>108791977.64</v>
      </c>
      <c r="Z88" s="337">
        <v>753285.15</v>
      </c>
      <c r="AA88" s="337">
        <v>3819054.3499999996</v>
      </c>
      <c r="AB88" s="337">
        <v>228132755.84</v>
      </c>
      <c r="AC88" s="337">
        <v>1251214.0999999999</v>
      </c>
      <c r="AD88" s="337">
        <v>20856961.48</v>
      </c>
      <c r="AE88" s="337">
        <v>16506667.199999999</v>
      </c>
      <c r="AF88" s="337">
        <v>9537146.8499999996</v>
      </c>
      <c r="AG88" s="337">
        <v>102030316.2</v>
      </c>
      <c r="AH88" s="337">
        <v>708017.17999999993</v>
      </c>
      <c r="AI88" s="337">
        <v>0</v>
      </c>
      <c r="AJ88" s="337">
        <v>146764821.13</v>
      </c>
      <c r="AK88" s="337">
        <v>3176182.6200000006</v>
      </c>
      <c r="AL88" s="337">
        <v>5226036.5</v>
      </c>
      <c r="AM88" s="337">
        <v>0</v>
      </c>
      <c r="AN88" s="337">
        <v>0</v>
      </c>
      <c r="AO88" s="337">
        <v>0</v>
      </c>
      <c r="AP88" s="337">
        <v>0</v>
      </c>
      <c r="AQ88" s="337">
        <v>0</v>
      </c>
      <c r="AR88" s="337">
        <v>74945681.290000007</v>
      </c>
      <c r="AS88" s="337">
        <v>0</v>
      </c>
      <c r="AT88" s="337">
        <v>0</v>
      </c>
      <c r="AU88" s="337">
        <v>0</v>
      </c>
      <c r="AV88" s="337">
        <v>107051.8</v>
      </c>
      <c r="AW88" s="342" t="s">
        <v>233</v>
      </c>
      <c r="AX88" s="342" t="s">
        <v>233</v>
      </c>
      <c r="AY88" s="342" t="s">
        <v>233</v>
      </c>
      <c r="AZ88" s="342" t="s">
        <v>233</v>
      </c>
      <c r="BA88" s="342" t="s">
        <v>233</v>
      </c>
      <c r="BB88" s="342" t="s">
        <v>233</v>
      </c>
      <c r="BC88" s="342" t="s">
        <v>233</v>
      </c>
      <c r="BD88" s="342" t="s">
        <v>233</v>
      </c>
      <c r="BE88" s="342" t="s">
        <v>233</v>
      </c>
      <c r="BF88" s="342" t="s">
        <v>233</v>
      </c>
      <c r="BG88" s="342" t="s">
        <v>233</v>
      </c>
      <c r="BH88" s="342" t="s">
        <v>233</v>
      </c>
      <c r="BI88" s="342" t="s">
        <v>233</v>
      </c>
      <c r="BJ88" s="342" t="s">
        <v>233</v>
      </c>
      <c r="BK88" s="342" t="s">
        <v>233</v>
      </c>
      <c r="BL88" s="342" t="s">
        <v>233</v>
      </c>
      <c r="BM88" s="342" t="s">
        <v>233</v>
      </c>
      <c r="BN88" s="342" t="s">
        <v>233</v>
      </c>
      <c r="BO88" s="342" t="s">
        <v>233</v>
      </c>
      <c r="BP88" s="342" t="s">
        <v>233</v>
      </c>
      <c r="BQ88" s="342" t="s">
        <v>233</v>
      </c>
      <c r="BR88" s="342" t="s">
        <v>233</v>
      </c>
      <c r="BS88" s="342" t="s">
        <v>233</v>
      </c>
      <c r="BT88" s="342" t="s">
        <v>233</v>
      </c>
      <c r="BU88" s="342" t="s">
        <v>233</v>
      </c>
      <c r="BV88" s="342" t="s">
        <v>233</v>
      </c>
      <c r="BW88" s="342" t="s">
        <v>233</v>
      </c>
      <c r="BX88" s="342" t="s">
        <v>233</v>
      </c>
      <c r="BY88" s="342" t="s">
        <v>233</v>
      </c>
      <c r="BZ88" s="342" t="s">
        <v>233</v>
      </c>
      <c r="CA88" s="342" t="s">
        <v>233</v>
      </c>
      <c r="CB88" s="342" t="s">
        <v>233</v>
      </c>
      <c r="CC88" s="342" t="s">
        <v>233</v>
      </c>
      <c r="CD88" s="342" t="s">
        <v>233</v>
      </c>
      <c r="CE88" s="343">
        <f>SUM(C88:CD88)</f>
        <v>1284181106.97</v>
      </c>
    </row>
    <row r="89" spans="1:84" x14ac:dyDescent="0.35">
      <c r="A89" s="26" t="s">
        <v>274</v>
      </c>
      <c r="B89" s="20"/>
      <c r="C89" s="32">
        <f>C87+C88</f>
        <v>562419608.29999995</v>
      </c>
      <c r="D89" s="32">
        <f t="shared" ref="D89:AV89" si="14">D87+D88</f>
        <v>0</v>
      </c>
      <c r="E89" s="32">
        <f t="shared" si="14"/>
        <v>522891495.10000002</v>
      </c>
      <c r="F89" s="32">
        <f t="shared" si="14"/>
        <v>0</v>
      </c>
      <c r="G89" s="32">
        <f t="shared" si="14"/>
        <v>31123262.5</v>
      </c>
      <c r="H89" s="32">
        <f t="shared" si="14"/>
        <v>96908397.299999997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4"/>
        <v>0</v>
      </c>
      <c r="O89" s="32">
        <f t="shared" si="14"/>
        <v>0</v>
      </c>
      <c r="P89" s="32">
        <f t="shared" si="14"/>
        <v>405394409.98000002</v>
      </c>
      <c r="Q89" s="32">
        <f t="shared" si="14"/>
        <v>40109267.5</v>
      </c>
      <c r="R89" s="32">
        <f t="shared" si="14"/>
        <v>107200325.2</v>
      </c>
      <c r="S89" s="32">
        <f t="shared" si="14"/>
        <v>18885725.880000003</v>
      </c>
      <c r="T89" s="32">
        <f t="shared" si="14"/>
        <v>0</v>
      </c>
      <c r="U89" s="32">
        <f t="shared" si="14"/>
        <v>251234136.75000003</v>
      </c>
      <c r="V89" s="32">
        <f t="shared" si="14"/>
        <v>88379317.549999997</v>
      </c>
      <c r="W89" s="32">
        <f t="shared" si="14"/>
        <v>45619137.100000001</v>
      </c>
      <c r="X89" s="32">
        <f t="shared" si="14"/>
        <v>30126995.549999997</v>
      </c>
      <c r="Y89" s="32">
        <f t="shared" si="14"/>
        <v>155635361.33000001</v>
      </c>
      <c r="Z89" s="32">
        <f t="shared" si="14"/>
        <v>6950927.8499999996</v>
      </c>
      <c r="AA89" s="32">
        <f t="shared" si="14"/>
        <v>4932269.3</v>
      </c>
      <c r="AB89" s="32">
        <f t="shared" si="14"/>
        <v>489407721.64999998</v>
      </c>
      <c r="AC89" s="32">
        <f t="shared" si="14"/>
        <v>18324742.800000001</v>
      </c>
      <c r="AD89" s="32">
        <f t="shared" si="14"/>
        <v>38190771.68</v>
      </c>
      <c r="AE89" s="32">
        <f t="shared" si="14"/>
        <v>23031715.599999998</v>
      </c>
      <c r="AF89" s="32">
        <f t="shared" si="14"/>
        <v>11552297.85</v>
      </c>
      <c r="AG89" s="32">
        <f t="shared" si="14"/>
        <v>130032453.60000001</v>
      </c>
      <c r="AH89" s="32">
        <f t="shared" si="14"/>
        <v>1783057.98</v>
      </c>
      <c r="AI89" s="32">
        <f t="shared" si="14"/>
        <v>0</v>
      </c>
      <c r="AJ89" s="32">
        <f t="shared" si="14"/>
        <v>150506970.44999999</v>
      </c>
      <c r="AK89" s="32">
        <f t="shared" si="14"/>
        <v>10007157.24</v>
      </c>
      <c r="AL89" s="32">
        <f t="shared" si="14"/>
        <v>8318302.4000000004</v>
      </c>
      <c r="AM89" s="32">
        <f t="shared" si="14"/>
        <v>0</v>
      </c>
      <c r="AN89" s="32">
        <f t="shared" si="14"/>
        <v>0</v>
      </c>
      <c r="AO89" s="32">
        <f t="shared" si="14"/>
        <v>0</v>
      </c>
      <c r="AP89" s="32">
        <f t="shared" si="14"/>
        <v>0</v>
      </c>
      <c r="AQ89" s="32">
        <f t="shared" si="14"/>
        <v>0</v>
      </c>
      <c r="AR89" s="32">
        <f t="shared" si="14"/>
        <v>75773672.190000013</v>
      </c>
      <c r="AS89" s="32">
        <f t="shared" si="14"/>
        <v>0</v>
      </c>
      <c r="AT89" s="32">
        <f t="shared" si="14"/>
        <v>7290500</v>
      </c>
      <c r="AU89" s="32">
        <f t="shared" si="14"/>
        <v>0</v>
      </c>
      <c r="AV89" s="32">
        <f t="shared" si="14"/>
        <v>14482565.299999999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ref="CE89:CE94" si="15">SUM(C89:CD89)</f>
        <v>3346512565.9300003</v>
      </c>
    </row>
    <row r="90" spans="1:84" x14ac:dyDescent="0.35">
      <c r="A90" s="39" t="s">
        <v>275</v>
      </c>
      <c r="B90" s="32"/>
      <c r="C90" s="337">
        <v>74287.567999999999</v>
      </c>
      <c r="D90" s="337">
        <v>0</v>
      </c>
      <c r="E90" s="337">
        <v>221362.16399999999</v>
      </c>
      <c r="F90" s="337">
        <v>0</v>
      </c>
      <c r="G90" s="337">
        <v>11962.39</v>
      </c>
      <c r="H90" s="337">
        <v>61556.491999999998</v>
      </c>
      <c r="I90" s="337">
        <v>0</v>
      </c>
      <c r="J90" s="337">
        <v>0</v>
      </c>
      <c r="K90" s="337">
        <v>0</v>
      </c>
      <c r="L90" s="337">
        <v>0</v>
      </c>
      <c r="M90" s="337">
        <v>0</v>
      </c>
      <c r="N90" s="337">
        <v>0</v>
      </c>
      <c r="O90" s="337">
        <v>0</v>
      </c>
      <c r="P90" s="337">
        <v>99722.272694497195</v>
      </c>
      <c r="Q90" s="337">
        <v>9803.7900000000009</v>
      </c>
      <c r="R90" s="337">
        <v>7599.174</v>
      </c>
      <c r="S90" s="337">
        <v>33673.906923076924</v>
      </c>
      <c r="T90" s="337">
        <v>477.67</v>
      </c>
      <c r="U90" s="337">
        <v>44203.38</v>
      </c>
      <c r="V90" s="337">
        <v>5472.7139999999999</v>
      </c>
      <c r="W90" s="337">
        <v>0</v>
      </c>
      <c r="X90" s="337">
        <v>4161.9791323313448</v>
      </c>
      <c r="Y90" s="337">
        <v>52193.572901298903</v>
      </c>
      <c r="Z90" s="337">
        <v>388.48906929758834</v>
      </c>
      <c r="AA90" s="337">
        <v>2220.0539544764915</v>
      </c>
      <c r="AB90" s="337">
        <v>16736</v>
      </c>
      <c r="AC90" s="337">
        <v>5081.18</v>
      </c>
      <c r="AD90" s="337">
        <v>4836.8999999999996</v>
      </c>
      <c r="AE90" s="337">
        <v>11296.93</v>
      </c>
      <c r="AF90" s="337">
        <v>10764.396000000001</v>
      </c>
      <c r="AG90" s="337">
        <v>33302.934000000001</v>
      </c>
      <c r="AH90" s="337">
        <v>212.64</v>
      </c>
      <c r="AI90" s="337">
        <v>0</v>
      </c>
      <c r="AJ90" s="337">
        <v>189519.525005109</v>
      </c>
      <c r="AK90" s="337">
        <v>3745.2</v>
      </c>
      <c r="AL90" s="337">
        <v>2801.58</v>
      </c>
      <c r="AM90" s="337">
        <v>6698.07</v>
      </c>
      <c r="AN90" s="337">
        <v>0</v>
      </c>
      <c r="AO90" s="337">
        <v>0</v>
      </c>
      <c r="AP90" s="337">
        <v>0</v>
      </c>
      <c r="AQ90" s="337">
        <v>0</v>
      </c>
      <c r="AR90" s="337">
        <v>0</v>
      </c>
      <c r="AS90" s="337">
        <v>0</v>
      </c>
      <c r="AT90" s="337">
        <v>99.05</v>
      </c>
      <c r="AU90" s="337">
        <v>0</v>
      </c>
      <c r="AV90" s="337">
        <v>671.43</v>
      </c>
      <c r="AW90" s="337">
        <v>5529.58</v>
      </c>
      <c r="AX90" s="337">
        <v>0</v>
      </c>
      <c r="AY90" s="337">
        <v>34829</v>
      </c>
      <c r="AZ90" s="337">
        <v>7974</v>
      </c>
      <c r="BA90" s="337">
        <v>0</v>
      </c>
      <c r="BB90" s="337">
        <v>13182.046</v>
      </c>
      <c r="BC90" s="337">
        <v>0</v>
      </c>
      <c r="BD90" s="337">
        <v>6035.4440000000004</v>
      </c>
      <c r="BE90" s="337">
        <v>151600.48699999999</v>
      </c>
      <c r="BF90" s="337">
        <v>6368.5300000000007</v>
      </c>
      <c r="BG90" s="337">
        <v>1369.3</v>
      </c>
      <c r="BH90" s="337">
        <v>49236.720000000008</v>
      </c>
      <c r="BI90" s="337">
        <v>1157.22</v>
      </c>
      <c r="BJ90" s="337">
        <v>221.34</v>
      </c>
      <c r="BK90" s="337">
        <v>384.73</v>
      </c>
      <c r="BL90" s="337">
        <v>1133.1000000000001</v>
      </c>
      <c r="BM90" s="337">
        <v>0</v>
      </c>
      <c r="BN90" s="337">
        <v>54949.67</v>
      </c>
      <c r="BO90" s="337">
        <v>0</v>
      </c>
      <c r="BP90" s="337">
        <v>7988.15</v>
      </c>
      <c r="BQ90" s="337">
        <v>3427.38</v>
      </c>
      <c r="BR90" s="337">
        <v>13009.1</v>
      </c>
      <c r="BS90" s="337">
        <v>2853.14</v>
      </c>
      <c r="BT90" s="337">
        <v>1635.85</v>
      </c>
      <c r="BU90" s="337">
        <v>4108.68</v>
      </c>
      <c r="BV90" s="337">
        <v>14228.98</v>
      </c>
      <c r="BW90" s="337">
        <v>43517.156000000003</v>
      </c>
      <c r="BX90" s="337">
        <v>3691.05</v>
      </c>
      <c r="BY90" s="337">
        <v>4977.0499999999993</v>
      </c>
      <c r="BZ90" s="337">
        <v>2392.9499999999998</v>
      </c>
      <c r="CA90" s="337">
        <v>0</v>
      </c>
      <c r="CB90" s="337">
        <v>0</v>
      </c>
      <c r="CC90" s="337">
        <v>765364.51</v>
      </c>
      <c r="CD90" s="264" t="s">
        <v>233</v>
      </c>
      <c r="CE90" s="32">
        <f t="shared" si="15"/>
        <v>2116016.6146800872</v>
      </c>
      <c r="CF90" s="32">
        <f>BE59-CE90</f>
        <v>0.3853199128061533</v>
      </c>
    </row>
    <row r="91" spans="1:84" x14ac:dyDescent="0.35">
      <c r="A91" s="26" t="s">
        <v>276</v>
      </c>
      <c r="B91" s="20"/>
      <c r="C91" s="337">
        <v>0</v>
      </c>
      <c r="D91" s="337">
        <v>0</v>
      </c>
      <c r="E91" s="337">
        <v>0</v>
      </c>
      <c r="F91" s="337">
        <v>0</v>
      </c>
      <c r="G91" s="337">
        <v>0</v>
      </c>
      <c r="H91" s="337">
        <v>0</v>
      </c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337"/>
      <c r="AI91" s="337"/>
      <c r="AJ91" s="337"/>
      <c r="AK91" s="337"/>
      <c r="AL91" s="337"/>
      <c r="AM91" s="337"/>
      <c r="AN91" s="337"/>
      <c r="AO91" s="337"/>
      <c r="AP91" s="337"/>
      <c r="AQ91" s="337"/>
      <c r="AR91" s="337"/>
      <c r="AS91" s="337"/>
      <c r="AT91" s="337"/>
      <c r="AU91" s="337"/>
      <c r="AV91" s="337"/>
      <c r="AW91" s="337"/>
      <c r="AX91" s="342" t="s">
        <v>233</v>
      </c>
      <c r="AY91" s="342" t="s">
        <v>233</v>
      </c>
      <c r="AZ91" s="337">
        <v>1092269</v>
      </c>
      <c r="BA91" s="337">
        <v>0</v>
      </c>
      <c r="BB91" s="337">
        <v>0</v>
      </c>
      <c r="BC91" s="337">
        <v>0</v>
      </c>
      <c r="BD91" s="342" t="s">
        <v>233</v>
      </c>
      <c r="BE91" s="342" t="s">
        <v>233</v>
      </c>
      <c r="BF91" s="337"/>
      <c r="BG91" s="342" t="s">
        <v>233</v>
      </c>
      <c r="BH91" s="337"/>
      <c r="BI91" s="337"/>
      <c r="BJ91" s="342" t="s">
        <v>233</v>
      </c>
      <c r="BK91" s="337"/>
      <c r="BL91" s="337"/>
      <c r="BM91" s="337"/>
      <c r="BN91" s="342" t="s">
        <v>233</v>
      </c>
      <c r="BO91" s="342" t="s">
        <v>233</v>
      </c>
      <c r="BP91" s="342" t="s">
        <v>233</v>
      </c>
      <c r="BQ91" s="342" t="s">
        <v>233</v>
      </c>
      <c r="BR91" s="337"/>
      <c r="BS91" s="337">
        <v>0</v>
      </c>
      <c r="BT91" s="337">
        <v>0</v>
      </c>
      <c r="BU91" s="337">
        <v>0</v>
      </c>
      <c r="BV91" s="337">
        <v>0</v>
      </c>
      <c r="BW91" s="337">
        <v>0</v>
      </c>
      <c r="BX91" s="337">
        <v>0</v>
      </c>
      <c r="BY91" s="337">
        <v>0</v>
      </c>
      <c r="BZ91" s="337">
        <v>0</v>
      </c>
      <c r="CA91" s="337">
        <v>0</v>
      </c>
      <c r="CB91" s="337">
        <v>0</v>
      </c>
      <c r="CC91" s="342" t="s">
        <v>233</v>
      </c>
      <c r="CD91" s="29" t="s">
        <v>233</v>
      </c>
      <c r="CE91" s="32">
        <f t="shared" si="15"/>
        <v>1092269</v>
      </c>
      <c r="CF91" s="32">
        <f>AY59-CE91</f>
        <v>-105366</v>
      </c>
    </row>
    <row r="92" spans="1:84" x14ac:dyDescent="0.35">
      <c r="A92" s="26" t="s">
        <v>277</v>
      </c>
      <c r="B92" s="20"/>
      <c r="C92" s="337">
        <v>227</v>
      </c>
      <c r="D92" s="337"/>
      <c r="E92" s="337">
        <v>22318</v>
      </c>
      <c r="F92" s="337"/>
      <c r="G92" s="337">
        <v>209</v>
      </c>
      <c r="H92" s="337">
        <v>2168</v>
      </c>
      <c r="I92" s="337"/>
      <c r="J92" s="337"/>
      <c r="K92" s="337"/>
      <c r="L92" s="337"/>
      <c r="M92" s="337"/>
      <c r="N92" s="337"/>
      <c r="O92" s="337"/>
      <c r="P92" s="337">
        <v>4930</v>
      </c>
      <c r="Q92" s="337">
        <v>1154</v>
      </c>
      <c r="R92" s="337">
        <v>9325</v>
      </c>
      <c r="S92" s="337">
        <v>4355</v>
      </c>
      <c r="T92" s="337">
        <v>91</v>
      </c>
      <c r="U92" s="337">
        <v>120565</v>
      </c>
      <c r="V92" s="337">
        <v>7567</v>
      </c>
      <c r="W92" s="337"/>
      <c r="X92" s="337">
        <v>0</v>
      </c>
      <c r="Y92" s="337">
        <v>4131</v>
      </c>
      <c r="Z92" s="337">
        <v>208</v>
      </c>
      <c r="AA92" s="337">
        <v>6719</v>
      </c>
      <c r="AB92" s="337">
        <v>7321</v>
      </c>
      <c r="AC92" s="337">
        <v>34</v>
      </c>
      <c r="AD92" s="337">
        <v>573</v>
      </c>
      <c r="AE92" s="337">
        <v>2246</v>
      </c>
      <c r="AF92" s="337"/>
      <c r="AG92" s="337"/>
      <c r="AH92" s="337"/>
      <c r="AI92" s="337"/>
      <c r="AJ92" s="337">
        <v>12436</v>
      </c>
      <c r="AK92" s="337"/>
      <c r="AL92" s="337"/>
      <c r="AM92" s="337"/>
      <c r="AN92" s="337"/>
      <c r="AO92" s="337"/>
      <c r="AP92" s="337"/>
      <c r="AQ92" s="337"/>
      <c r="AR92" s="337"/>
      <c r="AS92" s="337"/>
      <c r="AT92" s="337">
        <v>987</v>
      </c>
      <c r="AU92" s="337"/>
      <c r="AV92" s="337"/>
      <c r="AW92" s="337"/>
      <c r="AX92" s="342" t="s">
        <v>233</v>
      </c>
      <c r="AY92" s="342" t="s">
        <v>233</v>
      </c>
      <c r="AZ92" s="342" t="s">
        <v>233</v>
      </c>
      <c r="BA92" s="337"/>
      <c r="BB92" s="337"/>
      <c r="BC92" s="337"/>
      <c r="BD92" s="342" t="s">
        <v>233</v>
      </c>
      <c r="BE92" s="342" t="s">
        <v>233</v>
      </c>
      <c r="BF92" s="342" t="s">
        <v>233</v>
      </c>
      <c r="BG92" s="342" t="s">
        <v>233</v>
      </c>
      <c r="BH92" s="337"/>
      <c r="BI92" s="337"/>
      <c r="BJ92" s="342" t="s">
        <v>233</v>
      </c>
      <c r="BK92" s="337"/>
      <c r="BL92" s="337"/>
      <c r="BM92" s="337"/>
      <c r="BN92" s="342" t="s">
        <v>233</v>
      </c>
      <c r="BO92" s="342" t="s">
        <v>233</v>
      </c>
      <c r="BP92" s="342" t="s">
        <v>233</v>
      </c>
      <c r="BQ92" s="342" t="s">
        <v>233</v>
      </c>
      <c r="BR92" s="342" t="s">
        <v>233</v>
      </c>
      <c r="BS92" s="337"/>
      <c r="BT92" s="337"/>
      <c r="BU92" s="337"/>
      <c r="BV92" s="337"/>
      <c r="BW92" s="337"/>
      <c r="BX92" s="337"/>
      <c r="BY92" s="337"/>
      <c r="BZ92" s="337"/>
      <c r="CA92" s="337"/>
      <c r="CB92" s="337"/>
      <c r="CC92" s="342" t="s">
        <v>233</v>
      </c>
      <c r="CD92" s="29" t="s">
        <v>233</v>
      </c>
      <c r="CE92" s="32">
        <f t="shared" si="15"/>
        <v>207564</v>
      </c>
      <c r="CF92" s="20"/>
    </row>
    <row r="93" spans="1:84" x14ac:dyDescent="0.35">
      <c r="A93" s="26" t="s">
        <v>278</v>
      </c>
      <c r="B93" s="20"/>
      <c r="C93" s="344">
        <v>1089336</v>
      </c>
      <c r="D93" s="344"/>
      <c r="E93" s="337">
        <v>1589861</v>
      </c>
      <c r="F93" s="337"/>
      <c r="G93" s="337">
        <v>38072</v>
      </c>
      <c r="H93" s="337">
        <v>230750</v>
      </c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337">
        <v>29114</v>
      </c>
      <c r="T93" s="337"/>
      <c r="U93" s="337"/>
      <c r="V93" s="337">
        <v>49457</v>
      </c>
      <c r="W93" s="337"/>
      <c r="X93" s="337"/>
      <c r="Y93" s="337">
        <v>278191</v>
      </c>
      <c r="Z93" s="337"/>
      <c r="AA93" s="337"/>
      <c r="AB93" s="337">
        <v>14237</v>
      </c>
      <c r="AC93" s="337"/>
      <c r="AD93" s="337"/>
      <c r="AE93" s="337"/>
      <c r="AF93" s="337"/>
      <c r="AG93" s="337">
        <v>85116</v>
      </c>
      <c r="AH93" s="337"/>
      <c r="AI93" s="337"/>
      <c r="AJ93" s="337">
        <v>102208</v>
      </c>
      <c r="AK93" s="337"/>
      <c r="AL93" s="337"/>
      <c r="AM93" s="337"/>
      <c r="AN93" s="337"/>
      <c r="AO93" s="337"/>
      <c r="AP93" s="337"/>
      <c r="AQ93" s="337"/>
      <c r="AR93" s="337"/>
      <c r="AS93" s="337"/>
      <c r="AT93" s="337"/>
      <c r="AU93" s="337"/>
      <c r="AV93" s="337"/>
      <c r="AW93" s="337"/>
      <c r="AX93" s="342" t="s">
        <v>233</v>
      </c>
      <c r="AY93" s="342" t="s">
        <v>233</v>
      </c>
      <c r="AZ93" s="342" t="s">
        <v>233</v>
      </c>
      <c r="BA93" s="342" t="s">
        <v>233</v>
      </c>
      <c r="BB93" s="337"/>
      <c r="BC93" s="337"/>
      <c r="BD93" s="342" t="s">
        <v>233</v>
      </c>
      <c r="BE93" s="342" t="s">
        <v>233</v>
      </c>
      <c r="BF93" s="342" t="s">
        <v>233</v>
      </c>
      <c r="BG93" s="342" t="s">
        <v>233</v>
      </c>
      <c r="BH93" s="337"/>
      <c r="BI93" s="341">
        <v>8415</v>
      </c>
      <c r="BJ93" s="342" t="s">
        <v>233</v>
      </c>
      <c r="BK93" s="337"/>
      <c r="BL93" s="337"/>
      <c r="BM93" s="337"/>
      <c r="BN93" s="342" t="s">
        <v>233</v>
      </c>
      <c r="BO93" s="342" t="s">
        <v>233</v>
      </c>
      <c r="BP93" s="342" t="s">
        <v>233</v>
      </c>
      <c r="BQ93" s="342" t="s">
        <v>233</v>
      </c>
      <c r="BR93" s="342" t="s">
        <v>233</v>
      </c>
      <c r="BS93" s="337"/>
      <c r="BT93" s="337"/>
      <c r="BU93" s="337"/>
      <c r="BV93" s="337"/>
      <c r="BW93" s="337">
        <v>22139</v>
      </c>
      <c r="BX93" s="337"/>
      <c r="BY93" s="337"/>
      <c r="BZ93" s="337"/>
      <c r="CA93" s="337"/>
      <c r="CB93" s="337"/>
      <c r="CC93" s="342" t="s">
        <v>233</v>
      </c>
      <c r="CD93" s="29" t="s">
        <v>233</v>
      </c>
      <c r="CE93" s="32">
        <f t="shared" si="15"/>
        <v>3536896</v>
      </c>
      <c r="CF93" s="32">
        <f>BA59</f>
        <v>0</v>
      </c>
    </row>
    <row r="94" spans="1:84" x14ac:dyDescent="0.35">
      <c r="A94" s="26" t="s">
        <v>279</v>
      </c>
      <c r="B94" s="20"/>
      <c r="C94" s="345">
        <v>308.08414521258243</v>
      </c>
      <c r="D94" s="345">
        <v>0</v>
      </c>
      <c r="E94" s="345">
        <v>381.73686752513731</v>
      </c>
      <c r="F94" s="345">
        <v>0</v>
      </c>
      <c r="G94" s="345">
        <v>21.88525563715659</v>
      </c>
      <c r="H94" s="345">
        <v>29.101232527967024</v>
      </c>
      <c r="I94" s="345">
        <v>0</v>
      </c>
      <c r="J94" s="345">
        <v>0</v>
      </c>
      <c r="K94" s="345">
        <v>0</v>
      </c>
      <c r="L94" s="345">
        <v>0</v>
      </c>
      <c r="M94" s="345">
        <v>0</v>
      </c>
      <c r="N94" s="345">
        <v>0</v>
      </c>
      <c r="O94" s="345">
        <v>0</v>
      </c>
      <c r="P94" s="345">
        <v>83.017880025412083</v>
      </c>
      <c r="Q94" s="345">
        <v>71.111083991689569</v>
      </c>
      <c r="R94" s="345">
        <v>3.7225961538461541E-2</v>
      </c>
      <c r="S94" s="345">
        <v>0</v>
      </c>
      <c r="T94" s="345">
        <v>11.876372679065934</v>
      </c>
      <c r="U94" s="345">
        <v>0.7445069230769229</v>
      </c>
      <c r="V94" s="345">
        <v>0</v>
      </c>
      <c r="W94" s="345">
        <v>0</v>
      </c>
      <c r="X94" s="345">
        <v>0</v>
      </c>
      <c r="Y94" s="345">
        <v>20.894708134230768</v>
      </c>
      <c r="Z94" s="345">
        <v>2.6096142364835169</v>
      </c>
      <c r="AA94" s="345">
        <v>0</v>
      </c>
      <c r="AB94" s="345">
        <v>0</v>
      </c>
      <c r="AC94" s="345">
        <v>0</v>
      </c>
      <c r="AD94" s="345">
        <v>20.95180543118132</v>
      </c>
      <c r="AE94" s="345">
        <v>0</v>
      </c>
      <c r="AF94" s="345">
        <v>15.336016634285716</v>
      </c>
      <c r="AG94" s="345">
        <v>61.727947227376376</v>
      </c>
      <c r="AH94" s="345">
        <v>19.466545662307695</v>
      </c>
      <c r="AI94" s="345">
        <v>0</v>
      </c>
      <c r="AJ94" s="345">
        <v>355.84164777679945</v>
      </c>
      <c r="AK94" s="345">
        <v>0</v>
      </c>
      <c r="AL94" s="345">
        <v>0</v>
      </c>
      <c r="AM94" s="345">
        <v>0</v>
      </c>
      <c r="AN94" s="345">
        <v>0</v>
      </c>
      <c r="AO94" s="345">
        <v>0</v>
      </c>
      <c r="AP94" s="345">
        <v>0</v>
      </c>
      <c r="AQ94" s="345">
        <v>0</v>
      </c>
      <c r="AR94" s="345">
        <v>5.7115173058447803</v>
      </c>
      <c r="AS94" s="345">
        <v>0</v>
      </c>
      <c r="AT94" s="345">
        <v>1.9703053611950547</v>
      </c>
      <c r="AU94" s="345">
        <v>0</v>
      </c>
      <c r="AV94" s="345">
        <v>7.9896848055219767</v>
      </c>
      <c r="AW94" s="342" t="s">
        <v>233</v>
      </c>
      <c r="AX94" s="342" t="s">
        <v>233</v>
      </c>
      <c r="AY94" s="342" t="s">
        <v>233</v>
      </c>
      <c r="AZ94" s="342" t="s">
        <v>233</v>
      </c>
      <c r="BA94" s="342" t="s">
        <v>233</v>
      </c>
      <c r="BB94" s="342" t="s">
        <v>233</v>
      </c>
      <c r="BC94" s="342" t="s">
        <v>233</v>
      </c>
      <c r="BD94" s="342" t="s">
        <v>233</v>
      </c>
      <c r="BE94" s="342" t="s">
        <v>233</v>
      </c>
      <c r="BF94" s="342" t="s">
        <v>233</v>
      </c>
      <c r="BG94" s="342" t="s">
        <v>233</v>
      </c>
      <c r="BH94" s="342" t="s">
        <v>233</v>
      </c>
      <c r="BI94" s="342" t="s">
        <v>233</v>
      </c>
      <c r="BJ94" s="342" t="s">
        <v>233</v>
      </c>
      <c r="BK94" s="342" t="s">
        <v>233</v>
      </c>
      <c r="BL94" s="342" t="s">
        <v>233</v>
      </c>
      <c r="BM94" s="342" t="s">
        <v>233</v>
      </c>
      <c r="BN94" s="342" t="s">
        <v>233</v>
      </c>
      <c r="BO94" s="342" t="s">
        <v>233</v>
      </c>
      <c r="BP94" s="342" t="s">
        <v>233</v>
      </c>
      <c r="BQ94" s="342" t="s">
        <v>233</v>
      </c>
      <c r="BR94" s="342" t="s">
        <v>233</v>
      </c>
      <c r="BS94" s="342" t="s">
        <v>233</v>
      </c>
      <c r="BT94" s="342" t="s">
        <v>233</v>
      </c>
      <c r="BU94" s="346"/>
      <c r="BV94" s="346"/>
      <c r="BW94" s="346"/>
      <c r="BX94" s="346"/>
      <c r="BY94" s="346"/>
      <c r="BZ94" s="346"/>
      <c r="CA94" s="346"/>
      <c r="CB94" s="346"/>
      <c r="CC94" s="342" t="s">
        <v>233</v>
      </c>
      <c r="CD94" s="29" t="s">
        <v>233</v>
      </c>
      <c r="CE94" s="267">
        <f t="shared" si="15"/>
        <v>1420.0943630588529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14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15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1376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1377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35" t="s">
        <v>1379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16" t="s">
        <v>1380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1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1381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3" t="s">
        <v>1382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3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36"/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14862</v>
      </c>
      <c r="D127" s="50">
        <v>107555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96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199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12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41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348</v>
      </c>
    </row>
    <row r="144" spans="1:5" x14ac:dyDescent="0.35">
      <c r="A144" s="20" t="s">
        <v>325</v>
      </c>
      <c r="B144" s="46" t="s">
        <v>284</v>
      </c>
      <c r="C144" s="47">
        <v>407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347">
        <v>128</v>
      </c>
      <c r="C154" s="347">
        <v>7099</v>
      </c>
      <c r="D154" s="347">
        <v>7635</v>
      </c>
      <c r="E154" s="32">
        <f>SUM(B154:D154)</f>
        <v>14862</v>
      </c>
    </row>
    <row r="155" spans="1:6" x14ac:dyDescent="0.35">
      <c r="A155" s="20" t="s">
        <v>227</v>
      </c>
      <c r="B155" s="347">
        <v>710</v>
      </c>
      <c r="C155" s="347">
        <v>56668</v>
      </c>
      <c r="D155" s="347">
        <v>50177</v>
      </c>
      <c r="E155" s="32">
        <f>SUM(B155:D155)</f>
        <v>107555</v>
      </c>
    </row>
    <row r="156" spans="1:6" x14ac:dyDescent="0.35">
      <c r="A156" s="20" t="s">
        <v>332</v>
      </c>
      <c r="B156" s="347">
        <v>4839</v>
      </c>
      <c r="C156" s="347">
        <v>284197</v>
      </c>
      <c r="D156" s="347">
        <v>455772</v>
      </c>
      <c r="E156" s="32">
        <f>SUM(B156:D156)</f>
        <v>744808</v>
      </c>
    </row>
    <row r="157" spans="1:6" x14ac:dyDescent="0.35">
      <c r="A157" s="20" t="s">
        <v>272</v>
      </c>
      <c r="B157" s="50">
        <v>17947521</v>
      </c>
      <c r="C157" s="50">
        <v>1065058519</v>
      </c>
      <c r="D157" s="50">
        <v>979456846</v>
      </c>
      <c r="E157" s="32">
        <f>SUM(B157:D157)</f>
        <v>2062462886</v>
      </c>
      <c r="F157" s="18"/>
    </row>
    <row r="158" spans="1:6" x14ac:dyDescent="0.35">
      <c r="A158" s="20" t="s">
        <v>273</v>
      </c>
      <c r="B158" s="50">
        <v>18179014</v>
      </c>
      <c r="C158" s="50">
        <v>571241966</v>
      </c>
      <c r="D158" s="50">
        <v>707510887</v>
      </c>
      <c r="E158" s="32">
        <f>SUM(B158:D158)</f>
        <v>1296931867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58413705.509999998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237085.8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4446100.7300000004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103203612.34999999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/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41197769.350000001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4296481.9000000004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211794755.63999999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30185571.440000001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1367034.94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31552606.380000003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8341234.54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3842382.44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12183616.98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47253196.82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47253196.82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20873637.460000001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20873637.460000001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221166313.39999998</v>
      </c>
      <c r="C211" s="47">
        <v>0</v>
      </c>
      <c r="D211" s="50">
        <v>0</v>
      </c>
      <c r="E211" s="32">
        <f t="shared" ref="E211:E219" si="16">SUM(B211:C211)-D211</f>
        <v>221166313.39999998</v>
      </c>
    </row>
    <row r="212" spans="1:5" x14ac:dyDescent="0.35">
      <c r="A212" s="20" t="s">
        <v>367</v>
      </c>
      <c r="B212" s="50">
        <v>14811592.639999999</v>
      </c>
      <c r="C212" s="47">
        <v>133388.47000000067</v>
      </c>
      <c r="D212" s="50">
        <v>0</v>
      </c>
      <c r="E212" s="32">
        <f t="shared" si="16"/>
        <v>14944981.109999999</v>
      </c>
    </row>
    <row r="213" spans="1:5" x14ac:dyDescent="0.35">
      <c r="A213" s="20" t="s">
        <v>368</v>
      </c>
      <c r="B213" s="50">
        <v>1386576879.8700001</v>
      </c>
      <c r="C213" s="47">
        <v>486054773.52999997</v>
      </c>
      <c r="D213" s="50">
        <v>1997429.19</v>
      </c>
      <c r="E213" s="32">
        <f t="shared" si="16"/>
        <v>1870634224.21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68511892.11999999</v>
      </c>
      <c r="C215" s="47">
        <v>3134946.349999994</v>
      </c>
      <c r="D215" s="50">
        <v>19638.849999999999</v>
      </c>
      <c r="E215" s="32">
        <f t="shared" si="16"/>
        <v>71627199.61999999</v>
      </c>
    </row>
    <row r="216" spans="1:5" x14ac:dyDescent="0.35">
      <c r="A216" s="20" t="s">
        <v>371</v>
      </c>
      <c r="B216" s="50">
        <v>665969735.93000019</v>
      </c>
      <c r="C216" s="47">
        <v>94308694.529999852</v>
      </c>
      <c r="D216" s="50">
        <v>51884660.16999986</v>
      </c>
      <c r="E216" s="32">
        <f t="shared" si="16"/>
        <v>708393770.2900002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100089771.22</v>
      </c>
      <c r="C218" s="47">
        <v>3564609.4800000042</v>
      </c>
      <c r="D218" s="50">
        <v>2918452.8599999994</v>
      </c>
      <c r="E218" s="32">
        <f t="shared" si="16"/>
        <v>100735927.84</v>
      </c>
    </row>
    <row r="219" spans="1:5" x14ac:dyDescent="0.35">
      <c r="A219" s="20" t="s">
        <v>374</v>
      </c>
      <c r="B219" s="50">
        <v>502682426.27000004</v>
      </c>
      <c r="C219" s="47">
        <v>230257925.94999617</v>
      </c>
      <c r="D219" s="50">
        <v>579135167.48000014</v>
      </c>
      <c r="E219" s="32">
        <f t="shared" si="16"/>
        <v>153805184.73999608</v>
      </c>
    </row>
    <row r="220" spans="1:5" x14ac:dyDescent="0.35">
      <c r="A220" s="20" t="s">
        <v>215</v>
      </c>
      <c r="B220" s="32">
        <f>SUM(B211:B219)</f>
        <v>2959808611.4499998</v>
      </c>
      <c r="C220" s="266">
        <f>SUM(C211:C219)</f>
        <v>817454338.30999613</v>
      </c>
      <c r="D220" s="32">
        <f>SUM(D211:D219)</f>
        <v>635955348.54999995</v>
      </c>
      <c r="E220" s="32">
        <f>SUM(E211:E219)</f>
        <v>3141307601.2099962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9791794.2600000016</v>
      </c>
      <c r="C225" s="47">
        <v>771530.20999999717</v>
      </c>
      <c r="D225" s="50">
        <v>0</v>
      </c>
      <c r="E225" s="32">
        <f t="shared" ref="E225:E232" si="17">SUM(B225:C225)-D225</f>
        <v>10563324.469999999</v>
      </c>
    </row>
    <row r="226" spans="1:5" x14ac:dyDescent="0.35">
      <c r="A226" s="20" t="s">
        <v>368</v>
      </c>
      <c r="B226" s="50">
        <v>509703135.82999998</v>
      </c>
      <c r="C226" s="47">
        <v>58460548.869999945</v>
      </c>
      <c r="D226" s="50">
        <v>1693937.3</v>
      </c>
      <c r="E226" s="32">
        <f t="shared" si="17"/>
        <v>566469747.39999998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34597764.509999998</v>
      </c>
      <c r="C228" s="47">
        <v>3977349.9200000018</v>
      </c>
      <c r="D228" s="50">
        <v>19638.849999999999</v>
      </c>
      <c r="E228" s="32">
        <f t="shared" si="17"/>
        <v>38555475.579999998</v>
      </c>
    </row>
    <row r="229" spans="1:5" x14ac:dyDescent="0.35">
      <c r="A229" s="20" t="s">
        <v>371</v>
      </c>
      <c r="B229" s="50">
        <v>414132413.18000007</v>
      </c>
      <c r="C229" s="47">
        <v>66812456.789999723</v>
      </c>
      <c r="D229" s="50">
        <v>51505491.139999814</v>
      </c>
      <c r="E229" s="32">
        <f t="shared" si="17"/>
        <v>429439378.82999998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32995681.090000004</v>
      </c>
      <c r="C231" s="47">
        <v>9080796.8999999985</v>
      </c>
      <c r="D231" s="50">
        <v>2918452.8599999994</v>
      </c>
      <c r="E231" s="32">
        <f t="shared" si="17"/>
        <v>39158025.130000003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1001220788.8700001</v>
      </c>
      <c r="C233" s="266">
        <f>SUM(C224:C232)</f>
        <v>139102682.68999967</v>
      </c>
      <c r="D233" s="32">
        <f>SUM(D224:D232)</f>
        <v>56137520.149999812</v>
      </c>
      <c r="E233" s="32">
        <f>SUM(E224:E232)</f>
        <v>1084185951.4100001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9" t="s">
        <v>377</v>
      </c>
      <c r="C236" s="349"/>
      <c r="D236" s="38"/>
      <c r="E236" s="38"/>
    </row>
    <row r="237" spans="1:5" x14ac:dyDescent="0.35">
      <c r="A237" s="56" t="s">
        <v>377</v>
      </c>
      <c r="B237" s="38"/>
      <c r="C237" s="47">
        <v>2273538.08</v>
      </c>
      <c r="D237" s="40">
        <f>C237</f>
        <v>2273538.08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25822205.23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1131640136.8399999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63641154.920000002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377213803.99000001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1598317300.98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7575308.1200000001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19145207.219999999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26720515.34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29640371.489999998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29640371.489999998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1656951725.8899999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 t="s">
        <v>1383</v>
      </c>
      <c r="D265" s="348"/>
      <c r="E265" s="45"/>
    </row>
    <row r="266" spans="1:5" x14ac:dyDescent="0.35">
      <c r="A266" s="20" t="s">
        <v>397</v>
      </c>
      <c r="B266" s="46" t="s">
        <v>284</v>
      </c>
      <c r="C266" s="47">
        <v>49119166.210000001</v>
      </c>
      <c r="D266" s="20" t="s">
        <v>233</v>
      </c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790971981.07000005</v>
      </c>
      <c r="D268" s="20" t="s">
        <v>233</v>
      </c>
      <c r="E268" s="20"/>
    </row>
    <row r="269" spans="1:5" x14ac:dyDescent="0.35">
      <c r="A269" s="20" t="s">
        <v>400</v>
      </c>
      <c r="B269" s="46" t="s">
        <v>284</v>
      </c>
      <c r="C269" s="47">
        <v>393406900</v>
      </c>
      <c r="D269" s="20" t="s">
        <v>233</v>
      </c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109851229</v>
      </c>
      <c r="D271" s="20" t="s">
        <v>233</v>
      </c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25854532</v>
      </c>
      <c r="D273" s="20" t="s">
        <v>233</v>
      </c>
      <c r="E273" s="20"/>
    </row>
    <row r="274" spans="1:5" x14ac:dyDescent="0.35">
      <c r="A274" s="20" t="s">
        <v>405</v>
      </c>
      <c r="B274" s="46" t="s">
        <v>284</v>
      </c>
      <c r="C274" s="47">
        <v>38865684</v>
      </c>
      <c r="D274" s="20" t="s">
        <v>233</v>
      </c>
      <c r="E274" s="20"/>
    </row>
    <row r="275" spans="1:5" x14ac:dyDescent="0.35">
      <c r="A275" s="20" t="s">
        <v>406</v>
      </c>
      <c r="B275" s="46" t="s">
        <v>284</v>
      </c>
      <c r="C275" s="47">
        <v>27069523</v>
      </c>
      <c r="D275" s="20" t="s">
        <v>233</v>
      </c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648325215.28000009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1650578933</v>
      </c>
      <c r="D279" s="20" t="s">
        <v>233</v>
      </c>
      <c r="E279" s="20"/>
    </row>
    <row r="280" spans="1:5" x14ac:dyDescent="0.35">
      <c r="A280" s="20" t="s">
        <v>409</v>
      </c>
      <c r="B280" s="46" t="s">
        <v>284</v>
      </c>
      <c r="C280" s="47">
        <v>2633454</v>
      </c>
      <c r="D280" s="20" t="s">
        <v>233</v>
      </c>
      <c r="E280" s="20"/>
    </row>
    <row r="281" spans="1:5" x14ac:dyDescent="0.35">
      <c r="A281" s="20" t="s">
        <v>410</v>
      </c>
      <c r="B281" s="20"/>
      <c r="C281" s="27"/>
      <c r="D281" s="32">
        <f>SUM(C278:C280)</f>
        <v>1653212387</v>
      </c>
      <c r="E281" s="20" t="s">
        <v>233</v>
      </c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221166313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14944981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1870634224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71627200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708393770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100735928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153805185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3141307601</v>
      </c>
      <c r="E291" s="20"/>
    </row>
    <row r="292" spans="1:5" x14ac:dyDescent="0.35">
      <c r="A292" s="20" t="s">
        <v>416</v>
      </c>
      <c r="B292" s="46" t="s">
        <v>284</v>
      </c>
      <c r="C292" s="47">
        <v>1084185951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2057121650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369448067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369448067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4728107319.2800007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127416358.50999996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159463032.74000004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14059523.08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f>315991273.82+18245128.09+200000</f>
        <v>334436401.90999997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19468870.670000002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654844186.90999997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58642195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913094476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94423827.180000007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1066160498.1800001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19468870.670000002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1046691627.5100001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17">
        <v>3026571504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4728107318.4200001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4728107319.2800007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f>E157</f>
        <v>2062462886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f>E158</f>
        <v>1296931867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3359394753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2273538.08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1221111872.3099999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26720515.34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406845800.16000003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1656951725.8899999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1702443027.1100001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365503258.74000001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365503258.74000001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365503258.74000001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2067946285.8500001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799799458.14999998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211794755.63999999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/>
      <c r="D391" s="20"/>
      <c r="E391" s="20"/>
    </row>
    <row r="392" spans="1:5" x14ac:dyDescent="0.35">
      <c r="A392" s="20" t="s">
        <v>496</v>
      </c>
      <c r="B392" s="46" t="s">
        <v>284</v>
      </c>
      <c r="C392" s="47">
        <f>170904874.51+36421046.25</f>
        <v>207325920.75999999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16807691.5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f>88559757.22+406619323.89</f>
        <v>495179081.11000001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142550848.65000001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31552606.379999999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12183616.98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47253196.82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20873637.460000001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  <c r="G403" s="12">
        <f>SUM(C396:C399)+C414</f>
        <v>171940255.84000006</v>
      </c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2045398011.2-1985320813</f>
        <v>60077198.200000048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60077198.200000048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2045398011.6500001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22548274.200000048</v>
      </c>
      <c r="E417" s="32"/>
    </row>
    <row r="418" spans="1:13" x14ac:dyDescent="0.35">
      <c r="A418" s="32" t="s">
        <v>508</v>
      </c>
      <c r="B418" s="20"/>
      <c r="C418" s="236">
        <f>-150580932.68-19635870.56</f>
        <v>-170216803.24000001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-170216803.24000001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-147668529.03999996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-147668529.03999996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1964416.1276800872</v>
      </c>
      <c r="E612" s="258">
        <f>SUM(C624:D647)+SUM(C668:D713)</f>
        <v>1118290423.6176267</v>
      </c>
      <c r="F612" s="258">
        <f>CE64-(AX64+BD64+BE64+BG64+BJ64+BN64+BP64+BQ64+CB64+CC64+CD64)</f>
        <v>203807385.60000005</v>
      </c>
      <c r="G612" s="256">
        <f>CE91-(AX91+AY91+BD91+BE91+BG91+BJ91+BN91+BP91+BQ91+CB91+CC91+CD91)</f>
        <v>1092269</v>
      </c>
      <c r="H612" s="261">
        <f>CE60-(AX60+AY60+AZ60+BD60+BE60+BG60+BJ60+BN60+BO60+BP60+BQ60+BR60+CB60+CC60+CD60)</f>
        <v>6678.5611584235685</v>
      </c>
      <c r="I612" s="256">
        <f>CE92-(AX92+AY92+AZ92+BD92+BE92+BF92+BG92+BJ92+BN92+BO92+BP92+BQ92+BR92+CB92+CC92+CD92)</f>
        <v>207564</v>
      </c>
      <c r="J612" s="256">
        <f>CE93-(AX93+AY93+AZ93+BA93+BD93+BE93+BF93+BG93+BJ93+BN93+BO93+BP93+BQ93+BR93+CB93+CC93+CD93)</f>
        <v>3536896</v>
      </c>
      <c r="K612" s="256">
        <f>CE89-(AW89+AX89+AY89+AZ89+BA89+BB89+BC89+BD89+BE89+BF89+BG89+BH89+BI89+BJ89+BK89+BL89+BM89+BN89+BO89+BP89+BQ89+BR89+BS89+BT89+BU89+BV89+BW89+BX89+CB89+CC89+CD89)</f>
        <v>3346512565.9300003</v>
      </c>
      <c r="L612" s="262">
        <f>CE94-(AW94+AX94+AY94+AZ94+BA94+BB94+BC94+BD94+BE94+BF94+BG94+BH94+BI94+BJ94+BK94+BL94+BM94+BN94+BO94+BP94+BQ94+BR94+BS94+BT94+BU94+BV94+BW94+BX94+BY94+BZ94+CA94+CB94+CC94+CD94)</f>
        <v>1420.0943630588529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53038598.100000001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53038598.100000001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1564490.01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8529062.160000002</v>
      </c>
      <c r="D617" s="256">
        <f>(D615/D612)*BJ90</f>
        <v>5976.1081870764574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6146931.6899999995</v>
      </c>
      <c r="D618" s="256">
        <f>(D615/D612)*BG90</f>
        <v>36970.655735808221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27854397.450000003</v>
      </c>
      <c r="D619" s="256">
        <f>(D615/D612)*BN90</f>
        <v>1483623.2617879712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106855096.61000003</v>
      </c>
      <c r="D620" s="256">
        <f>(D615/D612)*CC90</f>
        <v>20664593.450387463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11180467.920000002</v>
      </c>
      <c r="D621" s="256">
        <f>(D615/D612)*BP90</f>
        <v>215677.45827502845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10472713.959999999</v>
      </c>
      <c r="D623" s="256">
        <f>(D615/D612)*BQ90</f>
        <v>92538.147999557725</v>
      </c>
      <c r="E623" s="258">
        <f>SUM(C616:D623)</f>
        <v>195102538.88237298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3701925.7300000009</v>
      </c>
      <c r="D624" s="256">
        <f>(D615/D612)*BD90</f>
        <v>162955.0298230843</v>
      </c>
      <c r="E624" s="258">
        <f>(E623/E612)*SUM(C624:D624)</f>
        <v>674286.42219773482</v>
      </c>
      <c r="F624" s="258">
        <f>SUM(C624:E624)</f>
        <v>4539167.1820208197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316875.24999999907</v>
      </c>
      <c r="D625" s="256">
        <f>(D615/D612)*AY90</f>
        <v>940371.69986304292</v>
      </c>
      <c r="E625" s="258">
        <f>(E623/E612)*SUM(C625:D625)</f>
        <v>219345.58924942641</v>
      </c>
      <c r="F625" s="258">
        <f>(F624/F612)*AY64</f>
        <v>85676.012778760865</v>
      </c>
      <c r="G625" s="256">
        <f>SUM(C625:F625)</f>
        <v>1562268.5518912293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20903987.849999998</v>
      </c>
      <c r="D626" s="256">
        <f>(D615/D612)*BR90</f>
        <v>351241.47924684349</v>
      </c>
      <c r="E626" s="258">
        <f>(E623/E612)*SUM(C626:D626)</f>
        <v>3708293.5873204698</v>
      </c>
      <c r="F626" s="258">
        <f>(F624/F612)*BR64</f>
        <v>2922.0631610224345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2120611.1</v>
      </c>
      <c r="D627" s="256">
        <f>(D615/D612)*BO90</f>
        <v>0</v>
      </c>
      <c r="E627" s="258">
        <f>(E623/E612)*SUM(C627:D627)</f>
        <v>369972.4158002889</v>
      </c>
      <c r="F627" s="258">
        <f>(F624/F612)*BO64</f>
        <v>8076.3385800587384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764.65999999997439</v>
      </c>
      <c r="D628" s="256">
        <f>(D615/D612)*AZ90</f>
        <v>215295.41286594229</v>
      </c>
      <c r="E628" s="258">
        <f>(E623/E612)*SUM(C628:D628)</f>
        <v>37694.920636885799</v>
      </c>
      <c r="F628" s="258">
        <f>(F624/F612)*AZ64</f>
        <v>2163.4668573448148</v>
      </c>
      <c r="G628" s="256">
        <f>(G625/G612)*AZ91</f>
        <v>1562268.5518912293</v>
      </c>
      <c r="H628" s="258">
        <f>SUM(C626:G628)</f>
        <v>29283291.84636008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13767965.749999998</v>
      </c>
      <c r="D629" s="256">
        <f>(D615/D612)*BF90</f>
        <v>171948.24375459488</v>
      </c>
      <c r="E629" s="258">
        <f>(E623/E612)*SUM(C629:D629)</f>
        <v>2432027.0964900823</v>
      </c>
      <c r="F629" s="258">
        <f>(F624/F612)*BF64</f>
        <v>28215.258772604338</v>
      </c>
      <c r="G629" s="256">
        <f>(G625/G612)*BF91</f>
        <v>0</v>
      </c>
      <c r="H629" s="258">
        <f>(H628/H612)*BF60</f>
        <v>751861.62604579492</v>
      </c>
      <c r="I629" s="256">
        <f>SUM(C629:H629)</f>
        <v>17152017.975063074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3801467.5999999996</v>
      </c>
      <c r="D630" s="256">
        <f>(D615/D612)*BA90</f>
        <v>0</v>
      </c>
      <c r="E630" s="258">
        <f>(E623/E612)*SUM(C630:D630)</f>
        <v>663223.04526205966</v>
      </c>
      <c r="F630" s="258">
        <f>(F624/F612)*BA64</f>
        <v>456.37021708633523</v>
      </c>
      <c r="G630" s="256">
        <f>(G625/G612)*BA91</f>
        <v>0</v>
      </c>
      <c r="H630" s="258">
        <f>(H628/H612)*BA60</f>
        <v>23279.134508961815</v>
      </c>
      <c r="I630" s="256">
        <f>(I629/I612)*BA92</f>
        <v>0</v>
      </c>
      <c r="J630" s="256">
        <f>SUM(C630:I630)</f>
        <v>4488426.1499881074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121986841.96000004</v>
      </c>
      <c r="D631" s="256">
        <f>(D615/D612)*AW90</f>
        <v>149296.86594874057</v>
      </c>
      <c r="E631" s="258">
        <f>(E623/E612)*SUM(C631:D631)</f>
        <v>21308481.474022146</v>
      </c>
      <c r="F631" s="258">
        <f>(F624/F612)*AW64</f>
        <v>525898.25340128841</v>
      </c>
      <c r="G631" s="256">
        <f>(G625/G612)*AW91</f>
        <v>0</v>
      </c>
      <c r="H631" s="258">
        <f>(H628/H612)*AW60</f>
        <v>5406970.9305150863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19404538.969999999</v>
      </c>
      <c r="D632" s="256">
        <f>(D615/D612)*BB90</f>
        <v>355910.96513516974</v>
      </c>
      <c r="E632" s="258">
        <f>(E623/E612)*SUM(C632:D632)</f>
        <v>3447506.9001584584</v>
      </c>
      <c r="F632" s="258">
        <f>(F624/F612)*BB64</f>
        <v>5769.6015994508743</v>
      </c>
      <c r="G632" s="256">
        <f>(G625/G612)*BB91</f>
        <v>0</v>
      </c>
      <c r="H632" s="258">
        <f>(H628/H612)*BB60</f>
        <v>637716.6842784232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292421.15000000002</v>
      </c>
      <c r="D633" s="256">
        <f>(D615/D612)*BC90</f>
        <v>0</v>
      </c>
      <c r="E633" s="258">
        <f>(E623/E612)*SUM(C633:D633)</f>
        <v>51017.255967677738</v>
      </c>
      <c r="F633" s="258">
        <f>(F624/F612)*BC64</f>
        <v>0.45746376483967621</v>
      </c>
      <c r="G633" s="256">
        <f>(G625/G612)*BC91</f>
        <v>0</v>
      </c>
      <c r="H633" s="258">
        <f>(H628/H612)*BC60</f>
        <v>25209.835878026406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8560230.4699999988</v>
      </c>
      <c r="D634" s="256">
        <f>(D615/D612)*BI90</f>
        <v>31244.564544359888</v>
      </c>
      <c r="E634" s="258">
        <f>(E623/E612)*SUM(C634:D634)</f>
        <v>1498911.6928692141</v>
      </c>
      <c r="F634" s="258">
        <f>(F624/F612)*BI64</f>
        <v>6093.7093315961838</v>
      </c>
      <c r="G634" s="256">
        <f>(G625/G612)*BI91</f>
        <v>0</v>
      </c>
      <c r="H634" s="258">
        <f>(H628/H612)*BI60</f>
        <v>172276.43323527472</v>
      </c>
      <c r="I634" s="256">
        <f>(I629/I612)*BI92</f>
        <v>0</v>
      </c>
      <c r="J634" s="256">
        <f>(J630/J612)*BI93</f>
        <v>10678.885116257285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11503518.1</v>
      </c>
      <c r="D635" s="256">
        <f>(D615/D612)*BK90</f>
        <v>10387.585175810633</v>
      </c>
      <c r="E635" s="258">
        <f>(E623/E612)*SUM(C635:D635)</f>
        <v>2008773.5566607071</v>
      </c>
      <c r="F635" s="258">
        <f>(F624/F612)*BK64</f>
        <v>2925.1132906521711</v>
      </c>
      <c r="G635" s="256">
        <f>(G625/G612)*BK91</f>
        <v>0</v>
      </c>
      <c r="H635" s="258">
        <f>(H628/H612)*BK60</f>
        <v>913301.20306560141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91217103.200000003</v>
      </c>
      <c r="D636" s="256">
        <f>(D615/D612)*BH90</f>
        <v>1329375.4653329321</v>
      </c>
      <c r="E636" s="258">
        <f>(E623/E612)*SUM(C636:D636)</f>
        <v>16146121.410768393</v>
      </c>
      <c r="F636" s="258">
        <f>(F624/F612)*BH64</f>
        <v>12517.182108504347</v>
      </c>
      <c r="G636" s="256">
        <f>(G625/G612)*BH91</f>
        <v>0</v>
      </c>
      <c r="H636" s="258">
        <f>(H628/H612)*BH60</f>
        <v>1277241.0592655258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7122723.1200000001</v>
      </c>
      <c r="D637" s="256">
        <f>(D615/D612)*BL90</f>
        <v>30593.332370002416</v>
      </c>
      <c r="E637" s="258">
        <f>(E623/E612)*SUM(C637:D637)</f>
        <v>1248003.3556682232</v>
      </c>
      <c r="F637" s="258">
        <f>(F624/F612)*BL64</f>
        <v>641.03925203799099</v>
      </c>
      <c r="G637" s="256">
        <f>(G625/G612)*BL91</f>
        <v>0</v>
      </c>
      <c r="H637" s="258">
        <f>(H628/H612)*BL60</f>
        <v>500819.00144890911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-7630.7600000000011</v>
      </c>
      <c r="D639" s="256">
        <f>(D615/D612)*BS90</f>
        <v>77033.854309547853</v>
      </c>
      <c r="E639" s="258">
        <f>(E623/E612)*SUM(C639:D639)</f>
        <v>12108.41085653032</v>
      </c>
      <c r="F639" s="258">
        <f>(F624/F612)*BS64</f>
        <v>3.4977937813082356</v>
      </c>
      <c r="G639" s="256">
        <f>(G625/G612)*BS91</f>
        <v>0</v>
      </c>
      <c r="H639" s="258">
        <f>(H628/H612)*BS60</f>
        <v>-517.36103546832464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1180506.51</v>
      </c>
      <c r="D640" s="256">
        <f>(D615/D612)*BT90</f>
        <v>44167.419254671644</v>
      </c>
      <c r="E640" s="258">
        <f>(E623/E612)*SUM(C640:D640)</f>
        <v>213662.73720531919</v>
      </c>
      <c r="F640" s="258">
        <f>(F624/F612)*BT64</f>
        <v>266.33388940397259</v>
      </c>
      <c r="G640" s="256">
        <f>(G625/G612)*BT91</f>
        <v>0</v>
      </c>
      <c r="H640" s="258">
        <f>(H628/H612)*BT60</f>
        <v>28378.812398194175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1086387.7000000002</v>
      </c>
      <c r="D641" s="256">
        <f>(D615/D612)*BU90</f>
        <v>110933.02695435664</v>
      </c>
      <c r="E641" s="258">
        <f>(E623/E612)*SUM(C641:D641)</f>
        <v>208890.56076291471</v>
      </c>
      <c r="F641" s="258">
        <f>(F624/F612)*BU64</f>
        <v>3.3897753168743292</v>
      </c>
      <c r="G641" s="256">
        <f>(G625/G612)*BU91</f>
        <v>0</v>
      </c>
      <c r="H641" s="258">
        <f>(H628/H612)*BU60</f>
        <v>10444.689171387057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2949866.38</v>
      </c>
      <c r="D642" s="256">
        <f>(D615/D612)*BV90</f>
        <v>384177.84346140403</v>
      </c>
      <c r="E642" s="258">
        <f>(E623/E612)*SUM(C642:D642)</f>
        <v>581674.0258216199</v>
      </c>
      <c r="F642" s="258">
        <f>(F624/F612)*BV64</f>
        <v>648.70900844976507</v>
      </c>
      <c r="G642" s="256">
        <f>(G625/G612)*BV91</f>
        <v>0</v>
      </c>
      <c r="H642" s="258">
        <f>(H628/H612)*BV60</f>
        <v>147999.13857276231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34778504.43999999</v>
      </c>
      <c r="D643" s="256">
        <f>(D615/D612)*BW90</f>
        <v>1174949.0930237796</v>
      </c>
      <c r="E643" s="258">
        <f>(E623/E612)*SUM(C643:D643)</f>
        <v>6272619.2746874867</v>
      </c>
      <c r="F643" s="258">
        <f>(F624/F612)*BW64</f>
        <v>14309.140058888455</v>
      </c>
      <c r="G643" s="256">
        <f>(G625/G612)*BW91</f>
        <v>0</v>
      </c>
      <c r="H643" s="258">
        <f>(H628/H612)*BW60</f>
        <v>126188.94688615548</v>
      </c>
      <c r="I643" s="256">
        <f>(I629/I612)*BW92</f>
        <v>0</v>
      </c>
      <c r="J643" s="256">
        <f>(J630/J612)*BW93</f>
        <v>28095.049030162805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14283032.279999999</v>
      </c>
      <c r="D644" s="256">
        <f>(D615/D612)*BX90</f>
        <v>99657.152452826223</v>
      </c>
      <c r="E644" s="258">
        <f>(E623/E612)*SUM(C644:D644)</f>
        <v>2509275.9134524278</v>
      </c>
      <c r="F644" s="258">
        <f>(F624/F612)*BX64</f>
        <v>419.94416369438835</v>
      </c>
      <c r="G644" s="256">
        <f>(G625/G612)*BX91</f>
        <v>0</v>
      </c>
      <c r="H644" s="258">
        <f>(H628/H612)*BX60</f>
        <v>450096.29217638262</v>
      </c>
      <c r="I644" s="256">
        <f>(I629/I612)*BX92</f>
        <v>0</v>
      </c>
      <c r="J644" s="256">
        <f>(J630/J612)*BX93</f>
        <v>0</v>
      </c>
      <c r="K644" s="258">
        <f>SUM(C631:J644)</f>
        <v>383967213.22800434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10154699.210000001</v>
      </c>
      <c r="D645" s="256">
        <f>(D615/D612)*BY90</f>
        <v>134378.73521500351</v>
      </c>
      <c r="E645" s="258">
        <f>(E623/E612)*SUM(C645:D645)</f>
        <v>1795083.9848705248</v>
      </c>
      <c r="F645" s="258">
        <f>(F624/F612)*BY64</f>
        <v>1366.8999475930857</v>
      </c>
      <c r="G645" s="256">
        <f>(G625/G612)*BY91</f>
        <v>0</v>
      </c>
      <c r="H645" s="258">
        <f>(H628/H612)*BY60</f>
        <v>344560.43770291551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6165249.0500000007</v>
      </c>
      <c r="D646" s="256">
        <f>(D615/D612)*BZ90</f>
        <v>64608.873616448029</v>
      </c>
      <c r="E646" s="258">
        <f>(E623/E612)*SUM(C646:D646)</f>
        <v>1086892.1633452494</v>
      </c>
      <c r="F646" s="258">
        <f>(F624/F612)*BZ64</f>
        <v>86.723459365074092</v>
      </c>
      <c r="G646" s="256">
        <f>(G625/G612)*BZ91</f>
        <v>0</v>
      </c>
      <c r="H646" s="258">
        <f>(H628/H612)*BZ60</f>
        <v>316709.46748866083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20063635.545645762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600933347.62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73536939.359999999</v>
      </c>
      <c r="D668" s="256">
        <f>(D615/D612)*C90</f>
        <v>2005740.2336803065</v>
      </c>
      <c r="E668" s="258">
        <f>(E623/E612)*SUM(C668:D668)</f>
        <v>13179553.603817828</v>
      </c>
      <c r="F668" s="258">
        <f>(F624/F612)*C64</f>
        <v>102615.61336101868</v>
      </c>
      <c r="G668" s="256">
        <f>(G625/G612)*C91</f>
        <v>0</v>
      </c>
      <c r="H668" s="258">
        <f>(H628/H612)*C60</f>
        <v>1892120.5222020429</v>
      </c>
      <c r="I668" s="256">
        <f>(I629/I612)*C92</f>
        <v>18758.108729545191</v>
      </c>
      <c r="J668" s="256">
        <f>(J630/J612)*C93</f>
        <v>1382399.7619730534</v>
      </c>
      <c r="K668" s="256">
        <f>(K644/K612)*C89</f>
        <v>64530069.859075449</v>
      </c>
      <c r="L668" s="256">
        <f>(L647/L612)*C94</f>
        <v>4352730.4718136452</v>
      </c>
      <c r="M668" s="231">
        <f t="shared" ref="M668:M713" si="18">ROUND(SUM(D668:L668),0)</f>
        <v>87463988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77062836.810000017</v>
      </c>
      <c r="D670" s="256">
        <f>(D615/D612)*E90</f>
        <v>5976706.6078854315</v>
      </c>
      <c r="E670" s="258">
        <f>(E623/E612)*SUM(C670:D670)</f>
        <v>14487493.951751953</v>
      </c>
      <c r="F670" s="258">
        <f>(F624/F612)*E64</f>
        <v>96214.195950081572</v>
      </c>
      <c r="G670" s="256">
        <f>(G625/G612)*E91</f>
        <v>0</v>
      </c>
      <c r="H670" s="258">
        <f>(H628/H612)*E60</f>
        <v>2540403.6789224092</v>
      </c>
      <c r="I670" s="256">
        <f>(I629/I612)*E92</f>
        <v>1844244.3639911434</v>
      </c>
      <c r="J670" s="256">
        <f>(J630/J612)*E93</f>
        <v>2017580.8639118148</v>
      </c>
      <c r="K670" s="256">
        <f>(K644/K612)*E89</f>
        <v>59994751.622388296</v>
      </c>
      <c r="L670" s="256">
        <f>(L647/L612)*E94</f>
        <v>5393324.2632295415</v>
      </c>
      <c r="M670" s="231">
        <f t="shared" si="18"/>
        <v>92350720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4607708.2999999989</v>
      </c>
      <c r="D672" s="256">
        <f>(D615/D612)*G90</f>
        <v>322980.64884793322</v>
      </c>
      <c r="E672" s="258">
        <f>(E623/E612)*SUM(C672:D672)</f>
        <v>860232.64801596873</v>
      </c>
      <c r="F672" s="258">
        <f>(F624/F612)*G64</f>
        <v>4071.5324074787859</v>
      </c>
      <c r="G672" s="256">
        <f>(G625/G612)*G91</f>
        <v>0</v>
      </c>
      <c r="H672" s="258">
        <f>(H628/H612)*G60</f>
        <v>158300.10655893944</v>
      </c>
      <c r="I672" s="256">
        <f>(I629/I612)*G92</f>
        <v>17270.681605616497</v>
      </c>
      <c r="J672" s="256">
        <f>(J630/J612)*G93</f>
        <v>48314.499601443531</v>
      </c>
      <c r="K672" s="256">
        <f>(K644/K612)*G89</f>
        <v>3570974.8979734201</v>
      </c>
      <c r="L672" s="256">
        <f>(L647/L612)*G94</f>
        <v>309203.25039625674</v>
      </c>
      <c r="M672" s="231">
        <f t="shared" si="18"/>
        <v>5291348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18761100.629999999</v>
      </c>
      <c r="D673" s="256">
        <f>(D615/D612)*H90</f>
        <v>1662005.3122296305</v>
      </c>
      <c r="E673" s="258">
        <f>(E623/E612)*SUM(C673:D673)</f>
        <v>3563117.1805108115</v>
      </c>
      <c r="F673" s="258">
        <f>(F624/F612)*H64</f>
        <v>5838.9276272060715</v>
      </c>
      <c r="G673" s="256">
        <f>(G625/G612)*H91</f>
        <v>0</v>
      </c>
      <c r="H673" s="258">
        <f>(H628/H612)*H60</f>
        <v>730193.71573319577</v>
      </c>
      <c r="I673" s="256">
        <f>(I629/I612)*H92</f>
        <v>179152.33359318931</v>
      </c>
      <c r="J673" s="256">
        <f>(J630/J612)*H93</f>
        <v>292828.60850580729</v>
      </c>
      <c r="K673" s="256">
        <f>(K644/K612)*H89</f>
        <v>11118932.475704793</v>
      </c>
      <c r="L673" s="256">
        <f>(L647/L612)*H94</f>
        <v>411153.3279468586</v>
      </c>
      <c r="M673" s="231">
        <f t="shared" si="18"/>
        <v>17963222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60453440.729999997</v>
      </c>
      <c r="D681" s="256">
        <f>(D615/D612)*P90</f>
        <v>2692469.0082382564</v>
      </c>
      <c r="E681" s="258">
        <f>(E623/E612)*SUM(C681:D681)</f>
        <v>11016751.149592206</v>
      </c>
      <c r="F681" s="258">
        <f>(F624/F612)*P64</f>
        <v>639865.91115633165</v>
      </c>
      <c r="G681" s="256">
        <f>(G625/G612)*P91</f>
        <v>0</v>
      </c>
      <c r="H681" s="258">
        <f>(H628/H612)*P60</f>
        <v>982975.2281028711</v>
      </c>
      <c r="I681" s="256">
        <f>(I629/I612)*P92</f>
        <v>407389.76227602549</v>
      </c>
      <c r="J681" s="256">
        <f>(J630/J612)*P93</f>
        <v>0</v>
      </c>
      <c r="K681" s="256">
        <f>(K644/K612)*P89</f>
        <v>46513544.710080616</v>
      </c>
      <c r="L681" s="256">
        <f>(L647/L612)*P94</f>
        <v>1172908.316468674</v>
      </c>
      <c r="M681" s="231">
        <f t="shared" si="18"/>
        <v>63425904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13919651.440000001</v>
      </c>
      <c r="D682" s="256">
        <f>(D615/D612)*Q90</f>
        <v>264699.1491975165</v>
      </c>
      <c r="E682" s="258">
        <f>(E623/E612)*SUM(C682:D682)</f>
        <v>2474672.7271415568</v>
      </c>
      <c r="F682" s="258">
        <f>(F624/F612)*Q64</f>
        <v>7344.6377604327445</v>
      </c>
      <c r="G682" s="256">
        <f>(G625/G612)*Q91</f>
        <v>0</v>
      </c>
      <c r="H682" s="258">
        <f>(H628/H612)*Q60</f>
        <v>432863.15536008583</v>
      </c>
      <c r="I682" s="256">
        <f>(I629/I612)*Q92</f>
        <v>95360.605611872903</v>
      </c>
      <c r="J682" s="256">
        <f>(J630/J612)*Q93</f>
        <v>0</v>
      </c>
      <c r="K682" s="256">
        <f>(K644/K612)*Q89</f>
        <v>4601997.8599159112</v>
      </c>
      <c r="L682" s="256">
        <f>(L647/L612)*Q94</f>
        <v>1004684.5544769869</v>
      </c>
      <c r="M682" s="231">
        <f t="shared" si="18"/>
        <v>8881623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7177712.7599999988</v>
      </c>
      <c r="D683" s="256">
        <f>(D615/D612)*R90</f>
        <v>205175.23247681643</v>
      </c>
      <c r="E683" s="258">
        <f>(E623/E612)*SUM(C683:D683)</f>
        <v>1288055.5544388087</v>
      </c>
      <c r="F683" s="258">
        <f>(F624/F612)*R64</f>
        <v>46838.972115792407</v>
      </c>
      <c r="G683" s="256">
        <f>(G625/G612)*R91</f>
        <v>0</v>
      </c>
      <c r="H683" s="258">
        <f>(H628/H612)*R60</f>
        <v>142930.35758689718</v>
      </c>
      <c r="I683" s="256">
        <f>(I629/I612)*R92</f>
        <v>770569.88503528154</v>
      </c>
      <c r="J683" s="256">
        <f>(J630/J612)*R93</f>
        <v>0</v>
      </c>
      <c r="K683" s="256">
        <f>(K644/K612)*R89</f>
        <v>12299792.489421297</v>
      </c>
      <c r="L683" s="256">
        <f>(L647/L612)*R94</f>
        <v>525.94260252898823</v>
      </c>
      <c r="M683" s="231">
        <f t="shared" si="18"/>
        <v>14753888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12606817.809999999</v>
      </c>
      <c r="D684" s="256">
        <f>(D615/D612)*S90</f>
        <v>909184.56155168789</v>
      </c>
      <c r="E684" s="258">
        <f>(E623/E612)*SUM(C684:D684)</f>
        <v>2358069.3552747183</v>
      </c>
      <c r="F684" s="258">
        <f>(F624/F612)*S64</f>
        <v>29054.916809081293</v>
      </c>
      <c r="G684" s="256">
        <f>(G625/G612)*S91</f>
        <v>0</v>
      </c>
      <c r="H684" s="258">
        <f>(H628/H612)*S60</f>
        <v>542082.47383655049</v>
      </c>
      <c r="I684" s="256">
        <f>(I629/I612)*S92</f>
        <v>359874.72915052559</v>
      </c>
      <c r="J684" s="256">
        <f>(J630/J612)*S93</f>
        <v>36946.531345777134</v>
      </c>
      <c r="K684" s="256">
        <f>(K644/K612)*S89</f>
        <v>2166882.5062117763</v>
      </c>
      <c r="L684" s="256">
        <f>(L647/L612)*S94</f>
        <v>0</v>
      </c>
      <c r="M684" s="231">
        <f t="shared" si="18"/>
        <v>6402095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1882066.2599999998</v>
      </c>
      <c r="D685" s="256">
        <f>(D615/D612)*T90</f>
        <v>12896.935021780118</v>
      </c>
      <c r="E685" s="258">
        <f>(E623/E612)*SUM(C685:D685)</f>
        <v>330604.75403285492</v>
      </c>
      <c r="F685" s="258">
        <f>(F624/F612)*T64</f>
        <v>3454.0917377831101</v>
      </c>
      <c r="G685" s="256">
        <f>(G625/G612)*T91</f>
        <v>0</v>
      </c>
      <c r="H685" s="258">
        <f>(H628/H612)*T60</f>
        <v>56128.274302803657</v>
      </c>
      <c r="I685" s="256">
        <f>(I629/I612)*T92</f>
        <v>7519.7704598617283</v>
      </c>
      <c r="J685" s="256">
        <f>(J630/J612)*T93</f>
        <v>0</v>
      </c>
      <c r="K685" s="256">
        <f>(K644/K612)*T89</f>
        <v>0</v>
      </c>
      <c r="L685" s="256">
        <f>(L647/L612)*T94</f>
        <v>167793.92921734194</v>
      </c>
      <c r="M685" s="231">
        <f t="shared" si="18"/>
        <v>578398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49343273.150000006</v>
      </c>
      <c r="D686" s="256">
        <f>(D615/D612)*U90</f>
        <v>1193476.9183810053</v>
      </c>
      <c r="E686" s="258">
        <f>(E623/E612)*SUM(C686:D686)</f>
        <v>8816894.1063707229</v>
      </c>
      <c r="F686" s="258">
        <f>(F624/F612)*U64</f>
        <v>343406.63728364959</v>
      </c>
      <c r="G686" s="256">
        <f>(G625/G612)*U91</f>
        <v>0</v>
      </c>
      <c r="H686" s="258">
        <f>(H628/H612)*U60</f>
        <v>991639.91310592298</v>
      </c>
      <c r="I686" s="256">
        <f>(I629/I612)*U92</f>
        <v>9962869.510914607</v>
      </c>
      <c r="J686" s="256">
        <f>(J630/J612)*U93</f>
        <v>0</v>
      </c>
      <c r="K686" s="256">
        <f>(K644/K612)*U89</f>
        <v>28825731.102202788</v>
      </c>
      <c r="L686" s="256">
        <f>(L647/L612)*U94</f>
        <v>10518.678162802094</v>
      </c>
      <c r="M686" s="231">
        <f t="shared" si="18"/>
        <v>50144537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8364804.3600000003</v>
      </c>
      <c r="D687" s="256">
        <f>(D615/D612)*V90</f>
        <v>147761.50239869859</v>
      </c>
      <c r="E687" s="258">
        <f>(E623/E612)*SUM(C687:D687)</f>
        <v>1485144.8041419361</v>
      </c>
      <c r="F687" s="258">
        <f>(F624/F612)*V64</f>
        <v>10792.676009837887</v>
      </c>
      <c r="G687" s="256">
        <f>(G625/G612)*V91</f>
        <v>0</v>
      </c>
      <c r="H687" s="258">
        <f>(H628/H612)*V60</f>
        <v>278477.11714990006</v>
      </c>
      <c r="I687" s="256">
        <f>(I629/I612)*V92</f>
        <v>625297.83593157912</v>
      </c>
      <c r="J687" s="256">
        <f>(J630/J612)*V93</f>
        <v>62762.402994026917</v>
      </c>
      <c r="K687" s="256">
        <f>(K644/K612)*V89</f>
        <v>10140335.527841007</v>
      </c>
      <c r="L687" s="256">
        <f>(L647/L612)*V94</f>
        <v>0</v>
      </c>
      <c r="M687" s="231">
        <f t="shared" si="18"/>
        <v>12750572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1956255.2500000005</v>
      </c>
      <c r="D688" s="256">
        <f>(D615/D612)*W90</f>
        <v>0</v>
      </c>
      <c r="E688" s="258">
        <f>(E623/E612)*SUM(C688:D688)</f>
        <v>341298.07241153187</v>
      </c>
      <c r="F688" s="258">
        <f>(F624/F612)*W64</f>
        <v>1795.4321360061776</v>
      </c>
      <c r="G688" s="256">
        <f>(G625/G612)*W91</f>
        <v>0</v>
      </c>
      <c r="H688" s="258">
        <f>(H628/H612)*W60</f>
        <v>47432.851537648516</v>
      </c>
      <c r="I688" s="256">
        <f>(I629/I612)*W92</f>
        <v>0</v>
      </c>
      <c r="J688" s="256">
        <f>(J630/J612)*W93</f>
        <v>0</v>
      </c>
      <c r="K688" s="256">
        <f>(K644/K612)*W89</f>
        <v>5234181.1354548056</v>
      </c>
      <c r="L688" s="256">
        <f>(L647/L612)*W94</f>
        <v>0</v>
      </c>
      <c r="M688" s="231">
        <f t="shared" si="18"/>
        <v>5624707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1849199.0699999998</v>
      </c>
      <c r="D689" s="256">
        <f>(D615/D612)*X90</f>
        <v>112372.08623460161</v>
      </c>
      <c r="E689" s="258">
        <f>(E623/E612)*SUM(C689:D689)</f>
        <v>342225.51199335011</v>
      </c>
      <c r="F689" s="258">
        <f>(F624/F612)*X64</f>
        <v>2059.9606693839619</v>
      </c>
      <c r="G689" s="256">
        <f>(G625/G612)*X91</f>
        <v>0</v>
      </c>
      <c r="H689" s="258">
        <f>(H628/H612)*X60</f>
        <v>46922.318554816571</v>
      </c>
      <c r="I689" s="256">
        <f>(I629/I612)*X92</f>
        <v>0</v>
      </c>
      <c r="J689" s="256">
        <f>(J630/J612)*X93</f>
        <v>0</v>
      </c>
      <c r="K689" s="256">
        <f>(K644/K612)*X89</f>
        <v>3456666.6929730433</v>
      </c>
      <c r="L689" s="256">
        <f>(L647/L612)*X94</f>
        <v>0</v>
      </c>
      <c r="M689" s="231">
        <f t="shared" si="18"/>
        <v>3960247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22258154.440000001</v>
      </c>
      <c r="D690" s="256">
        <f>(D615/D612)*Y90</f>
        <v>1409209.5343282926</v>
      </c>
      <c r="E690" s="258">
        <f>(E623/E612)*SUM(C690:D690)</f>
        <v>4129126.6584462211</v>
      </c>
      <c r="F690" s="258">
        <f>(F624/F612)*Y64</f>
        <v>129405.41192432385</v>
      </c>
      <c r="G690" s="256">
        <f>(G625/G612)*Y91</f>
        <v>0</v>
      </c>
      <c r="H690" s="258">
        <f>(H628/H612)*Y60</f>
        <v>506022.29284618923</v>
      </c>
      <c r="I690" s="256">
        <f>(I629/I612)*Y92</f>
        <v>341364.52494163514</v>
      </c>
      <c r="J690" s="256">
        <f>(J630/J612)*Y93</f>
        <v>353032.64757893403</v>
      </c>
      <c r="K690" s="256">
        <f>(K644/K612)*Y89</f>
        <v>17857060.086372796</v>
      </c>
      <c r="L690" s="256">
        <f>(L647/L612)*Y94</f>
        <v>295208.41694973491</v>
      </c>
      <c r="M690" s="231">
        <f t="shared" si="18"/>
        <v>25020430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2571939.81</v>
      </c>
      <c r="D691" s="256">
        <f>(D615/D612)*Z90</f>
        <v>10489.078827229741</v>
      </c>
      <c r="E691" s="258">
        <f>(E623/E612)*SUM(C691:D691)</f>
        <v>450543.45638003392</v>
      </c>
      <c r="F691" s="258">
        <f>(F624/F612)*Z64</f>
        <v>3036.0680755708127</v>
      </c>
      <c r="G691" s="256">
        <f>(G625/G612)*Z91</f>
        <v>0</v>
      </c>
      <c r="H691" s="258">
        <f>(H628/H612)*Z60</f>
        <v>40690.672961233766</v>
      </c>
      <c r="I691" s="256">
        <f>(I629/I612)*Z92</f>
        <v>17188.046765398234</v>
      </c>
      <c r="J691" s="256">
        <f>(J630/J612)*Z93</f>
        <v>0</v>
      </c>
      <c r="K691" s="256">
        <f>(K644/K612)*Z89</f>
        <v>797525.28739473748</v>
      </c>
      <c r="L691" s="256">
        <f>(L647/L612)*Z94</f>
        <v>36869.626637173002</v>
      </c>
      <c r="M691" s="231">
        <f t="shared" si="18"/>
        <v>1356342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1471445.3099999996</v>
      </c>
      <c r="D692" s="256">
        <f>(D615/D612)*AA90</f>
        <v>59940.736482779546</v>
      </c>
      <c r="E692" s="258">
        <f>(E623/E612)*SUM(C692:D692)</f>
        <v>267173.26677205792</v>
      </c>
      <c r="F692" s="258">
        <f>(F624/F612)*AA64</f>
        <v>15936.362724019382</v>
      </c>
      <c r="G692" s="256">
        <f>(G625/G612)*AA91</f>
        <v>0</v>
      </c>
      <c r="H692" s="258">
        <f>(H628/H612)*AA60</f>
        <v>17232.260999332044</v>
      </c>
      <c r="I692" s="256">
        <f>(I629/I612)*AA92</f>
        <v>555223.49142649397</v>
      </c>
      <c r="J692" s="256">
        <f>(J630/J612)*AA93</f>
        <v>0</v>
      </c>
      <c r="K692" s="256">
        <f>(K644/K612)*AA89</f>
        <v>565911.42590995831</v>
      </c>
      <c r="L692" s="256">
        <f>(L647/L612)*AA94</f>
        <v>0</v>
      </c>
      <c r="M692" s="231">
        <f t="shared" si="18"/>
        <v>1481418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108739367.27000001</v>
      </c>
      <c r="D693" s="256">
        <f>(D615/D612)*AB90</f>
        <v>451866.57006827317</v>
      </c>
      <c r="E693" s="258">
        <f>(E623/E612)*SUM(C693:D693)</f>
        <v>19050048.624202859</v>
      </c>
      <c r="F693" s="258">
        <f>(F624/F612)*AB64</f>
        <v>1894327.8758591299</v>
      </c>
      <c r="G693" s="256">
        <f>(G625/G612)*AB91</f>
        <v>0</v>
      </c>
      <c r="H693" s="258">
        <f>(H628/H612)*AB60</f>
        <v>858872.24907094345</v>
      </c>
      <c r="I693" s="256">
        <f>(I629/I612)*AB92</f>
        <v>604969.66523788695</v>
      </c>
      <c r="J693" s="256">
        <f>(J630/J612)*AB93</f>
        <v>18067.176161634576</v>
      </c>
      <c r="K693" s="256">
        <f>(K644/K612)*AB89</f>
        <v>56152939.907457091</v>
      </c>
      <c r="L693" s="256">
        <f>(L647/L612)*AB94</f>
        <v>0</v>
      </c>
      <c r="M693" s="231">
        <f t="shared" si="18"/>
        <v>79031092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20250770.029999997</v>
      </c>
      <c r="D694" s="256">
        <f>(D615/D612)*AC90</f>
        <v>137190.21143041996</v>
      </c>
      <c r="E694" s="258">
        <f>(E623/E612)*SUM(C694:D694)</f>
        <v>3556985.4858169192</v>
      </c>
      <c r="F694" s="258">
        <f>(F624/F612)*AC64</f>
        <v>75780.719650074941</v>
      </c>
      <c r="G694" s="256">
        <f>(G625/G612)*AC91</f>
        <v>0</v>
      </c>
      <c r="H694" s="258">
        <f>(H628/H612)*AC60</f>
        <v>538210.73007450276</v>
      </c>
      <c r="I694" s="256">
        <f>(I629/I612)*AC92</f>
        <v>2809.5845674208654</v>
      </c>
      <c r="J694" s="256">
        <f>(J630/J612)*AC93</f>
        <v>0</v>
      </c>
      <c r="K694" s="256">
        <f>(K644/K612)*AC89</f>
        <v>2102517.2586138477</v>
      </c>
      <c r="L694" s="256">
        <f>(L647/L612)*AC94</f>
        <v>0</v>
      </c>
      <c r="M694" s="231">
        <f t="shared" si="18"/>
        <v>6413494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5572284.9700000007</v>
      </c>
      <c r="D695" s="256">
        <f>(D615/D612)*AD90</f>
        <v>130594.73068613948</v>
      </c>
      <c r="E695" s="258">
        <f>(E623/E612)*SUM(C695:D695)</f>
        <v>994952.90762237331</v>
      </c>
      <c r="F695" s="258">
        <f>(F624/F612)*AD64</f>
        <v>26722.373437805498</v>
      </c>
      <c r="G695" s="256">
        <f>(G625/G612)*AD91</f>
        <v>0</v>
      </c>
      <c r="H695" s="258">
        <f>(H628/H612)*AD60</f>
        <v>135516.45843364162</v>
      </c>
      <c r="I695" s="256">
        <f>(I629/I612)*AD92</f>
        <v>47349.763445063407</v>
      </c>
      <c r="J695" s="256">
        <f>(J630/J612)*AD93</f>
        <v>0</v>
      </c>
      <c r="K695" s="256">
        <f>(K644/K612)*AD89</f>
        <v>4381876.3217228334</v>
      </c>
      <c r="L695" s="256">
        <f>(L647/L612)*AD94</f>
        <v>296015.10936853295</v>
      </c>
      <c r="M695" s="231">
        <f t="shared" si="18"/>
        <v>6013028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11385815.869999997</v>
      </c>
      <c r="D696" s="256">
        <f>(D615/D612)*AE90</f>
        <v>305013.4447539064</v>
      </c>
      <c r="E696" s="258">
        <f>(E623/E612)*SUM(C696:D696)</f>
        <v>2039640.5377149715</v>
      </c>
      <c r="F696" s="258">
        <f>(F624/F612)*AE64</f>
        <v>3467.8276775264035</v>
      </c>
      <c r="G696" s="256">
        <f>(G625/G612)*AE91</f>
        <v>0</v>
      </c>
      <c r="H696" s="258">
        <f>(H628/H612)*AE60</f>
        <v>399372.24057502736</v>
      </c>
      <c r="I696" s="256">
        <f>(I629/I612)*AE92</f>
        <v>185597.85113021365</v>
      </c>
      <c r="J696" s="256">
        <f>(J630/J612)*AE93</f>
        <v>0</v>
      </c>
      <c r="K696" s="256">
        <f>(K644/K612)*AE89</f>
        <v>2642578.947655723</v>
      </c>
      <c r="L696" s="256">
        <f>(L647/L612)*AE94</f>
        <v>0</v>
      </c>
      <c r="M696" s="231">
        <f t="shared" si="18"/>
        <v>5575671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17311538.779999994</v>
      </c>
      <c r="D697" s="256">
        <f>(D615/D612)*AF90</f>
        <v>290635.19953254302</v>
      </c>
      <c r="E697" s="258">
        <f>(E623/E612)*SUM(C697:D697)</f>
        <v>3070963.2853212156</v>
      </c>
      <c r="F697" s="258">
        <f>(F624/F612)*AF64</f>
        <v>3301.7117603948241</v>
      </c>
      <c r="G697" s="256">
        <f>(G625/G612)*AF91</f>
        <v>0</v>
      </c>
      <c r="H697" s="258">
        <f>(H628/H612)*AF60</f>
        <v>601393.96217425622</v>
      </c>
      <c r="I697" s="256">
        <f>(I629/I612)*AF92</f>
        <v>0</v>
      </c>
      <c r="J697" s="256">
        <f>(J630/J612)*AF93</f>
        <v>0</v>
      </c>
      <c r="K697" s="256">
        <f>(K644/K612)*AF89</f>
        <v>1325470.4784327256</v>
      </c>
      <c r="L697" s="256">
        <f>(L647/L612)*AF94</f>
        <v>216673.10037728649</v>
      </c>
      <c r="M697" s="231">
        <f t="shared" si="18"/>
        <v>5508438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22053119.16</v>
      </c>
      <c r="D698" s="256">
        <f>(D615/D612)*AG90</f>
        <v>899168.4129893689</v>
      </c>
      <c r="E698" s="258">
        <f>(E623/E612)*SUM(C698:D698)</f>
        <v>4004370.8540061051</v>
      </c>
      <c r="F698" s="258">
        <f>(F624/F612)*AG64</f>
        <v>40944.212528301498</v>
      </c>
      <c r="G698" s="256">
        <f>(G625/G612)*AG91</f>
        <v>0</v>
      </c>
      <c r="H698" s="258">
        <f>(H628/H612)*AG60</f>
        <v>597242.46647822578</v>
      </c>
      <c r="I698" s="256">
        <f>(I629/I612)*AG92</f>
        <v>0</v>
      </c>
      <c r="J698" s="256">
        <f>(J630/J612)*AG93</f>
        <v>108014.73387467083</v>
      </c>
      <c r="K698" s="256">
        <f>(K644/K612)*AG89</f>
        <v>14919471.495878479</v>
      </c>
      <c r="L698" s="256">
        <f>(L647/L612)*AG94</f>
        <v>872116.01451840135</v>
      </c>
      <c r="M698" s="231">
        <f t="shared" si="18"/>
        <v>21441328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4820940.68</v>
      </c>
      <c r="D699" s="256">
        <f>(D615/D612)*AH90</f>
        <v>5741.2110097584609</v>
      </c>
      <c r="E699" s="258">
        <f>(E623/E612)*SUM(C699:D699)</f>
        <v>842087.05665852013</v>
      </c>
      <c r="F699" s="258">
        <f>(F624/F612)*AH64</f>
        <v>1907.7031871615291</v>
      </c>
      <c r="G699" s="256">
        <f>(G625/G612)*AH91</f>
        <v>0</v>
      </c>
      <c r="H699" s="258">
        <f>(H628/H612)*AH60</f>
        <v>138235.95536745089</v>
      </c>
      <c r="I699" s="256">
        <f>(I629/I612)*AH92</f>
        <v>0</v>
      </c>
      <c r="J699" s="256">
        <f>(J630/J612)*AH93</f>
        <v>0</v>
      </c>
      <c r="K699" s="256">
        <f>(K644/K612)*AH89</f>
        <v>204581.87146065399</v>
      </c>
      <c r="L699" s="256">
        <f>(L647/L612)*AH94</f>
        <v>275030.79208055884</v>
      </c>
      <c r="M699" s="231">
        <f t="shared" si="18"/>
        <v>1467585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130106997.36999999</v>
      </c>
      <c r="D701" s="256">
        <f>(D615/D612)*AJ90</f>
        <v>5116965.6862468291</v>
      </c>
      <c r="E701" s="258">
        <f>(E623/E612)*SUM(C701:D701)</f>
        <v>23591848.729834832</v>
      </c>
      <c r="F701" s="258">
        <f>(F624/F612)*AJ64</f>
        <v>105364.65566376966</v>
      </c>
      <c r="G701" s="256">
        <f>(G625/G612)*AJ91</f>
        <v>0</v>
      </c>
      <c r="H701" s="258">
        <f>(H628/H612)*AJ60</f>
        <v>4610747.4760189364</v>
      </c>
      <c r="I701" s="256">
        <f>(I629/I612)*AJ92</f>
        <v>1027646.8729542907</v>
      </c>
      <c r="J701" s="256">
        <f>(J630/J612)*AJ93</f>
        <v>129704.9898945246</v>
      </c>
      <c r="K701" s="256">
        <f>(K644/K612)*AJ89</f>
        <v>17268646.35245027</v>
      </c>
      <c r="L701" s="256">
        <f>(L647/L612)*AJ94</f>
        <v>5027466.7083231509</v>
      </c>
      <c r="M701" s="231">
        <f t="shared" si="18"/>
        <v>56878391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2959211.1699999995</v>
      </c>
      <c r="D702" s="256">
        <f>(D615/D612)*AK90</f>
        <v>101119.18488406409</v>
      </c>
      <c r="E702" s="258">
        <f>(E623/E612)*SUM(C702:D702)</f>
        <v>533920.53570945293</v>
      </c>
      <c r="F702" s="258">
        <f>(F624/F612)*AK64</f>
        <v>2427.3196628440578</v>
      </c>
      <c r="G702" s="256">
        <f>(G625/G612)*AK91</f>
        <v>0</v>
      </c>
      <c r="H702" s="258">
        <f>(H628/H612)*AK60</f>
        <v>118879.10468058994</v>
      </c>
      <c r="I702" s="256">
        <f>(I629/I612)*AK92</f>
        <v>0</v>
      </c>
      <c r="J702" s="256">
        <f>(J630/J612)*AK93</f>
        <v>0</v>
      </c>
      <c r="K702" s="256">
        <f>(K644/K612)*AK89</f>
        <v>1148186.4185707709</v>
      </c>
      <c r="L702" s="256">
        <f>(L647/L612)*AK94</f>
        <v>0</v>
      </c>
      <c r="M702" s="231">
        <f t="shared" si="18"/>
        <v>1904533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2193989.0299999998</v>
      </c>
      <c r="D703" s="256">
        <f>(D615/D612)*AL90</f>
        <v>75641.751037994312</v>
      </c>
      <c r="E703" s="258">
        <f>(E623/E612)*SUM(C703:D703)</f>
        <v>395971.13446936267</v>
      </c>
      <c r="F703" s="258">
        <f>(F624/F612)*AL64</f>
        <v>988.73955312656608</v>
      </c>
      <c r="G703" s="256">
        <f>(G625/G612)*AL91</f>
        <v>0</v>
      </c>
      <c r="H703" s="258">
        <f>(H628/H612)*AL60</f>
        <v>84020.725262523614</v>
      </c>
      <c r="I703" s="256">
        <f>(I629/I612)*AL92</f>
        <v>0</v>
      </c>
      <c r="J703" s="256">
        <f>(J630/J612)*AL93</f>
        <v>0</v>
      </c>
      <c r="K703" s="256">
        <f>(K644/K612)*AL89</f>
        <v>954413.08777163248</v>
      </c>
      <c r="L703" s="256">
        <f>(L647/L612)*AL94</f>
        <v>0</v>
      </c>
      <c r="M703" s="231">
        <f t="shared" si="18"/>
        <v>1511035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2190247.98</v>
      </c>
      <c r="D704" s="256">
        <f>(D615/D612)*AM90</f>
        <v>180845.71683659169</v>
      </c>
      <c r="E704" s="258">
        <f>(E623/E612)*SUM(C704:D704)</f>
        <v>413672.86208559014</v>
      </c>
      <c r="F704" s="258">
        <f>(F624/F612)*AM64</f>
        <v>121.66197600660013</v>
      </c>
      <c r="G704" s="256">
        <f>(G625/G612)*AM91</f>
        <v>0</v>
      </c>
      <c r="H704" s="258">
        <f>(H628/H612)*AM60</f>
        <v>127924.98116694958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722565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18291846.640000004</v>
      </c>
      <c r="D709" s="256">
        <f>(D615/D612)*AR90</f>
        <v>0</v>
      </c>
      <c r="E709" s="258">
        <f>(E623/E612)*SUM(C709:D709)</f>
        <v>3191287.0261073322</v>
      </c>
      <c r="F709" s="258">
        <f>(F624/F612)*AR64</f>
        <v>220600.67090528391</v>
      </c>
      <c r="G709" s="256">
        <f>(G625/G612)*AR91</f>
        <v>0</v>
      </c>
      <c r="H709" s="258">
        <f>(H628/H612)*AR60</f>
        <v>281369.33828730829</v>
      </c>
      <c r="I709" s="256">
        <f>(I629/I612)*AR92</f>
        <v>0</v>
      </c>
      <c r="J709" s="256">
        <f>(J630/J612)*AR93</f>
        <v>0</v>
      </c>
      <c r="K709" s="256">
        <f>(K644/K612)*AR89</f>
        <v>8694007.6194697358</v>
      </c>
      <c r="L709" s="256">
        <f>(L647/L612)*AR94</f>
        <v>80694.497927789562</v>
      </c>
      <c r="M709" s="231">
        <f t="shared" si="18"/>
        <v>12467959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3859514.93</v>
      </c>
      <c r="D711" s="256">
        <f>(D615/D612)*AT90</f>
        <v>2674.3178636031585</v>
      </c>
      <c r="E711" s="258">
        <f>(E623/E612)*SUM(C711:D711)</f>
        <v>673816.84756342077</v>
      </c>
      <c r="F711" s="258">
        <f>(F624/F612)*AT64</f>
        <v>237.34908325986339</v>
      </c>
      <c r="G711" s="256">
        <f>(G625/G612)*AT91</f>
        <v>0</v>
      </c>
      <c r="H711" s="258">
        <f>(H628/H612)*AT60</f>
        <v>9989.3828194814196</v>
      </c>
      <c r="I711" s="256">
        <f>(I629/I612)*AT92</f>
        <v>81560.587295423364</v>
      </c>
      <c r="J711" s="256">
        <f>(J630/J612)*AT93</f>
        <v>0</v>
      </c>
      <c r="K711" s="256">
        <f>(K644/K612)*AT89</f>
        <v>836486.61491304846</v>
      </c>
      <c r="L711" s="256">
        <f>(L647/L612)*AT94</f>
        <v>27837.226672387835</v>
      </c>
      <c r="M711" s="231">
        <f t="shared" si="18"/>
        <v>1632602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4900625.51</v>
      </c>
      <c r="D713" s="256">
        <f>(D615/D612)*AV90</f>
        <v>18128.392157082973</v>
      </c>
      <c r="E713" s="258">
        <f>(E623/E612)*SUM(C713:D713)</f>
        <v>858150.40009370586</v>
      </c>
      <c r="F713" s="258">
        <f>(F624/F612)*AV64</f>
        <v>22783.508417470501</v>
      </c>
      <c r="G713" s="256">
        <f>(G625/G612)*AV91</f>
        <v>0</v>
      </c>
      <c r="H713" s="258">
        <f>(H628/H612)*AV60</f>
        <v>242565.50458682259</v>
      </c>
      <c r="I713" s="256">
        <f>(I629/I612)*AV92</f>
        <v>0</v>
      </c>
      <c r="J713" s="256">
        <f>(J630/J612)*AV93</f>
        <v>0</v>
      </c>
      <c r="K713" s="256">
        <f>(K644/K612)*AV89</f>
        <v>1661679.1746868084</v>
      </c>
      <c r="L713" s="256">
        <f>(L647/L612)*AV94</f>
        <v>112881.31847611115</v>
      </c>
      <c r="M713" s="231">
        <f t="shared" si="18"/>
        <v>2916188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1313392962.4999998</v>
      </c>
      <c r="D715" s="231">
        <f>SUM(D616:D647)+SUM(D668:D713)</f>
        <v>53038598.100000009</v>
      </c>
      <c r="E715" s="231">
        <f>SUM(E624:E647)+SUM(E668:E713)</f>
        <v>195102538.88237303</v>
      </c>
      <c r="F715" s="231">
        <f>SUM(F625:F648)+SUM(F668:F713)</f>
        <v>4539167.1820208188</v>
      </c>
      <c r="G715" s="231">
        <f>SUM(G626:G647)+SUM(G668:G713)</f>
        <v>1562268.5518912293</v>
      </c>
      <c r="H715" s="231">
        <f>SUM(H629:H647)+SUM(H668:H713)</f>
        <v>29283291.846360095</v>
      </c>
      <c r="I715" s="231">
        <f>SUM(I630:I647)+SUM(I668:I713)</f>
        <v>17152017.975063074</v>
      </c>
      <c r="J715" s="231">
        <f>SUM(J631:J647)+SUM(J668:J713)</f>
        <v>4488426.1499881074</v>
      </c>
      <c r="K715" s="231">
        <f>SUM(K668:K713)</f>
        <v>383967213.22800434</v>
      </c>
      <c r="L715" s="231">
        <f>SUM(L668:L713)</f>
        <v>20063635.545645762</v>
      </c>
      <c r="M715" s="231">
        <f>SUM(M668:M713)</f>
        <v>600933348</v>
      </c>
      <c r="N715" s="250" t="s">
        <v>669</v>
      </c>
    </row>
    <row r="716" spans="1:14" s="231" customFormat="1" ht="12.65" customHeight="1" x14ac:dyDescent="0.3">
      <c r="C716" s="253">
        <f>CE85</f>
        <v>1313392962.5000002</v>
      </c>
      <c r="D716" s="231">
        <f>D615</f>
        <v>53038598.100000001</v>
      </c>
      <c r="E716" s="231">
        <f>E623</f>
        <v>195102538.88237298</v>
      </c>
      <c r="F716" s="231">
        <f>F624</f>
        <v>4539167.1820208197</v>
      </c>
      <c r="G716" s="231">
        <f>G625</f>
        <v>1562268.5518912293</v>
      </c>
      <c r="H716" s="231">
        <f>H628</f>
        <v>29283291.84636008</v>
      </c>
      <c r="I716" s="231">
        <f>I629</f>
        <v>17152017.975063074</v>
      </c>
      <c r="J716" s="231">
        <f>J630</f>
        <v>4488426.1499881074</v>
      </c>
      <c r="K716" s="231">
        <f>K644</f>
        <v>383967213.22800434</v>
      </c>
      <c r="L716" s="231">
        <f>L647</f>
        <v>20063635.545645762</v>
      </c>
      <c r="M716" s="231">
        <f>C648</f>
        <v>600933347.62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Seattle Children's Hospital</v>
      </c>
      <c r="B3" s="184"/>
      <c r="C3" s="156" t="str">
        <f>"FYE: "&amp;data!C96</f>
        <v>FYE: 09/30/2022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49119166.210000001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790971981.07000005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393406900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109851229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25854532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38865684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27069523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648325215.28000009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1650578933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2633454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1653212387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221166313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14944981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1870634224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71627200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708393770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100735928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153805185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1084185951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2057121650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369448067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369448067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4728107319.2800007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Seattle Children's Hospital</v>
      </c>
      <c r="B55" s="184"/>
      <c r="C55" s="156" t="str">
        <f>"FYE: "&amp;data!C96</f>
        <v>FYE: 09/30/2022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127416358.50999996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159463032.74000004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14059523.08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334436401.90999997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19468870.670000002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654844186.90999997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58642195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913094476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94423827.180000007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1066160498.1800001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19468870.670000002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1046691627.5100001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3026571504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3026571504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4728107319.2800007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Seattle Children's Hospital</v>
      </c>
      <c r="B108" s="184"/>
      <c r="C108" s="156" t="str">
        <f>"FYE: "&amp;data!C96</f>
        <v>FYE: 09/30/2022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2062462886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1296931867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3359394753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2273538.08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1221111872.3099999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26720515.34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406845800.16000003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1656951725.8899999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1702443027.1100001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365503258.74000001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365503258.74000001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2067946285.8500001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799799458.14999998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211794755.63999999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0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207325920.75999999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16807691.5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495179081.11000001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142550848.65000001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31552606.379999999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12183616.98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47253196.82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20873637.460000001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60077198.200000048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2045398011.6500001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22548274.200000048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-170216803.24000001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-147668529.03999996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-147668529.03999996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Seattle Children's Hospital</v>
      </c>
      <c r="G4" s="286"/>
      <c r="H4" s="285" t="str">
        <f>"FYE: "&amp;data!C96</f>
        <v>FYE: 09/30/2022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1699263</v>
      </c>
      <c r="E9" s="287">
        <f>data!E59</f>
        <v>1125810</v>
      </c>
      <c r="F9" s="287">
        <f>data!F59</f>
        <v>2121880</v>
      </c>
      <c r="G9" s="287">
        <f>data!G59</f>
        <v>0</v>
      </c>
      <c r="H9" s="287">
        <f>data!H59</f>
        <v>1330727</v>
      </c>
      <c r="I9" s="287">
        <f>data!I59</f>
        <v>41686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431.53080920461548</v>
      </c>
      <c r="D10" s="294">
        <f>data!D60</f>
        <v>0</v>
      </c>
      <c r="E10" s="294">
        <f>data!E60</f>
        <v>579.38299511489004</v>
      </c>
      <c r="F10" s="294">
        <f>data!F60</f>
        <v>0</v>
      </c>
      <c r="G10" s="294">
        <f>data!G60</f>
        <v>36.103077092074173</v>
      </c>
      <c r="H10" s="294">
        <f>data!H60</f>
        <v>166.53330553159344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44624772.090000011</v>
      </c>
      <c r="D11" s="287">
        <f>data!D61</f>
        <v>0</v>
      </c>
      <c r="E11" s="287">
        <f>data!E61</f>
        <v>52576318.830000006</v>
      </c>
      <c r="F11" s="287">
        <f>data!F61</f>
        <v>0</v>
      </c>
      <c r="G11" s="287">
        <f>data!G61</f>
        <v>3775143.9499999993</v>
      </c>
      <c r="H11" s="287">
        <f>data!H61</f>
        <v>11749673.470000001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4607413.4399999995</v>
      </c>
      <c r="D14" s="287">
        <f>data!D64</f>
        <v>0</v>
      </c>
      <c r="E14" s="287">
        <f>data!E64</f>
        <v>4319991.5199999996</v>
      </c>
      <c r="F14" s="287">
        <f>data!F64</f>
        <v>0</v>
      </c>
      <c r="G14" s="287">
        <f>data!G64</f>
        <v>182810.71000000002</v>
      </c>
      <c r="H14" s="287">
        <f>data!H64</f>
        <v>262166.27999999997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23940766.639999997</v>
      </c>
      <c r="D16" s="287">
        <f>data!D66</f>
        <v>0</v>
      </c>
      <c r="E16" s="287">
        <f>data!E66</f>
        <v>17456441.800000001</v>
      </c>
      <c r="F16" s="287">
        <f>data!F66</f>
        <v>0</v>
      </c>
      <c r="G16" s="287">
        <f>data!G66</f>
        <v>636562.80000000005</v>
      </c>
      <c r="H16" s="287">
        <f>data!H66</f>
        <v>6679774.0000000009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165747.44999999998</v>
      </c>
      <c r="D18" s="287">
        <f>data!D68</f>
        <v>0</v>
      </c>
      <c r="E18" s="287">
        <f>data!E68</f>
        <v>591093.84000000008</v>
      </c>
      <c r="F18" s="287">
        <f>data!F68</f>
        <v>0</v>
      </c>
      <c r="G18" s="287">
        <f>data!G68</f>
        <v>11111.43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198239.74000000002</v>
      </c>
      <c r="D19" s="287">
        <f>data!D69</f>
        <v>0</v>
      </c>
      <c r="E19" s="287">
        <f>data!E69</f>
        <v>131054.48000000001</v>
      </c>
      <c r="F19" s="287">
        <f>data!F69</f>
        <v>0</v>
      </c>
      <c r="G19" s="287">
        <f>data!G69</f>
        <v>2079.41</v>
      </c>
      <c r="H19" s="287">
        <f>data!H69</f>
        <v>69486.87999999999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1987936.34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73536939.359999999</v>
      </c>
      <c r="D21" s="287">
        <f>data!D85</f>
        <v>0</v>
      </c>
      <c r="E21" s="287">
        <f>data!E85</f>
        <v>77062836.810000017</v>
      </c>
      <c r="F21" s="287">
        <f>data!F85</f>
        <v>0</v>
      </c>
      <c r="G21" s="287">
        <f>data!G85</f>
        <v>4607708.2999999989</v>
      </c>
      <c r="H21" s="287">
        <f>data!H85</f>
        <v>18761100.629999999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87463988</v>
      </c>
      <c r="D23" s="295">
        <f>+data!M669</f>
        <v>0</v>
      </c>
      <c r="E23" s="295">
        <f>+data!M670</f>
        <v>92350720</v>
      </c>
      <c r="F23" s="295">
        <f>+data!M671</f>
        <v>0</v>
      </c>
      <c r="G23" s="295">
        <f>+data!M672</f>
        <v>5291348</v>
      </c>
      <c r="H23" s="295">
        <f>+data!M673</f>
        <v>17963222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560322288.39999998</v>
      </c>
      <c r="D24" s="287">
        <f>data!D87</f>
        <v>0</v>
      </c>
      <c r="E24" s="287">
        <f>data!E87</f>
        <v>482220259.40000004</v>
      </c>
      <c r="F24" s="287">
        <f>data!F87</f>
        <v>0</v>
      </c>
      <c r="G24" s="287">
        <f>data!G87</f>
        <v>29179350.699999999</v>
      </c>
      <c r="H24" s="287">
        <f>data!H87</f>
        <v>96908397.299999997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2097319.9000000004</v>
      </c>
      <c r="D25" s="287">
        <f>data!D88</f>
        <v>0</v>
      </c>
      <c r="E25" s="287">
        <f>data!E88</f>
        <v>40671235.700000003</v>
      </c>
      <c r="F25" s="287">
        <f>data!F88</f>
        <v>0</v>
      </c>
      <c r="G25" s="287">
        <f>data!G88</f>
        <v>1943911.8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562419608.29999995</v>
      </c>
      <c r="D26" s="287">
        <f>data!D89</f>
        <v>0</v>
      </c>
      <c r="E26" s="287">
        <f>data!E89</f>
        <v>522891495.10000002</v>
      </c>
      <c r="F26" s="287">
        <f>data!F89</f>
        <v>0</v>
      </c>
      <c r="G26" s="287">
        <f>data!G89</f>
        <v>31123262.5</v>
      </c>
      <c r="H26" s="287">
        <f>data!H89</f>
        <v>96908397.299999997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74287.567999999999</v>
      </c>
      <c r="D28" s="287">
        <f>data!D90</f>
        <v>0</v>
      </c>
      <c r="E28" s="287">
        <f>data!E90</f>
        <v>221362.16399999999</v>
      </c>
      <c r="F28" s="287">
        <f>data!F90</f>
        <v>0</v>
      </c>
      <c r="G28" s="287">
        <f>data!G90</f>
        <v>11962.39</v>
      </c>
      <c r="H28" s="287">
        <f>data!H90</f>
        <v>61556.491999999998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227</v>
      </c>
      <c r="D30" s="287">
        <f>data!D92</f>
        <v>0</v>
      </c>
      <c r="E30" s="287">
        <f>data!E92</f>
        <v>22318</v>
      </c>
      <c r="F30" s="287">
        <f>data!F92</f>
        <v>0</v>
      </c>
      <c r="G30" s="287">
        <f>data!G92</f>
        <v>209</v>
      </c>
      <c r="H30" s="287">
        <f>data!H92</f>
        <v>2168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1089336</v>
      </c>
      <c r="D31" s="287">
        <f>data!D93</f>
        <v>0</v>
      </c>
      <c r="E31" s="287">
        <f>data!E93</f>
        <v>1589861</v>
      </c>
      <c r="F31" s="287">
        <f>data!F93</f>
        <v>0</v>
      </c>
      <c r="G31" s="287">
        <f>data!G93</f>
        <v>38072</v>
      </c>
      <c r="H31" s="287">
        <f>data!H93</f>
        <v>230750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308.08414521258243</v>
      </c>
      <c r="D32" s="294">
        <f>data!D94</f>
        <v>0</v>
      </c>
      <c r="E32" s="294">
        <f>data!E94</f>
        <v>381.73686752513731</v>
      </c>
      <c r="F32" s="294">
        <f>data!F94</f>
        <v>0</v>
      </c>
      <c r="G32" s="294">
        <f>data!G94</f>
        <v>21.88525563715659</v>
      </c>
      <c r="H32" s="294">
        <f>data!H94</f>
        <v>29.101232527967024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Seattle Children's Hospital</v>
      </c>
      <c r="G36" s="286"/>
      <c r="H36" s="285" t="str">
        <f>"FYE: "&amp;data!C96</f>
        <v>FYE: 09/30/2022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12571</v>
      </c>
      <c r="D41" s="287">
        <f>data!K59</f>
        <v>9453</v>
      </c>
      <c r="E41" s="287">
        <f>data!L59</f>
        <v>118434</v>
      </c>
      <c r="F41" s="287">
        <f>data!M59</f>
        <v>1292</v>
      </c>
      <c r="G41" s="287">
        <f>data!N59</f>
        <v>1463</v>
      </c>
      <c r="H41" s="287">
        <f>data!O59</f>
        <v>583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224.18450126932694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22114786.069999997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28729807.310000002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7387144.9199999999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132015.05000000002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2089687.3799999997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60453440.729999997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0</v>
      </c>
      <c r="I55" s="295">
        <f>+data!M681</f>
        <v>63425904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208611081.40000004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196783328.58000001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405394409.98000002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99722.272694497195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4930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83.017880025412083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Seattle Children's Hospital</v>
      </c>
      <c r="G68" s="286"/>
      <c r="H68" s="285" t="str">
        <f>"FYE: "&amp;data!C96</f>
        <v>FYE: 09/30/2022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10315</v>
      </c>
      <c r="D73" s="295">
        <f>data!R59</f>
        <v>173247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98.721928923434064</v>
      </c>
      <c r="D74" s="294">
        <f>data!R60</f>
        <v>32.597740020068684</v>
      </c>
      <c r="E74" s="294">
        <f>data!S60</f>
        <v>123.63128344387125</v>
      </c>
      <c r="F74" s="294">
        <f>data!T60</f>
        <v>12.801023690054945</v>
      </c>
      <c r="G74" s="294">
        <f>data!U60</f>
        <v>226.16063253950551</v>
      </c>
      <c r="H74" s="294">
        <f>data!V60</f>
        <v>63.511522811881868</v>
      </c>
      <c r="I74" s="294">
        <f>data!W60</f>
        <v>10.817882141620879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10637658.000000002</v>
      </c>
      <c r="D75" s="287">
        <f>data!R61</f>
        <v>2442435.9</v>
      </c>
      <c r="E75" s="287">
        <f>data!S61</f>
        <v>8444033.0800000001</v>
      </c>
      <c r="F75" s="287">
        <f>data!T61</f>
        <v>1712929.5399999998</v>
      </c>
      <c r="G75" s="287">
        <f>data!U61</f>
        <v>23140841.060000002</v>
      </c>
      <c r="H75" s="287">
        <f>data!V61</f>
        <v>6486606.96</v>
      </c>
      <c r="I75" s="287">
        <f>data!W61</f>
        <v>1376021.1100000003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329772.26</v>
      </c>
      <c r="D78" s="287">
        <f>data!R64</f>
        <v>2103057.2499999995</v>
      </c>
      <c r="E78" s="287">
        <f>data!S64</f>
        <v>1304557.9499999993</v>
      </c>
      <c r="F78" s="287">
        <f>data!T64</f>
        <v>155087.78999999998</v>
      </c>
      <c r="G78" s="287">
        <f>data!U64</f>
        <v>15418865.650000002</v>
      </c>
      <c r="H78" s="287">
        <f>data!V64</f>
        <v>484588.24999999994</v>
      </c>
      <c r="I78" s="287">
        <f>data!W64</f>
        <v>80614.419999999984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4.41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2909047.6399999997</v>
      </c>
      <c r="D80" s="287">
        <f>data!R66</f>
        <v>2523182.89</v>
      </c>
      <c r="E80" s="287">
        <f>data!S66</f>
        <v>2536903.66</v>
      </c>
      <c r="F80" s="287">
        <f>data!T66</f>
        <v>10466.17</v>
      </c>
      <c r="G80" s="287">
        <f>data!U66</f>
        <v>11862118.399999999</v>
      </c>
      <c r="H80" s="287">
        <f>data!V66</f>
        <v>424008.94999999995</v>
      </c>
      <c r="I80" s="287">
        <f>data!W66</f>
        <v>77648.599999999991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166004.93</v>
      </c>
      <c r="F82" s="287">
        <f>data!T68</f>
        <v>0</v>
      </c>
      <c r="G82" s="287">
        <f>data!U68</f>
        <v>510</v>
      </c>
      <c r="H82" s="287">
        <f>data!V68</f>
        <v>435824.79999999993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43173.539999999994</v>
      </c>
      <c r="D83" s="287">
        <f>data!R69</f>
        <v>109036.72</v>
      </c>
      <c r="E83" s="287">
        <f>data!S69</f>
        <v>155318.19</v>
      </c>
      <c r="F83" s="287">
        <f>data!T69</f>
        <v>3582.7599999999998</v>
      </c>
      <c r="G83" s="287">
        <f>data!U69</f>
        <v>1995078.14</v>
      </c>
      <c r="H83" s="287">
        <f>data!V69</f>
        <v>533770.99</v>
      </c>
      <c r="I83" s="287">
        <f>data!W69</f>
        <v>421971.12000000005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3074140.1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13919651.440000001</v>
      </c>
      <c r="D85" s="287">
        <f>data!R85</f>
        <v>7177712.7599999988</v>
      </c>
      <c r="E85" s="287">
        <f>data!S85</f>
        <v>12606817.809999999</v>
      </c>
      <c r="F85" s="287">
        <f>data!T85</f>
        <v>1882066.2599999998</v>
      </c>
      <c r="G85" s="287">
        <f>data!U85</f>
        <v>49343273.150000006</v>
      </c>
      <c r="H85" s="287">
        <f>data!V85</f>
        <v>8364804.3600000003</v>
      </c>
      <c r="I85" s="287">
        <f>data!W85</f>
        <v>1956255.2500000005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8881623</v>
      </c>
      <c r="D87" s="295">
        <f>+data!M683</f>
        <v>14753888</v>
      </c>
      <c r="E87" s="295">
        <f>+data!M684</f>
        <v>6402095</v>
      </c>
      <c r="F87" s="295">
        <f>+data!M685</f>
        <v>578398</v>
      </c>
      <c r="G87" s="295">
        <f>+data!M686</f>
        <v>50144537</v>
      </c>
      <c r="H87" s="295">
        <f>+data!M687</f>
        <v>12750572</v>
      </c>
      <c r="I87" s="295">
        <f>+data!M688</f>
        <v>5624707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11191025.5</v>
      </c>
      <c r="D88" s="287">
        <f>data!R87</f>
        <v>51863256.399999999</v>
      </c>
      <c r="E88" s="287">
        <f>data!S87</f>
        <v>8364402.6699999999</v>
      </c>
      <c r="F88" s="287">
        <f>data!T87</f>
        <v>0</v>
      </c>
      <c r="G88" s="287">
        <f>data!U87</f>
        <v>136584494.85000002</v>
      </c>
      <c r="H88" s="287">
        <f>data!V87</f>
        <v>30837215.699999999</v>
      </c>
      <c r="I88" s="287">
        <f>data!W87</f>
        <v>10440558.600000001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28918242.000000004</v>
      </c>
      <c r="D89" s="287">
        <f>data!R88</f>
        <v>55337068.800000004</v>
      </c>
      <c r="E89" s="287">
        <f>data!S88</f>
        <v>10521323.210000003</v>
      </c>
      <c r="F89" s="287">
        <f>data!T88</f>
        <v>0</v>
      </c>
      <c r="G89" s="287">
        <f>data!U88</f>
        <v>114649641.90000001</v>
      </c>
      <c r="H89" s="287">
        <f>data!V88</f>
        <v>57542101.849999994</v>
      </c>
      <c r="I89" s="287">
        <f>data!W88</f>
        <v>35178578.5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40109267.5</v>
      </c>
      <c r="D90" s="287">
        <f>data!R89</f>
        <v>107200325.2</v>
      </c>
      <c r="E90" s="287">
        <f>data!S89</f>
        <v>18885725.880000003</v>
      </c>
      <c r="F90" s="287">
        <f>data!T89</f>
        <v>0</v>
      </c>
      <c r="G90" s="287">
        <f>data!U89</f>
        <v>251234136.75000003</v>
      </c>
      <c r="H90" s="287">
        <f>data!V89</f>
        <v>88379317.549999997</v>
      </c>
      <c r="I90" s="287">
        <f>data!W89</f>
        <v>45619137.100000001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9803.7900000000009</v>
      </c>
      <c r="D92" s="287">
        <f>data!R90</f>
        <v>7599.174</v>
      </c>
      <c r="E92" s="287">
        <f>data!S90</f>
        <v>33673.906923076924</v>
      </c>
      <c r="F92" s="287">
        <f>data!T90</f>
        <v>477.67</v>
      </c>
      <c r="G92" s="287">
        <f>data!U90</f>
        <v>44203.38</v>
      </c>
      <c r="H92" s="287">
        <f>data!V90</f>
        <v>5472.7139999999999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1154</v>
      </c>
      <c r="D94" s="287">
        <f>data!R92</f>
        <v>9325</v>
      </c>
      <c r="E94" s="287">
        <f>data!S92</f>
        <v>4355</v>
      </c>
      <c r="F94" s="287">
        <f>data!T92</f>
        <v>91</v>
      </c>
      <c r="G94" s="287">
        <f>data!U92</f>
        <v>120565</v>
      </c>
      <c r="H94" s="287">
        <f>data!V92</f>
        <v>7567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29114</v>
      </c>
      <c r="F95" s="287">
        <f>data!T93</f>
        <v>0</v>
      </c>
      <c r="G95" s="287">
        <f>data!U93</f>
        <v>0</v>
      </c>
      <c r="H95" s="287">
        <f>data!V93</f>
        <v>49457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71.111083991689569</v>
      </c>
      <c r="D96" s="294">
        <f>data!R94</f>
        <v>3.7225961538461541E-2</v>
      </c>
      <c r="E96" s="294">
        <f>data!S94</f>
        <v>0</v>
      </c>
      <c r="F96" s="294">
        <f>data!T94</f>
        <v>11.876372679065934</v>
      </c>
      <c r="G96" s="294">
        <f>data!U94</f>
        <v>0.7445069230769229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Seattle Children's Hospital</v>
      </c>
      <c r="G100" s="286"/>
      <c r="H100" s="285" t="str">
        <f>"FYE: "&amp;data!C96</f>
        <v>FYE: 09/30/2022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72872</v>
      </c>
      <c r="D105" s="287">
        <f>data!Y59</f>
        <v>52189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10.701446265247256</v>
      </c>
      <c r="D106" s="294">
        <f>data!Y60</f>
        <v>115.40713551024724</v>
      </c>
      <c r="E106" s="294">
        <f>data!Z60</f>
        <v>9.2802117116758236</v>
      </c>
      <c r="F106" s="294">
        <f>data!AA60</f>
        <v>3.9301151518681325</v>
      </c>
      <c r="G106" s="294">
        <f>data!AB60</f>
        <v>195.8806705471566</v>
      </c>
      <c r="H106" s="294">
        <f>data!AC60</f>
        <v>122.74826531734888</v>
      </c>
      <c r="I106" s="294">
        <f>data!AD60</f>
        <v>30.906872095206044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1290221.6399999999</v>
      </c>
      <c r="D107" s="287">
        <f>data!Y61</f>
        <v>11934438.219999999</v>
      </c>
      <c r="E107" s="287">
        <f>data!Z61</f>
        <v>900417.24</v>
      </c>
      <c r="F107" s="287">
        <f>data!AA61</f>
        <v>502914.01999999996</v>
      </c>
      <c r="G107" s="287">
        <f>data!AB61</f>
        <v>23061712.949999999</v>
      </c>
      <c r="H107" s="287">
        <f>data!AC61</f>
        <v>11519212.979999999</v>
      </c>
      <c r="I107" s="287">
        <f>data!AD61</f>
        <v>3640189.1100000003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0</v>
      </c>
      <c r="H108" s="287">
        <f>data!AC62</f>
        <v>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92491.679999999978</v>
      </c>
      <c r="D110" s="287">
        <f>data!Y64</f>
        <v>5810268.1900000013</v>
      </c>
      <c r="E110" s="287">
        <f>data!Z64</f>
        <v>136318.64000000001</v>
      </c>
      <c r="F110" s="287">
        <f>data!AA64</f>
        <v>715538.39999999979</v>
      </c>
      <c r="G110" s="287">
        <f>data!AB64</f>
        <v>85054812.120000005</v>
      </c>
      <c r="H110" s="287">
        <f>data!AC64</f>
        <v>3402533.9299999997</v>
      </c>
      <c r="I110" s="287">
        <f>data!AD64</f>
        <v>1199827.3800000001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77790.209999999992</v>
      </c>
      <c r="D112" s="287">
        <f>data!Y66</f>
        <v>3184276.1599999997</v>
      </c>
      <c r="E112" s="287">
        <f>data!Z66</f>
        <v>1481239.38</v>
      </c>
      <c r="F112" s="287">
        <f>data!AA66</f>
        <v>10217.51</v>
      </c>
      <c r="G112" s="287">
        <f>data!AB66</f>
        <v>363153.18000000005</v>
      </c>
      <c r="H112" s="287">
        <f>data!AC66</f>
        <v>5133564.0799999991</v>
      </c>
      <c r="I112" s="287">
        <f>data!AD66</f>
        <v>669679.80000000005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0</v>
      </c>
      <c r="H113" s="287">
        <f>data!AC67</f>
        <v>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58474.47</v>
      </c>
      <c r="I114" s="287">
        <f>data!AD68</f>
        <v>158.44999999999999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388695.54</v>
      </c>
      <c r="D115" s="287">
        <f>data!Y69</f>
        <v>1390405.7799999998</v>
      </c>
      <c r="E115" s="287">
        <f>data!Z69</f>
        <v>107890.93000000001</v>
      </c>
      <c r="F115" s="287">
        <f>data!AA69</f>
        <v>242775.38</v>
      </c>
      <c r="G115" s="287">
        <f>data!AB69</f>
        <v>335467.06000000006</v>
      </c>
      <c r="H115" s="287">
        <f>data!AC69</f>
        <v>137009.56999999998</v>
      </c>
      <c r="I115" s="287">
        <f>data!AD69</f>
        <v>62430.23000000001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-61233.91</v>
      </c>
      <c r="E116" s="287">
        <f>-data!Z84</f>
        <v>-53926.38</v>
      </c>
      <c r="F116" s="287">
        <f>-data!AA84</f>
        <v>0</v>
      </c>
      <c r="G116" s="287">
        <f>-data!AB84</f>
        <v>-75778.039999999994</v>
      </c>
      <c r="H116" s="287">
        <f>-data!AC84</f>
        <v>-25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1849199.0699999998</v>
      </c>
      <c r="D117" s="287">
        <f>data!Y85</f>
        <v>22258154.440000001</v>
      </c>
      <c r="E117" s="287">
        <f>data!Z85</f>
        <v>2571939.81</v>
      </c>
      <c r="F117" s="287">
        <f>data!AA85</f>
        <v>1471445.3099999996</v>
      </c>
      <c r="G117" s="287">
        <f>data!AB85</f>
        <v>108739367.27000001</v>
      </c>
      <c r="H117" s="287">
        <f>data!AC85</f>
        <v>20250770.029999997</v>
      </c>
      <c r="I117" s="287">
        <f>data!AD85</f>
        <v>5572284.9700000007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3960247</v>
      </c>
      <c r="D119" s="295">
        <f>+data!M690</f>
        <v>25020430</v>
      </c>
      <c r="E119" s="295">
        <f>+data!M691</f>
        <v>1356342</v>
      </c>
      <c r="F119" s="295">
        <f>+data!M692</f>
        <v>1481418</v>
      </c>
      <c r="G119" s="295">
        <f>+data!M693</f>
        <v>79031092</v>
      </c>
      <c r="H119" s="295">
        <f>+data!M694</f>
        <v>6413494</v>
      </c>
      <c r="I119" s="295">
        <f>+data!M695</f>
        <v>6013028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12195810.15</v>
      </c>
      <c r="D120" s="287">
        <f>data!Y87</f>
        <v>46843383.690000005</v>
      </c>
      <c r="E120" s="287">
        <f>data!Z87</f>
        <v>6197642.6999999993</v>
      </c>
      <c r="F120" s="287">
        <f>data!AA87</f>
        <v>1113214.95</v>
      </c>
      <c r="G120" s="287">
        <f>data!AB87</f>
        <v>261274965.81</v>
      </c>
      <c r="H120" s="287">
        <f>data!AC87</f>
        <v>17073528.699999999</v>
      </c>
      <c r="I120" s="287">
        <f>data!AD87</f>
        <v>17333810.199999999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17931185.399999999</v>
      </c>
      <c r="D121" s="287">
        <f>data!Y88</f>
        <v>108791977.64</v>
      </c>
      <c r="E121" s="287">
        <f>data!Z88</f>
        <v>753285.15</v>
      </c>
      <c r="F121" s="287">
        <f>data!AA88</f>
        <v>3819054.3499999996</v>
      </c>
      <c r="G121" s="287">
        <f>data!AB88</f>
        <v>228132755.84</v>
      </c>
      <c r="H121" s="287">
        <f>data!AC88</f>
        <v>1251214.0999999999</v>
      </c>
      <c r="I121" s="287">
        <f>data!AD88</f>
        <v>20856961.48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30126995.549999997</v>
      </c>
      <c r="D122" s="287">
        <f>data!Y89</f>
        <v>155635361.33000001</v>
      </c>
      <c r="E122" s="287">
        <f>data!Z89</f>
        <v>6950927.8499999996</v>
      </c>
      <c r="F122" s="287">
        <f>data!AA89</f>
        <v>4932269.3</v>
      </c>
      <c r="G122" s="287">
        <f>data!AB89</f>
        <v>489407721.64999998</v>
      </c>
      <c r="H122" s="287">
        <f>data!AC89</f>
        <v>18324742.800000001</v>
      </c>
      <c r="I122" s="287">
        <f>data!AD89</f>
        <v>38190771.68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4161.9791323313448</v>
      </c>
      <c r="D124" s="287">
        <f>data!Y90</f>
        <v>52193.572901298903</v>
      </c>
      <c r="E124" s="287">
        <f>data!Z90</f>
        <v>388.48906929758834</v>
      </c>
      <c r="F124" s="287">
        <f>data!AA90</f>
        <v>2220.0539544764915</v>
      </c>
      <c r="G124" s="287">
        <f>data!AB90</f>
        <v>16736</v>
      </c>
      <c r="H124" s="287">
        <f>data!AC90</f>
        <v>5081.18</v>
      </c>
      <c r="I124" s="287">
        <f>data!AD90</f>
        <v>4836.8999999999996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4131</v>
      </c>
      <c r="E126" s="287">
        <f>data!Z92</f>
        <v>208</v>
      </c>
      <c r="F126" s="287">
        <f>data!AA92</f>
        <v>6719</v>
      </c>
      <c r="G126" s="287">
        <f>data!AB92</f>
        <v>7321</v>
      </c>
      <c r="H126" s="287">
        <f>data!AC92</f>
        <v>34</v>
      </c>
      <c r="I126" s="287">
        <f>data!AD92</f>
        <v>573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278191</v>
      </c>
      <c r="E127" s="287">
        <f>data!Z93</f>
        <v>0</v>
      </c>
      <c r="F127" s="287">
        <f>data!AA93</f>
        <v>0</v>
      </c>
      <c r="G127" s="287">
        <f>data!AB93</f>
        <v>14237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20.894708134230768</v>
      </c>
      <c r="E128" s="294">
        <f>data!Z94</f>
        <v>2.6096142364835169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20.95180543118132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Seattle Children's Hospital</v>
      </c>
      <c r="G132" s="286"/>
      <c r="H132" s="285" t="str">
        <f>"FYE: "&amp;data!C96</f>
        <v>FYE: 09/30/2022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59</v>
      </c>
      <c r="F137" s="287">
        <f>data!AH59</f>
        <v>0</v>
      </c>
      <c r="G137" s="287">
        <f>data!AI59</f>
        <v>504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91.083746583241748</v>
      </c>
      <c r="D138" s="294">
        <f>data!AF60</f>
        <v>137.15829414809065</v>
      </c>
      <c r="E138" s="294">
        <f>data!AG60</f>
        <v>136.21147375472981</v>
      </c>
      <c r="F138" s="294">
        <f>data!AH60</f>
        <v>31.527100404505504</v>
      </c>
      <c r="G138" s="294">
        <f>data!AI60</f>
        <v>0</v>
      </c>
      <c r="H138" s="294">
        <f>data!AJ60</f>
        <v>1051.56070452056</v>
      </c>
      <c r="I138" s="294">
        <f>data!AK60</f>
        <v>27.112435829739017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10128472.049999999</v>
      </c>
      <c r="D139" s="287">
        <f>data!AF61</f>
        <v>14627118.219999997</v>
      </c>
      <c r="E139" s="287">
        <f>data!AG61</f>
        <v>13095584.439999999</v>
      </c>
      <c r="F139" s="287">
        <f>data!AH61</f>
        <v>4455615.1599999992</v>
      </c>
      <c r="G139" s="287">
        <f>data!AI61</f>
        <v>0</v>
      </c>
      <c r="H139" s="287">
        <f>data!AJ61</f>
        <v>113753150.31</v>
      </c>
      <c r="I139" s="287">
        <f>data!AK61</f>
        <v>2836676.82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155704.53000000003</v>
      </c>
      <c r="D142" s="287">
        <f>data!AF64</f>
        <v>148245.96999999997</v>
      </c>
      <c r="E142" s="287">
        <f>data!AG64</f>
        <v>1838384.13</v>
      </c>
      <c r="F142" s="287">
        <f>data!AH64</f>
        <v>85655.359999999986</v>
      </c>
      <c r="G142" s="287">
        <f>data!AI64</f>
        <v>0</v>
      </c>
      <c r="H142" s="287">
        <f>data!AJ64</f>
        <v>4730844.7</v>
      </c>
      <c r="I142" s="287">
        <f>data!AK64</f>
        <v>108985.99999999999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257.76</v>
      </c>
      <c r="D143" s="287">
        <f>data!AF65</f>
        <v>22796.210000000003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123889.06</v>
      </c>
      <c r="I143" s="287">
        <f>data!AK65</f>
        <v>257.76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1025806.4999999999</v>
      </c>
      <c r="D144" s="287">
        <f>data!AF66</f>
        <v>2224025.5099999998</v>
      </c>
      <c r="E144" s="287">
        <f>data!AG66</f>
        <v>7404240.2700000005</v>
      </c>
      <c r="F144" s="287">
        <f>data!AH66</f>
        <v>628826.61</v>
      </c>
      <c r="G144" s="287">
        <f>data!AI66</f>
        <v>0</v>
      </c>
      <c r="H144" s="287">
        <f>data!AJ66</f>
        <v>10706577.1</v>
      </c>
      <c r="I144" s="287">
        <f>data!AK66</f>
        <v>827.34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880857.38000000012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1429623.53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77390.03</v>
      </c>
      <c r="D147" s="287">
        <f>data!AF69</f>
        <v>783223.34000000008</v>
      </c>
      <c r="E147" s="287">
        <f>data!AG69</f>
        <v>69515.070000000007</v>
      </c>
      <c r="F147" s="287">
        <f>data!AH69</f>
        <v>40483.950000000004</v>
      </c>
      <c r="G147" s="287">
        <f>data!AI69</f>
        <v>0</v>
      </c>
      <c r="H147" s="287">
        <f>data!AJ69</f>
        <v>2237994.0699999998</v>
      </c>
      <c r="I147" s="287">
        <f>data!AK69</f>
        <v>12463.25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-1815</v>
      </c>
      <c r="D148" s="287">
        <f>-data!AF84</f>
        <v>-1374727.85</v>
      </c>
      <c r="E148" s="287">
        <f>-data!AG84</f>
        <v>-354604.75</v>
      </c>
      <c r="F148" s="287">
        <f>-data!AH84</f>
        <v>-389640.4</v>
      </c>
      <c r="G148" s="287">
        <f>-data!AI84</f>
        <v>0</v>
      </c>
      <c r="H148" s="287">
        <f>-data!AJ84</f>
        <v>-2875081.3999999994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11385815.869999997</v>
      </c>
      <c r="D149" s="287">
        <f>data!AF85</f>
        <v>17311538.779999994</v>
      </c>
      <c r="E149" s="287">
        <f>data!AG85</f>
        <v>22053119.16</v>
      </c>
      <c r="F149" s="287">
        <f>data!AH85</f>
        <v>4820940.68</v>
      </c>
      <c r="G149" s="287">
        <f>data!AI85</f>
        <v>0</v>
      </c>
      <c r="H149" s="287">
        <f>data!AJ85</f>
        <v>130106997.36999999</v>
      </c>
      <c r="I149" s="287">
        <f>data!AK85</f>
        <v>2959211.1699999995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5575671</v>
      </c>
      <c r="D151" s="295">
        <f>+data!M697</f>
        <v>5508438</v>
      </c>
      <c r="E151" s="295">
        <f>+data!M698</f>
        <v>21441328</v>
      </c>
      <c r="F151" s="295">
        <f>+data!M699</f>
        <v>1467585</v>
      </c>
      <c r="G151" s="295">
        <f>+data!M700</f>
        <v>0</v>
      </c>
      <c r="H151" s="295">
        <f>+data!M701</f>
        <v>56878391</v>
      </c>
      <c r="I151" s="295">
        <f>+data!M702</f>
        <v>1904533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6525048.3999999994</v>
      </c>
      <c r="D152" s="287">
        <f>data!AF87</f>
        <v>2015151</v>
      </c>
      <c r="E152" s="287">
        <f>data!AG87</f>
        <v>28002137.400000002</v>
      </c>
      <c r="F152" s="287">
        <f>data!AH87</f>
        <v>1075040.8</v>
      </c>
      <c r="G152" s="287">
        <f>data!AI87</f>
        <v>0</v>
      </c>
      <c r="H152" s="287">
        <f>data!AJ87</f>
        <v>3742149.3200000003</v>
      </c>
      <c r="I152" s="287">
        <f>data!AK87</f>
        <v>6830974.6199999992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16506667.199999999</v>
      </c>
      <c r="D153" s="287">
        <f>data!AF88</f>
        <v>9537146.8499999996</v>
      </c>
      <c r="E153" s="287">
        <f>data!AG88</f>
        <v>102030316.2</v>
      </c>
      <c r="F153" s="287">
        <f>data!AH88</f>
        <v>708017.17999999993</v>
      </c>
      <c r="G153" s="287">
        <f>data!AI88</f>
        <v>0</v>
      </c>
      <c r="H153" s="287">
        <f>data!AJ88</f>
        <v>146764821.13</v>
      </c>
      <c r="I153" s="287">
        <f>data!AK88</f>
        <v>3176182.6200000006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23031715.599999998</v>
      </c>
      <c r="D154" s="287">
        <f>data!AF89</f>
        <v>11552297.85</v>
      </c>
      <c r="E154" s="287">
        <f>data!AG89</f>
        <v>130032453.60000001</v>
      </c>
      <c r="F154" s="287">
        <f>data!AH89</f>
        <v>1783057.98</v>
      </c>
      <c r="G154" s="287">
        <f>data!AI89</f>
        <v>0</v>
      </c>
      <c r="H154" s="287">
        <f>data!AJ89</f>
        <v>150506970.44999999</v>
      </c>
      <c r="I154" s="287">
        <f>data!AK89</f>
        <v>10007157.24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11296.93</v>
      </c>
      <c r="D156" s="287">
        <f>data!AF90</f>
        <v>10764.396000000001</v>
      </c>
      <c r="E156" s="287">
        <f>data!AG90</f>
        <v>33302.934000000001</v>
      </c>
      <c r="F156" s="287">
        <f>data!AH90</f>
        <v>212.64</v>
      </c>
      <c r="G156" s="287">
        <f>data!AI90</f>
        <v>0</v>
      </c>
      <c r="H156" s="287">
        <f>data!AJ90</f>
        <v>189519.525005109</v>
      </c>
      <c r="I156" s="287">
        <f>data!AK90</f>
        <v>3745.2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2246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12436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85116</v>
      </c>
      <c r="F159" s="287">
        <f>data!AH93</f>
        <v>0</v>
      </c>
      <c r="G159" s="287">
        <f>data!AI93</f>
        <v>0</v>
      </c>
      <c r="H159" s="287">
        <f>data!AJ93</f>
        <v>102208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15.336016634285716</v>
      </c>
      <c r="E160" s="294">
        <f>data!AG94</f>
        <v>61.727947227376376</v>
      </c>
      <c r="F160" s="294">
        <f>data!AH94</f>
        <v>19.466545662307695</v>
      </c>
      <c r="G160" s="294">
        <f>data!AI94</f>
        <v>0</v>
      </c>
      <c r="H160" s="294">
        <f>data!AJ94</f>
        <v>355.84164777679945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Seattle Children's Hospital</v>
      </c>
      <c r="G164" s="286"/>
      <c r="H164" s="285" t="str">
        <f>"FYE: "&amp;data!C96</f>
        <v>FYE: 09/30/2022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250992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19.162379529766483</v>
      </c>
      <c r="D170" s="294">
        <f>data!AM60</f>
        <v>29.175504410370877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64.171143863067314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2081045.9</v>
      </c>
      <c r="D171" s="287">
        <f>data!AM61</f>
        <v>2182905.4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6059273.1900000004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44394.140000000007</v>
      </c>
      <c r="D174" s="287">
        <f>data!AM64</f>
        <v>5462.5899999999992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9904910.7899999991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257.76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46883.92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56871.76</v>
      </c>
      <c r="D176" s="287">
        <f>data!AM66</f>
        <v>806.25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884578.75000000012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1094969.03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11419.47</v>
      </c>
      <c r="D179" s="287">
        <f>data!AM69</f>
        <v>3588.74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301230.95999999996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2193989.0299999998</v>
      </c>
      <c r="D181" s="287">
        <f>data!AM85</f>
        <v>2190247.98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18291846.640000004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1511035</v>
      </c>
      <c r="D183" s="295">
        <f>+data!M704</f>
        <v>722565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12467959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3092265.9000000008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827990.9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5226036.5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74945681.290000007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8318302.4000000004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75773672.190000013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2801.58</v>
      </c>
      <c r="D188" s="287">
        <f>data!AM90</f>
        <v>6698.07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5.7115173058447803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Seattle Children's Hospital</v>
      </c>
      <c r="G196" s="286"/>
      <c r="H196" s="285" t="str">
        <f>"FYE: "&amp;data!C96</f>
        <v>FYE: 09/30/2022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986903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2.2782515177884615</v>
      </c>
      <c r="E202" s="294">
        <f>data!AU60</f>
        <v>0</v>
      </c>
      <c r="F202" s="294">
        <f>data!AV60</f>
        <v>55.321258477582411</v>
      </c>
      <c r="G202" s="294">
        <f>data!AW60</f>
        <v>1233.1532339576083</v>
      </c>
      <c r="H202" s="294">
        <f>data!AX60</f>
        <v>0</v>
      </c>
      <c r="I202" s="294">
        <f>data!AY60</f>
        <v>178.55626237392858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380927.33999999997</v>
      </c>
      <c r="E203" s="287">
        <f>data!AU61</f>
        <v>0</v>
      </c>
      <c r="F203" s="287">
        <f>data!AV61</f>
        <v>5100901.91</v>
      </c>
      <c r="G203" s="287">
        <f>data!AW61</f>
        <v>107782420.05000001</v>
      </c>
      <c r="H203" s="287">
        <f>data!AX61</f>
        <v>0</v>
      </c>
      <c r="I203" s="287">
        <f>data!AY61</f>
        <v>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10656.91</v>
      </c>
      <c r="E206" s="287">
        <f>data!AU64</f>
        <v>0</v>
      </c>
      <c r="F206" s="287">
        <f>data!AV64</f>
        <v>1022973.4</v>
      </c>
      <c r="G206" s="287">
        <f>data!AW64</f>
        <v>23612690.129999999</v>
      </c>
      <c r="H206" s="287">
        <f>data!AX64</f>
        <v>971605.88</v>
      </c>
      <c r="I206" s="287">
        <f>data!AY64</f>
        <v>3846829.9299999997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3278663.83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3445597.6</v>
      </c>
      <c r="E208" s="287">
        <f>data!AU66</f>
        <v>0</v>
      </c>
      <c r="F208" s="287">
        <f>data!AV66</f>
        <v>398754.75</v>
      </c>
      <c r="G208" s="287">
        <f>data!AW66</f>
        <v>217889481.52000004</v>
      </c>
      <c r="H208" s="287">
        <f>data!AX66</f>
        <v>452232.61000000004</v>
      </c>
      <c r="I208" s="287">
        <f>data!AY66</f>
        <v>164480.53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8421019.1400000006</v>
      </c>
      <c r="H210" s="287">
        <f>data!AX68</f>
        <v>140651.52000000002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22534.080000000002</v>
      </c>
      <c r="E211" s="287">
        <f>data!AU69</f>
        <v>0</v>
      </c>
      <c r="F211" s="287">
        <f>data!AV69</f>
        <v>192260.13999999998</v>
      </c>
      <c r="G211" s="287">
        <f>data!AW69</f>
        <v>40428245.509999998</v>
      </c>
      <c r="H211" s="287">
        <f>data!AX69</f>
        <v>0</v>
      </c>
      <c r="I211" s="287">
        <f>data!AY69</f>
        <v>181167.28999999998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-201</v>
      </c>
      <c r="E212" s="287">
        <f>-data!AU84</f>
        <v>0</v>
      </c>
      <c r="F212" s="287">
        <f>-data!AV84</f>
        <v>-1814264.6900000002</v>
      </c>
      <c r="G212" s="287">
        <f>-data!AW84</f>
        <v>-279425678.22000003</v>
      </c>
      <c r="H212" s="287">
        <f>-data!AX84</f>
        <v>0</v>
      </c>
      <c r="I212" s="287">
        <f>-data!AY84</f>
        <v>-3875602.5000000005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3859514.93</v>
      </c>
      <c r="E213" s="287">
        <f>data!AU85</f>
        <v>0</v>
      </c>
      <c r="F213" s="287">
        <f>data!AV85</f>
        <v>4900625.51</v>
      </c>
      <c r="G213" s="287">
        <f>data!AW85</f>
        <v>121986841.96000004</v>
      </c>
      <c r="H213" s="287">
        <f>data!AX85</f>
        <v>1564490.01</v>
      </c>
      <c r="I213" s="287">
        <f>data!AY85</f>
        <v>316875.24999999907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1632602</v>
      </c>
      <c r="E215" s="295">
        <f>+data!M712</f>
        <v>0</v>
      </c>
      <c r="F215" s="295">
        <f>+data!M713</f>
        <v>2916188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7290500</v>
      </c>
      <c r="E216" s="287">
        <f>data!AU87</f>
        <v>0</v>
      </c>
      <c r="F216" s="287">
        <f>data!AV87</f>
        <v>14375513.499999998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107051.8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7290500</v>
      </c>
      <c r="E218" s="287">
        <f>data!AU89</f>
        <v>0</v>
      </c>
      <c r="F218" s="287">
        <f>data!AV89</f>
        <v>14482565.299999999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99.05</v>
      </c>
      <c r="E220" s="287">
        <f>data!AU90</f>
        <v>0</v>
      </c>
      <c r="F220" s="287">
        <f>data!AV90</f>
        <v>671.43</v>
      </c>
      <c r="G220" s="287">
        <f>data!AW90</f>
        <v>5529.58</v>
      </c>
      <c r="H220" s="287">
        <f>data!AX90</f>
        <v>0</v>
      </c>
      <c r="I220" s="287">
        <f>data!AY90</f>
        <v>34829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987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1.9703053611950547</v>
      </c>
      <c r="E224" s="294">
        <f>data!AU94</f>
        <v>0</v>
      </c>
      <c r="F224" s="294">
        <f>data!AV94</f>
        <v>7.9896848055219767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Seattle Children's Hospital</v>
      </c>
      <c r="G228" s="286"/>
      <c r="H228" s="285" t="str">
        <f>"FYE: "&amp;data!C96</f>
        <v>FYE: 09/30/2022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2116017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2.0536288962912082</v>
      </c>
      <c r="D234" s="294">
        <f>data!BA60</f>
        <v>5.3092092360714291</v>
      </c>
      <c r="E234" s="294">
        <f>data!BB60</f>
        <v>145.44231912335164</v>
      </c>
      <c r="F234" s="294">
        <f>data!BC60</f>
        <v>5.7495390746565933</v>
      </c>
      <c r="G234" s="294">
        <f>data!BD60</f>
        <v>31.402610635686809</v>
      </c>
      <c r="H234" s="294">
        <f>data!BE60</f>
        <v>253.57438998428023</v>
      </c>
      <c r="I234" s="294">
        <f>data!BF60</f>
        <v>171.47504722365386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109035.8</v>
      </c>
      <c r="D235" s="287">
        <f>data!BA61</f>
        <v>275596.61</v>
      </c>
      <c r="E235" s="287">
        <f>data!BB61</f>
        <v>13501739.66</v>
      </c>
      <c r="F235" s="287">
        <f>data!BC61</f>
        <v>292400.61000000004</v>
      </c>
      <c r="G235" s="287">
        <f>data!BD61</f>
        <v>2714108.2700000005</v>
      </c>
      <c r="H235" s="287">
        <f>data!BE61</f>
        <v>21058788.130000003</v>
      </c>
      <c r="I235" s="287">
        <f>data!BF61</f>
        <v>10108728.819999998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0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97139.08</v>
      </c>
      <c r="D238" s="287">
        <f>data!BA64</f>
        <v>20490.900000000009</v>
      </c>
      <c r="E238" s="287">
        <f>data!BB64</f>
        <v>259053.56</v>
      </c>
      <c r="F238" s="287">
        <f>data!BC64</f>
        <v>20.54</v>
      </c>
      <c r="G238" s="287">
        <f>data!BD64</f>
        <v>445724.99000000005</v>
      </c>
      <c r="H238" s="287">
        <f>data!BE64</f>
        <v>1327561.21</v>
      </c>
      <c r="I238" s="287">
        <f>data!BF64</f>
        <v>1266857.53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8283102.8699999992</v>
      </c>
      <c r="I239" s="287">
        <f>data!BF65</f>
        <v>1543510.9900000002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3505380.09</v>
      </c>
      <c r="E240" s="287">
        <f>data!BB66</f>
        <v>5255906.6900000004</v>
      </c>
      <c r="F240" s="287">
        <f>data!BC66</f>
        <v>0</v>
      </c>
      <c r="G240" s="287">
        <f>data!BD66</f>
        <v>407818.94000000006</v>
      </c>
      <c r="H240" s="287">
        <f>data!BE66</f>
        <v>8739211.5500000007</v>
      </c>
      <c r="I240" s="287">
        <f>data!BF66</f>
        <v>799126.44000000006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0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709.35</v>
      </c>
      <c r="H242" s="287">
        <f>data!BE68</f>
        <v>232524.87000000002</v>
      </c>
      <c r="I242" s="287">
        <f>data!BF68</f>
        <v>410.07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5620.0000000000009</v>
      </c>
      <c r="D243" s="287">
        <f>data!BA69</f>
        <v>0</v>
      </c>
      <c r="E243" s="287">
        <f>data!BB69</f>
        <v>375606.19999999995</v>
      </c>
      <c r="F243" s="287">
        <f>data!BC69</f>
        <v>0</v>
      </c>
      <c r="G243" s="287">
        <f>data!BD69</f>
        <v>133564.18000000005</v>
      </c>
      <c r="H243" s="287">
        <f>data!BE69</f>
        <v>13309716.43</v>
      </c>
      <c r="I243" s="287">
        <f>data!BF69</f>
        <v>49331.9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-211030.22000000003</v>
      </c>
      <c r="D244" s="287">
        <f>-data!BA84</f>
        <v>0</v>
      </c>
      <c r="E244" s="287">
        <f>-data!BB84</f>
        <v>12232.860000000015</v>
      </c>
      <c r="F244" s="287">
        <f>-data!BC84</f>
        <v>0</v>
      </c>
      <c r="G244" s="287">
        <f>-data!BD84</f>
        <v>0</v>
      </c>
      <c r="H244" s="287">
        <f>-data!BE84</f>
        <v>87693.04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764.65999999997439</v>
      </c>
      <c r="D245" s="287">
        <f>data!BA85</f>
        <v>3801467.5999999996</v>
      </c>
      <c r="E245" s="287">
        <f>data!BB85</f>
        <v>19404538.969999999</v>
      </c>
      <c r="F245" s="287">
        <f>data!BC85</f>
        <v>292421.15000000002</v>
      </c>
      <c r="G245" s="287">
        <f>data!BD85</f>
        <v>3701925.7300000009</v>
      </c>
      <c r="H245" s="287">
        <f>data!BE85</f>
        <v>53038598.100000001</v>
      </c>
      <c r="I245" s="287">
        <f>data!BF85</f>
        <v>13767965.749999998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7974</v>
      </c>
      <c r="D252" s="303">
        <f>data!BA90</f>
        <v>0</v>
      </c>
      <c r="E252" s="303">
        <f>data!BB90</f>
        <v>13182.046</v>
      </c>
      <c r="F252" s="303">
        <f>data!BC90</f>
        <v>0</v>
      </c>
      <c r="G252" s="303">
        <f>data!BD90</f>
        <v>6035.4440000000004</v>
      </c>
      <c r="H252" s="303">
        <f>data!BE90</f>
        <v>151600.48699999999</v>
      </c>
      <c r="I252" s="303">
        <f>data!BF90</f>
        <v>6368.5300000000007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1092269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Seattle Children's Hospital</v>
      </c>
      <c r="G260" s="286"/>
      <c r="H260" s="285" t="str">
        <f>"FYE: "&amp;data!C96</f>
        <v>FYE: 09/30/2022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23.965061222649723</v>
      </c>
      <c r="D266" s="294">
        <f>data!BH60</f>
        <v>291.29691337672523</v>
      </c>
      <c r="E266" s="294">
        <f>data!BI60</f>
        <v>39.290620110384609</v>
      </c>
      <c r="F266" s="294">
        <f>data!BJ60</f>
        <v>51.615695730879125</v>
      </c>
      <c r="G266" s="294">
        <f>data!BK60</f>
        <v>208.29413485129118</v>
      </c>
      <c r="H266" s="294">
        <f>data!BL60</f>
        <v>114.22043491646977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2202585.3000000003</v>
      </c>
      <c r="D267" s="287">
        <f>data!BH61</f>
        <v>37402016.340000004</v>
      </c>
      <c r="E267" s="287">
        <f>data!BI61</f>
        <v>3802961.7899999996</v>
      </c>
      <c r="F267" s="287">
        <f>data!BJ61</f>
        <v>5961829.3800000008</v>
      </c>
      <c r="G267" s="287">
        <f>data!BK61</f>
        <v>16571172.369999999</v>
      </c>
      <c r="H267" s="287">
        <f>data!BL61</f>
        <v>7057150.0800000001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-3138.7400000000025</v>
      </c>
      <c r="D270" s="287">
        <f>data!BH64</f>
        <v>562018.11</v>
      </c>
      <c r="E270" s="287">
        <f>data!BI64</f>
        <v>273605.90999999997</v>
      </c>
      <c r="F270" s="287">
        <f>data!BJ64</f>
        <v>27573.269999999997</v>
      </c>
      <c r="G270" s="287">
        <f>data!BK64</f>
        <v>131336.80000000002</v>
      </c>
      <c r="H270" s="287">
        <f>data!BL64</f>
        <v>28782.490000000005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1315336.5300000003</v>
      </c>
      <c r="D271" s="287">
        <f>data!BH65</f>
        <v>1835846.54</v>
      </c>
      <c r="E271" s="287">
        <f>data!BI65</f>
        <v>230888.08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2370912.66</v>
      </c>
      <c r="D272" s="287">
        <f>data!BH66</f>
        <v>45737956.479999997</v>
      </c>
      <c r="E272" s="287">
        <f>data!BI66</f>
        <v>3497683.7500000005</v>
      </c>
      <c r="F272" s="287">
        <f>data!BJ66</f>
        <v>3071576.2100000004</v>
      </c>
      <c r="G272" s="287">
        <f>data!BK66</f>
        <v>1763552.93</v>
      </c>
      <c r="H272" s="287">
        <f>data!BL66</f>
        <v>36400.800000000003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636.09999999999854</v>
      </c>
      <c r="D274" s="287">
        <f>data!BH68</f>
        <v>895952.42999999993</v>
      </c>
      <c r="E274" s="287">
        <f>data!BI68</f>
        <v>1743213.43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260599.83999999997</v>
      </c>
      <c r="D275" s="287">
        <f>data!BH69</f>
        <v>4783313.2999999989</v>
      </c>
      <c r="E275" s="287">
        <f>data!BI69</f>
        <v>18762.729999999632</v>
      </c>
      <c r="F275" s="287">
        <f>data!BJ69</f>
        <v>-531916.69999999984</v>
      </c>
      <c r="G275" s="287">
        <f>data!BK69</f>
        <v>1054188.24</v>
      </c>
      <c r="H275" s="287">
        <f>data!BL69</f>
        <v>389.75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-1006885.22</v>
      </c>
      <c r="F276" s="287">
        <f>-data!BJ84</f>
        <v>0</v>
      </c>
      <c r="G276" s="287">
        <f>-data!BK84</f>
        <v>-8016732.2400000002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6146931.6899999995</v>
      </c>
      <c r="D277" s="287">
        <f>data!BH85</f>
        <v>91217103.200000003</v>
      </c>
      <c r="E277" s="287">
        <f>data!BI85</f>
        <v>8560230.4699999988</v>
      </c>
      <c r="F277" s="287">
        <f>data!BJ85</f>
        <v>8529062.160000002</v>
      </c>
      <c r="G277" s="287">
        <f>data!BK85</f>
        <v>11503518.1</v>
      </c>
      <c r="H277" s="287">
        <f>data!BL85</f>
        <v>7122723.1200000001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1369.3</v>
      </c>
      <c r="D284" s="303">
        <f>data!BH90</f>
        <v>49236.720000000008</v>
      </c>
      <c r="E284" s="303">
        <f>data!BI90</f>
        <v>1157.22</v>
      </c>
      <c r="F284" s="303">
        <f>data!BJ90</f>
        <v>221.34</v>
      </c>
      <c r="G284" s="303">
        <f>data!BK90</f>
        <v>384.73</v>
      </c>
      <c r="H284" s="303">
        <f>data!BL90</f>
        <v>1133.1000000000001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8415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Seattle Children's Hospital</v>
      </c>
      <c r="G292" s="286"/>
      <c r="H292" s="285" t="str">
        <f>"FYE: "&amp;data!C96</f>
        <v>FYE: 09/30/2022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88.416374632706038</v>
      </c>
      <c r="D298" s="294">
        <f>data!BO60</f>
        <v>16.509906074958792</v>
      </c>
      <c r="E298" s="294">
        <f>data!BP60</f>
        <v>44.036864898791208</v>
      </c>
      <c r="F298" s="294">
        <f>data!BQ60</f>
        <v>49.672130186222532</v>
      </c>
      <c r="G298" s="294">
        <f>data!BR60</f>
        <v>105.08096210509616</v>
      </c>
      <c r="H298" s="294">
        <f>data!BS60</f>
        <v>-0.11799313186813173</v>
      </c>
      <c r="I298" s="294">
        <f>data!BT60</f>
        <v>6.4722789773489016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19558250.469999999</v>
      </c>
      <c r="D299" s="287">
        <f>data!BO61</f>
        <v>1621362.07</v>
      </c>
      <c r="E299" s="287">
        <f>data!BP61</f>
        <v>4642451.78</v>
      </c>
      <c r="F299" s="287">
        <f>data!BQ61</f>
        <v>6386916.1299999999</v>
      </c>
      <c r="G299" s="287">
        <f>data!BR61</f>
        <v>13064389.68</v>
      </c>
      <c r="H299" s="287">
        <f>data!BS61</f>
        <v>-7687.8100000000013</v>
      </c>
      <c r="I299" s="287">
        <f>data!BT61</f>
        <v>643752.6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0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126870.18999999999</v>
      </c>
      <c r="D302" s="287">
        <f>data!BO64</f>
        <v>362625.43</v>
      </c>
      <c r="E302" s="287">
        <f>data!BP64</f>
        <v>97957.61</v>
      </c>
      <c r="F302" s="287">
        <f>data!BQ64</f>
        <v>8347.5099999999984</v>
      </c>
      <c r="G302" s="287">
        <f>data!BR64</f>
        <v>131199.85</v>
      </c>
      <c r="H302" s="287">
        <f>data!BS64</f>
        <v>157.05000000000001</v>
      </c>
      <c r="I302" s="287">
        <f>data!BT64</f>
        <v>11958.32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10321613.4</v>
      </c>
      <c r="D304" s="287">
        <f>data!BO66</f>
        <v>100486.31000000001</v>
      </c>
      <c r="E304" s="287">
        <f>data!BP66</f>
        <v>5594261.1700000009</v>
      </c>
      <c r="F304" s="287">
        <f>data!BQ66</f>
        <v>4059752.1399999997</v>
      </c>
      <c r="G304" s="287">
        <f>data!BR66</f>
        <v>5332610.01</v>
      </c>
      <c r="H304" s="287">
        <f>data!BS66</f>
        <v>0</v>
      </c>
      <c r="I304" s="287">
        <f>data!BT66</f>
        <v>513051.30000000005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3594087.1799999997</v>
      </c>
      <c r="D307" s="287">
        <f>data!BO69</f>
        <v>36137.29</v>
      </c>
      <c r="E307" s="287">
        <f>data!BP69</f>
        <v>884387.3600000001</v>
      </c>
      <c r="F307" s="287">
        <f>data!BQ69</f>
        <v>22742.830000000013</v>
      </c>
      <c r="G307" s="287">
        <f>data!BR69</f>
        <v>2375788.31</v>
      </c>
      <c r="H307" s="287">
        <f>data!BS69</f>
        <v>-100</v>
      </c>
      <c r="I307" s="287">
        <f>data!BT69</f>
        <v>11744.29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-5746423.7899999991</v>
      </c>
      <c r="D308" s="287">
        <f>-data!BO84</f>
        <v>0</v>
      </c>
      <c r="E308" s="287">
        <f>-data!BP84</f>
        <v>-38590</v>
      </c>
      <c r="F308" s="287">
        <f>-data!BQ84</f>
        <v>-5044.6500000000015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27854397.450000003</v>
      </c>
      <c r="D309" s="287">
        <f>data!BO85</f>
        <v>2120611.1</v>
      </c>
      <c r="E309" s="287">
        <f>data!BP85</f>
        <v>11180467.920000002</v>
      </c>
      <c r="F309" s="287">
        <f>data!BQ85</f>
        <v>10472713.959999999</v>
      </c>
      <c r="G309" s="287">
        <f>data!BR85</f>
        <v>20903987.849999998</v>
      </c>
      <c r="H309" s="287">
        <f>data!BS85</f>
        <v>-7630.7600000000011</v>
      </c>
      <c r="I309" s="287">
        <f>data!BT85</f>
        <v>1180506.51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54949.67</v>
      </c>
      <c r="D316" s="303">
        <f>data!BO90</f>
        <v>0</v>
      </c>
      <c r="E316" s="303">
        <f>data!BP90</f>
        <v>7988.15</v>
      </c>
      <c r="F316" s="303">
        <f>data!BQ90</f>
        <v>3427.38</v>
      </c>
      <c r="G316" s="303">
        <f>data!BR90</f>
        <v>13009.1</v>
      </c>
      <c r="H316" s="303">
        <f>data!BS90</f>
        <v>2853.14</v>
      </c>
      <c r="I316" s="303">
        <f>data!BT90</f>
        <v>1635.85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Seattle Children's Hospital</v>
      </c>
      <c r="G324" s="286"/>
      <c r="H324" s="285" t="str">
        <f>"FYE: "&amp;data!C96</f>
        <v>FYE: 09/30/2022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2.382092005837912</v>
      </c>
      <c r="D330" s="294">
        <f>data!BV60</f>
        <v>33.753763188173082</v>
      </c>
      <c r="E330" s="294">
        <f>data!BW60</f>
        <v>28.779571768021977</v>
      </c>
      <c r="F330" s="294">
        <f>data!BX60</f>
        <v>102.65224382050822</v>
      </c>
      <c r="G330" s="294">
        <f>data!BY60</f>
        <v>78.582966971254336</v>
      </c>
      <c r="H330" s="294">
        <f>data!BZ60</f>
        <v>72.23107153295328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229470.24</v>
      </c>
      <c r="D331" s="306">
        <f>data!BV61</f>
        <v>2364972.3000000003</v>
      </c>
      <c r="E331" s="306">
        <f>data!BW61</f>
        <v>2456986.13</v>
      </c>
      <c r="F331" s="306">
        <f>data!BX61</f>
        <v>12321117.559999999</v>
      </c>
      <c r="G331" s="306">
        <f>data!BY61</f>
        <v>9088746.6699999999</v>
      </c>
      <c r="H331" s="306">
        <f>data!BZ61</f>
        <v>6053974.6500000004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0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152.19999999999999</v>
      </c>
      <c r="D334" s="306">
        <f>data!BV64</f>
        <v>29126.860000000004</v>
      </c>
      <c r="E334" s="306">
        <f>data!BW64</f>
        <v>642476.54</v>
      </c>
      <c r="F334" s="306">
        <f>data!BX64</f>
        <v>18855.380000000005</v>
      </c>
      <c r="G334" s="306">
        <f>data!BY64</f>
        <v>61373.440000000002</v>
      </c>
      <c r="H334" s="306">
        <f>data!BZ64</f>
        <v>3893.86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4745.5300000000007</v>
      </c>
      <c r="D336" s="306">
        <f>data!BV66</f>
        <v>594611.27999999991</v>
      </c>
      <c r="E336" s="306">
        <f>data!BW66</f>
        <v>31392608.229999993</v>
      </c>
      <c r="F336" s="306">
        <f>data!BX66</f>
        <v>1634991.19</v>
      </c>
      <c r="G336" s="306">
        <f>data!BY66</f>
        <v>609104.81000000006</v>
      </c>
      <c r="H336" s="306">
        <f>data!BZ66</f>
        <v>99203.049999999988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852019.7300000001</v>
      </c>
      <c r="D339" s="306">
        <f>data!BV69</f>
        <v>9918.69</v>
      </c>
      <c r="E339" s="306">
        <f>data!BW69</f>
        <v>437033.64</v>
      </c>
      <c r="F339" s="306">
        <f>data!BX69</f>
        <v>349332.15</v>
      </c>
      <c r="G339" s="306">
        <f>data!BY69</f>
        <v>342598.32</v>
      </c>
      <c r="H339" s="306">
        <f>data!BZ69</f>
        <v>8177.49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-48762.75</v>
      </c>
      <c r="E340" s="287">
        <f>-data!BW84</f>
        <v>-150600.10000000003</v>
      </c>
      <c r="F340" s="287">
        <f>-data!BX84</f>
        <v>-41264</v>
      </c>
      <c r="G340" s="287">
        <f>-data!BY84</f>
        <v>52875.97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1086387.7000000002</v>
      </c>
      <c r="D341" s="287">
        <f>data!BV85</f>
        <v>2949866.38</v>
      </c>
      <c r="E341" s="287">
        <f>data!BW85</f>
        <v>34778504.43999999</v>
      </c>
      <c r="F341" s="287">
        <f>data!BX85</f>
        <v>14283032.279999999</v>
      </c>
      <c r="G341" s="287">
        <f>data!BY85</f>
        <v>10154699.210000001</v>
      </c>
      <c r="H341" s="287">
        <f>data!BZ85</f>
        <v>6165249.0500000007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4108.68</v>
      </c>
      <c r="D348" s="303">
        <f>data!BV90</f>
        <v>14228.98</v>
      </c>
      <c r="E348" s="303">
        <f>data!BW90</f>
        <v>43517.156000000003</v>
      </c>
      <c r="F348" s="303">
        <f>data!BX90</f>
        <v>3691.05</v>
      </c>
      <c r="G348" s="303">
        <f>data!BY90</f>
        <v>4977.0499999999993</v>
      </c>
      <c r="H348" s="303">
        <f>data!BZ90</f>
        <v>2392.9499999999998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22139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Seattle Children's Hospital</v>
      </c>
      <c r="G356" s="286"/>
      <c r="H356" s="285" t="str">
        <f>"FYE: "&amp;data!C96</f>
        <v>FYE: 09/30/2022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387.39637912739204</v>
      </c>
      <c r="E362" s="309"/>
      <c r="F362" s="297"/>
      <c r="G362" s="297"/>
      <c r="H362" s="297"/>
      <c r="I362" s="310">
        <f>data!CE60</f>
        <v>7910.8414242924509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63763063.449999996</v>
      </c>
      <c r="E363" s="311"/>
      <c r="F363" s="311"/>
      <c r="G363" s="311"/>
      <c r="H363" s="311"/>
      <c r="I363" s="306">
        <f>data!CE61</f>
        <v>787660296.09000003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0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0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516033.26</v>
      </c>
      <c r="E366" s="311"/>
      <c r="F366" s="311"/>
      <c r="G366" s="311"/>
      <c r="H366" s="311"/>
      <c r="I366" s="306">
        <f>data!CE64</f>
        <v>207325920.78000006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125995.78999999998</v>
      </c>
      <c r="E367" s="311"/>
      <c r="F367" s="311"/>
      <c r="G367" s="311"/>
      <c r="H367" s="311"/>
      <c r="I367" s="306">
        <f>data!CE65</f>
        <v>16807691.509999998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27089899.550000001</v>
      </c>
      <c r="E368" s="311"/>
      <c r="F368" s="311"/>
      <c r="G368" s="311"/>
      <c r="H368" s="311"/>
      <c r="I368" s="306">
        <f>data!CE66</f>
        <v>495179558.39999998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0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15134075.42</v>
      </c>
      <c r="E370" s="311"/>
      <c r="F370" s="311"/>
      <c r="G370" s="311"/>
      <c r="H370" s="311"/>
      <c r="I370" s="306">
        <f>data!CE68</f>
        <v>31535582.689999998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59225458.880000025</v>
      </c>
      <c r="E371" s="306">
        <f>data!CD69</f>
        <v>0</v>
      </c>
      <c r="F371" s="311"/>
      <c r="G371" s="311"/>
      <c r="H371" s="311"/>
      <c r="I371" s="306">
        <f>data!CE69</f>
        <v>505890430.51000011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-58999429.739999995</v>
      </c>
      <c r="E372" s="287">
        <f>-data!CD84</f>
        <v>0</v>
      </c>
      <c r="F372" s="297"/>
      <c r="G372" s="297"/>
      <c r="H372" s="297"/>
      <c r="I372" s="287">
        <f>-data!CE84</f>
        <v>-365503258.74000007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106855096.61000003</v>
      </c>
      <c r="E373" s="306">
        <f>data!CD85</f>
        <v>0</v>
      </c>
      <c r="F373" s="311"/>
      <c r="G373" s="311"/>
      <c r="H373" s="311"/>
      <c r="I373" s="287">
        <f>data!CE85</f>
        <v>1313392962.5000002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2062331458.9600008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1284181106.97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3346512565.9300003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765364.51</v>
      </c>
      <c r="E380" s="297"/>
      <c r="F380" s="297"/>
      <c r="G380" s="297"/>
      <c r="H380" s="297"/>
      <c r="I380" s="287">
        <f>data!CE90</f>
        <v>2116016.6146800872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1092269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207564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3536896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1420.0943630588529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103" transitionEvaluation="1" transitionEntry="1" codeName="Sheet12">
    <tabColor rgb="FF92D050"/>
    <pageSetUpPr autoPageBreaks="0" fitToPage="1"/>
  </sheetPr>
  <dimension ref="A1:CF717"/>
  <sheetViews>
    <sheetView topLeftCell="A103" zoomScale="80" zoomScaleNormal="8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4" t="s">
        <v>18</v>
      </c>
      <c r="B37" s="325"/>
      <c r="C37" s="326"/>
      <c r="D37" s="325"/>
      <c r="E37" s="325"/>
      <c r="F37" s="325"/>
      <c r="G37" s="325"/>
    </row>
    <row r="38" spans="1:83" x14ac:dyDescent="0.35">
      <c r="A38" s="327" t="s">
        <v>1342</v>
      </c>
      <c r="B38" s="328"/>
      <c r="C38" s="326"/>
      <c r="D38" s="325"/>
      <c r="E38" s="325"/>
      <c r="F38" s="325"/>
      <c r="G38" s="325"/>
    </row>
    <row r="39" spans="1:83" x14ac:dyDescent="0.35">
      <c r="A39" s="329" t="s">
        <v>1340</v>
      </c>
      <c r="B39" s="328"/>
      <c r="C39" s="326"/>
      <c r="D39" s="325"/>
      <c r="E39" s="325"/>
      <c r="F39" s="325"/>
      <c r="G39" s="325"/>
    </row>
    <row r="40" spans="1:83" x14ac:dyDescent="0.35">
      <c r="A40" s="330" t="s">
        <v>1343</v>
      </c>
      <c r="B40" s="325"/>
      <c r="C40" s="326"/>
      <c r="D40" s="325"/>
      <c r="E40" s="325"/>
      <c r="F40" s="325"/>
      <c r="G40" s="325"/>
    </row>
    <row r="41" spans="1:83" x14ac:dyDescent="0.35">
      <c r="A41" s="329" t="s">
        <v>1341</v>
      </c>
      <c r="B41" s="325"/>
      <c r="C41" s="326"/>
      <c r="D41" s="325"/>
      <c r="E41" s="325"/>
      <c r="F41" s="325"/>
      <c r="G41" s="32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180064455.75000003</v>
      </c>
      <c r="C49" s="270">
        <f>IF($B$49,(ROUND((($B$49/$CE$62)*C62),0)))</f>
        <v>11586394</v>
      </c>
      <c r="D49" s="270">
        <f t="shared" ref="D49:BO49" si="0">IF($B$49,(ROUND((($B$49/$CE$62)*D62),0)))</f>
        <v>0</v>
      </c>
      <c r="E49" s="270">
        <f t="shared" si="0"/>
        <v>12754303</v>
      </c>
      <c r="F49" s="270">
        <f t="shared" si="0"/>
        <v>0</v>
      </c>
      <c r="G49" s="270">
        <f t="shared" si="0"/>
        <v>884569</v>
      </c>
      <c r="H49" s="270">
        <f t="shared" si="0"/>
        <v>2732371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5258827</v>
      </c>
      <c r="Q49" s="270">
        <f t="shared" si="0"/>
        <v>2222656</v>
      </c>
      <c r="R49" s="270">
        <f t="shared" si="0"/>
        <v>456267</v>
      </c>
      <c r="S49" s="270">
        <f t="shared" si="0"/>
        <v>1701061</v>
      </c>
      <c r="T49" s="270">
        <f t="shared" si="0"/>
        <v>394829</v>
      </c>
      <c r="U49" s="270">
        <f t="shared" si="0"/>
        <v>5320597</v>
      </c>
      <c r="V49" s="270">
        <f t="shared" si="0"/>
        <v>1413808</v>
      </c>
      <c r="W49" s="270">
        <f t="shared" si="0"/>
        <v>290944</v>
      </c>
      <c r="X49" s="270">
        <f t="shared" si="0"/>
        <v>292809</v>
      </c>
      <c r="Y49" s="270">
        <f t="shared" si="0"/>
        <v>2802753</v>
      </c>
      <c r="Z49" s="270">
        <f t="shared" si="0"/>
        <v>148029</v>
      </c>
      <c r="AA49" s="270">
        <f t="shared" si="0"/>
        <v>114502</v>
      </c>
      <c r="AB49" s="270">
        <f t="shared" si="0"/>
        <v>5226247</v>
      </c>
      <c r="AC49" s="270">
        <f t="shared" si="0"/>
        <v>2961865</v>
      </c>
      <c r="AD49" s="270">
        <f t="shared" si="0"/>
        <v>860448</v>
      </c>
      <c r="AE49" s="270">
        <f t="shared" si="0"/>
        <v>2256726</v>
      </c>
      <c r="AF49" s="270">
        <f t="shared" si="0"/>
        <v>2848880</v>
      </c>
      <c r="AG49" s="270">
        <f t="shared" si="0"/>
        <v>3036253</v>
      </c>
      <c r="AH49" s="270">
        <f t="shared" si="0"/>
        <v>993252</v>
      </c>
      <c r="AI49" s="270">
        <f t="shared" si="0"/>
        <v>0</v>
      </c>
      <c r="AJ49" s="270">
        <f t="shared" si="0"/>
        <v>24148226</v>
      </c>
      <c r="AK49" s="270">
        <f t="shared" si="0"/>
        <v>592934</v>
      </c>
      <c r="AL49" s="270">
        <f t="shared" si="0"/>
        <v>511174</v>
      </c>
      <c r="AM49" s="270">
        <f t="shared" si="0"/>
        <v>512409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1432050</v>
      </c>
      <c r="AS49" s="270">
        <f t="shared" si="0"/>
        <v>0</v>
      </c>
      <c r="AT49" s="270">
        <f t="shared" si="0"/>
        <v>132555</v>
      </c>
      <c r="AU49" s="270">
        <f t="shared" si="0"/>
        <v>0</v>
      </c>
      <c r="AV49" s="270">
        <f t="shared" si="0"/>
        <v>1092323</v>
      </c>
      <c r="AW49" s="270">
        <f t="shared" si="0"/>
        <v>23438869</v>
      </c>
      <c r="AX49" s="270">
        <f t="shared" si="0"/>
        <v>0</v>
      </c>
      <c r="AY49" s="270">
        <f t="shared" si="0"/>
        <v>2838022</v>
      </c>
      <c r="AZ49" s="270">
        <f t="shared" si="0"/>
        <v>37234</v>
      </c>
      <c r="BA49" s="270">
        <f t="shared" si="0"/>
        <v>32088</v>
      </c>
      <c r="BB49" s="270">
        <f t="shared" si="0"/>
        <v>2566780</v>
      </c>
      <c r="BC49" s="270">
        <f t="shared" si="0"/>
        <v>68719</v>
      </c>
      <c r="BD49" s="270">
        <f t="shared" si="0"/>
        <v>550667</v>
      </c>
      <c r="BE49" s="270">
        <f t="shared" si="0"/>
        <v>4552300</v>
      </c>
      <c r="BF49" s="270">
        <f t="shared" si="0"/>
        <v>2145768</v>
      </c>
      <c r="BG49" s="270">
        <f t="shared" si="0"/>
        <v>454033</v>
      </c>
      <c r="BH49" s="270">
        <f t="shared" si="0"/>
        <v>8501531</v>
      </c>
      <c r="BI49" s="270">
        <f t="shared" si="0"/>
        <v>877461</v>
      </c>
      <c r="BJ49" s="270">
        <f t="shared" si="0"/>
        <v>1361037</v>
      </c>
      <c r="BK49" s="270">
        <f t="shared" si="0"/>
        <v>3761129</v>
      </c>
      <c r="BL49" s="270">
        <f t="shared" si="0"/>
        <v>1587486</v>
      </c>
      <c r="BM49" s="270">
        <f t="shared" si="0"/>
        <v>0</v>
      </c>
      <c r="BN49" s="270">
        <f t="shared" si="0"/>
        <v>4723579</v>
      </c>
      <c r="BO49" s="270">
        <f t="shared" si="0"/>
        <v>239146</v>
      </c>
      <c r="BP49" s="270">
        <f t="shared" ref="BP49:CD49" si="1">IF($B$49,(ROUND((($B$49/$CE$62)*BP62),0)))</f>
        <v>1035010</v>
      </c>
      <c r="BQ49" s="270">
        <f t="shared" si="1"/>
        <v>1533882</v>
      </c>
      <c r="BR49" s="270">
        <f t="shared" si="1"/>
        <v>2297035</v>
      </c>
      <c r="BS49" s="270">
        <f t="shared" si="1"/>
        <v>89990</v>
      </c>
      <c r="BT49" s="270">
        <f t="shared" si="1"/>
        <v>115222</v>
      </c>
      <c r="BU49" s="270">
        <f t="shared" si="1"/>
        <v>63710</v>
      </c>
      <c r="BV49" s="270">
        <f t="shared" si="1"/>
        <v>576003</v>
      </c>
      <c r="BW49" s="270">
        <f t="shared" si="1"/>
        <v>487458</v>
      </c>
      <c r="BX49" s="270">
        <f t="shared" si="1"/>
        <v>2654853</v>
      </c>
      <c r="BY49" s="270">
        <f t="shared" si="1"/>
        <v>1948663</v>
      </c>
      <c r="BZ49" s="270">
        <f t="shared" si="1"/>
        <v>1293666</v>
      </c>
      <c r="CA49" s="270">
        <f t="shared" si="1"/>
        <v>0</v>
      </c>
      <c r="CB49" s="270">
        <f t="shared" si="1"/>
        <v>0</v>
      </c>
      <c r="CC49" s="270">
        <f t="shared" si="1"/>
        <v>15253054</v>
      </c>
      <c r="CD49" s="270">
        <f t="shared" si="1"/>
        <v>0</v>
      </c>
      <c r="CE49" s="32">
        <f>SUM(C49:CD49)</f>
        <v>180064456</v>
      </c>
    </row>
    <row r="50" spans="1:83" x14ac:dyDescent="0.35">
      <c r="A50" s="20" t="s">
        <v>218</v>
      </c>
      <c r="B50" s="270">
        <f>B48+B49</f>
        <v>180064455.75000003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126822566.86</v>
      </c>
      <c r="C53" s="270">
        <f>IF($B$53,ROUND(($B$53/($CE$91+$CF$91)*C91),0))</f>
        <v>7634272</v>
      </c>
      <c r="D53" s="270">
        <f t="shared" ref="D53:BO53" si="2">IF($B$53,ROUND(($B$53/($CE$91+$CF$91)*D91),0))</f>
        <v>0</v>
      </c>
      <c r="E53" s="270">
        <f t="shared" si="2"/>
        <v>22748610</v>
      </c>
      <c r="F53" s="270">
        <f t="shared" si="2"/>
        <v>0</v>
      </c>
      <c r="G53" s="270">
        <f t="shared" si="2"/>
        <v>1229333</v>
      </c>
      <c r="H53" s="270">
        <f t="shared" si="2"/>
        <v>6325944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10248107</v>
      </c>
      <c r="Q53" s="270">
        <f t="shared" si="2"/>
        <v>1007501</v>
      </c>
      <c r="R53" s="270">
        <f t="shared" si="2"/>
        <v>780940</v>
      </c>
      <c r="S53" s="270">
        <f t="shared" si="2"/>
        <v>3460549</v>
      </c>
      <c r="T53" s="270">
        <f t="shared" si="2"/>
        <v>49088</v>
      </c>
      <c r="U53" s="270">
        <f t="shared" si="2"/>
        <v>4542626</v>
      </c>
      <c r="V53" s="270">
        <f t="shared" si="2"/>
        <v>562412</v>
      </c>
      <c r="W53" s="270">
        <f t="shared" si="2"/>
        <v>0</v>
      </c>
      <c r="X53" s="270">
        <f t="shared" si="2"/>
        <v>427712</v>
      </c>
      <c r="Y53" s="270">
        <f t="shared" si="2"/>
        <v>5363750</v>
      </c>
      <c r="Z53" s="270">
        <f t="shared" si="2"/>
        <v>39924</v>
      </c>
      <c r="AA53" s="270">
        <f t="shared" si="2"/>
        <v>228147</v>
      </c>
      <c r="AB53" s="270">
        <f t="shared" si="2"/>
        <v>1719900</v>
      </c>
      <c r="AC53" s="270">
        <f t="shared" si="2"/>
        <v>522175</v>
      </c>
      <c r="AD53" s="270">
        <f t="shared" si="2"/>
        <v>497071</v>
      </c>
      <c r="AE53" s="270">
        <f t="shared" si="2"/>
        <v>1160946</v>
      </c>
      <c r="AF53" s="270">
        <f t="shared" si="2"/>
        <v>1106219</v>
      </c>
      <c r="AG53" s="270">
        <f t="shared" si="2"/>
        <v>3422425</v>
      </c>
      <c r="AH53" s="270">
        <f t="shared" si="2"/>
        <v>21852</v>
      </c>
      <c r="AI53" s="270">
        <f t="shared" si="2"/>
        <v>0</v>
      </c>
      <c r="AJ53" s="270">
        <f t="shared" si="2"/>
        <v>19476254</v>
      </c>
      <c r="AK53" s="270">
        <f t="shared" si="2"/>
        <v>384881</v>
      </c>
      <c r="AL53" s="270">
        <f t="shared" si="2"/>
        <v>287909</v>
      </c>
      <c r="AM53" s="270">
        <f t="shared" si="2"/>
        <v>688337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10179</v>
      </c>
      <c r="AU53" s="270">
        <f t="shared" si="2"/>
        <v>0</v>
      </c>
      <c r="AV53" s="270">
        <f t="shared" si="2"/>
        <v>69000</v>
      </c>
      <c r="AW53" s="270">
        <f t="shared" si="2"/>
        <v>568255</v>
      </c>
      <c r="AX53" s="270">
        <f t="shared" si="2"/>
        <v>0</v>
      </c>
      <c r="AY53" s="270">
        <f t="shared" si="2"/>
        <v>3579254</v>
      </c>
      <c r="AZ53" s="270">
        <f t="shared" si="2"/>
        <v>819460</v>
      </c>
      <c r="BA53" s="270">
        <f t="shared" si="2"/>
        <v>0</v>
      </c>
      <c r="BB53" s="270">
        <f t="shared" si="2"/>
        <v>1354672</v>
      </c>
      <c r="BC53" s="270">
        <f t="shared" si="2"/>
        <v>0</v>
      </c>
      <c r="BD53" s="270">
        <f t="shared" si="2"/>
        <v>620241</v>
      </c>
      <c r="BE53" s="270">
        <f t="shared" si="2"/>
        <v>15579448</v>
      </c>
      <c r="BF53" s="270">
        <f t="shared" si="2"/>
        <v>654471</v>
      </c>
      <c r="BG53" s="270">
        <f t="shared" si="2"/>
        <v>140718</v>
      </c>
      <c r="BH53" s="270">
        <f t="shared" si="2"/>
        <v>5059884</v>
      </c>
      <c r="BI53" s="270">
        <f t="shared" si="2"/>
        <v>118923</v>
      </c>
      <c r="BJ53" s="270">
        <f t="shared" si="2"/>
        <v>22746</v>
      </c>
      <c r="BK53" s="270">
        <f t="shared" si="2"/>
        <v>39537</v>
      </c>
      <c r="BL53" s="270">
        <f t="shared" si="2"/>
        <v>116445</v>
      </c>
      <c r="BM53" s="270">
        <f t="shared" si="2"/>
        <v>0</v>
      </c>
      <c r="BN53" s="270">
        <f t="shared" si="2"/>
        <v>5646984</v>
      </c>
      <c r="BO53" s="270">
        <f t="shared" si="2"/>
        <v>0</v>
      </c>
      <c r="BP53" s="270">
        <f t="shared" ref="BP53:CD53" si="3">IF($B$53,ROUND(($B$53/($CE$91+$CF$91)*BP91),0))</f>
        <v>820914</v>
      </c>
      <c r="BQ53" s="270">
        <f t="shared" si="3"/>
        <v>352220</v>
      </c>
      <c r="BR53" s="270">
        <f t="shared" si="3"/>
        <v>1336899</v>
      </c>
      <c r="BS53" s="270">
        <f t="shared" si="3"/>
        <v>293207</v>
      </c>
      <c r="BT53" s="270">
        <f t="shared" si="3"/>
        <v>168111</v>
      </c>
      <c r="BU53" s="270">
        <f t="shared" si="3"/>
        <v>422235</v>
      </c>
      <c r="BV53" s="270">
        <f t="shared" si="3"/>
        <v>1462262</v>
      </c>
      <c r="BW53" s="270">
        <f t="shared" si="3"/>
        <v>4472105</v>
      </c>
      <c r="BX53" s="270">
        <f t="shared" si="3"/>
        <v>379316</v>
      </c>
      <c r="BY53" s="270">
        <f t="shared" si="3"/>
        <v>511474</v>
      </c>
      <c r="BZ53" s="270">
        <f t="shared" si="3"/>
        <v>245915</v>
      </c>
      <c r="CA53" s="270">
        <f t="shared" si="3"/>
        <v>0</v>
      </c>
      <c r="CB53" s="270">
        <f t="shared" si="3"/>
        <v>0</v>
      </c>
      <c r="CC53" s="270">
        <f t="shared" si="3"/>
        <v>3748460</v>
      </c>
      <c r="CD53" s="270">
        <f t="shared" si="3"/>
        <v>0</v>
      </c>
      <c r="CE53" s="32">
        <f>SUM(C53:CD53)</f>
        <v>142550219</v>
      </c>
    </row>
    <row r="54" spans="1:83" x14ac:dyDescent="0.35">
      <c r="A54" s="20" t="s">
        <v>218</v>
      </c>
      <c r="B54" s="270">
        <f>B52+B53</f>
        <v>126822566.86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26326.987700000001</v>
      </c>
      <c r="D60" s="213">
        <v>0</v>
      </c>
      <c r="E60" s="213">
        <v>60204.707649999997</v>
      </c>
      <c r="F60" s="213">
        <v>0</v>
      </c>
      <c r="G60" s="213">
        <v>3527.1320000000001</v>
      </c>
      <c r="H60" s="213">
        <v>12713.080700000002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>
        <v>1657457</v>
      </c>
      <c r="Q60" s="214">
        <v>1053680</v>
      </c>
      <c r="R60" s="214">
        <v>2080160</v>
      </c>
      <c r="S60" s="263"/>
      <c r="T60" s="263"/>
      <c r="U60" s="227">
        <v>1225608</v>
      </c>
      <c r="V60" s="214">
        <v>40476</v>
      </c>
      <c r="W60" s="214">
        <v>11862</v>
      </c>
      <c r="X60" s="214">
        <v>7976</v>
      </c>
      <c r="Y60" s="214">
        <v>107868</v>
      </c>
      <c r="Z60" s="214">
        <v>852</v>
      </c>
      <c r="AA60" s="214">
        <v>1201</v>
      </c>
      <c r="AB60" s="263"/>
      <c r="AC60" s="214">
        <v>0</v>
      </c>
      <c r="AD60" s="214">
        <v>9961</v>
      </c>
      <c r="AE60" s="214">
        <v>171647</v>
      </c>
      <c r="AF60" s="214">
        <v>0</v>
      </c>
      <c r="AG60" s="214">
        <v>76472</v>
      </c>
      <c r="AH60" s="214">
        <v>0</v>
      </c>
      <c r="AI60" s="214">
        <v>0</v>
      </c>
      <c r="AJ60" s="214">
        <v>0</v>
      </c>
      <c r="AK60" s="214">
        <v>69704</v>
      </c>
      <c r="AL60" s="214">
        <v>50438</v>
      </c>
      <c r="AM60" s="214">
        <v>0</v>
      </c>
      <c r="AN60" s="214">
        <v>0</v>
      </c>
      <c r="AO60" s="214">
        <v>0</v>
      </c>
      <c r="AP60" s="214">
        <v>0</v>
      </c>
      <c r="AQ60" s="214">
        <v>0</v>
      </c>
      <c r="AR60" s="214">
        <v>0</v>
      </c>
      <c r="AS60" s="214">
        <v>0</v>
      </c>
      <c r="AT60" s="214">
        <v>61</v>
      </c>
      <c r="AU60" s="214">
        <v>0</v>
      </c>
      <c r="AV60" s="263"/>
      <c r="AW60" s="263"/>
      <c r="AX60" s="263"/>
      <c r="AY60" s="214">
        <v>819337</v>
      </c>
      <c r="AZ60" s="214">
        <v>0</v>
      </c>
      <c r="BA60" s="263"/>
      <c r="BB60" s="263"/>
      <c r="BC60" s="263"/>
      <c r="BD60" s="263"/>
      <c r="BE60" s="214">
        <v>1234085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408.44346635491064</v>
      </c>
      <c r="D61" s="243">
        <v>0</v>
      </c>
      <c r="E61" s="243">
        <v>516.62095854996562</v>
      </c>
      <c r="F61" s="243">
        <v>0</v>
      </c>
      <c r="G61" s="243">
        <v>33.762553098901101</v>
      </c>
      <c r="H61" s="243">
        <v>139.54070698763735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4">
        <v>212.57699508688188</v>
      </c>
      <c r="Q61" s="244">
        <v>81.978000150240391</v>
      </c>
      <c r="R61" s="244">
        <v>26.228385128777475</v>
      </c>
      <c r="S61" s="245">
        <v>97.756683963083788</v>
      </c>
      <c r="T61" s="245">
        <v>12.444190614697805</v>
      </c>
      <c r="U61" s="246">
        <v>211.80640821995192</v>
      </c>
      <c r="V61" s="244">
        <v>56.396451289320062</v>
      </c>
      <c r="W61" s="244">
        <v>9.8626047748969778</v>
      </c>
      <c r="X61" s="244">
        <v>10.550326138392858</v>
      </c>
      <c r="Y61" s="244">
        <v>112.82840776253434</v>
      </c>
      <c r="Z61" s="244">
        <v>5.9400079876373635</v>
      </c>
      <c r="AA61" s="244">
        <v>3.7290560345123631</v>
      </c>
      <c r="AB61" s="245">
        <v>182.41816304550133</v>
      </c>
      <c r="AC61" s="244">
        <v>123.15059441826925</v>
      </c>
      <c r="AD61" s="244">
        <v>29.361167169642854</v>
      </c>
      <c r="AE61" s="244">
        <v>83.108361452438174</v>
      </c>
      <c r="AF61" s="244">
        <v>115.99061392496566</v>
      </c>
      <c r="AG61" s="244">
        <v>108.97387301665522</v>
      </c>
      <c r="AH61" s="244">
        <v>30.03111643921704</v>
      </c>
      <c r="AI61" s="244">
        <v>0</v>
      </c>
      <c r="AJ61" s="244">
        <v>927.5398429411058</v>
      </c>
      <c r="AK61" s="244">
        <v>23.640780843063183</v>
      </c>
      <c r="AL61" s="244">
        <v>19.179862541895599</v>
      </c>
      <c r="AM61" s="244">
        <v>27.684506793440935</v>
      </c>
      <c r="AN61" s="244">
        <v>0</v>
      </c>
      <c r="AO61" s="244">
        <v>0</v>
      </c>
      <c r="AP61" s="244">
        <v>0</v>
      </c>
      <c r="AQ61" s="244">
        <v>0</v>
      </c>
      <c r="AR61" s="244">
        <v>60.066038886675827</v>
      </c>
      <c r="AS61" s="244">
        <v>0</v>
      </c>
      <c r="AT61" s="244">
        <v>4.1556470066964293</v>
      </c>
      <c r="AU61" s="244">
        <v>0</v>
      </c>
      <c r="AV61" s="245">
        <v>47.440524476304944</v>
      </c>
      <c r="AW61" s="245">
        <v>1113.1760994033657</v>
      </c>
      <c r="AX61" s="245">
        <v>0</v>
      </c>
      <c r="AY61" s="244">
        <v>171.51165154601648</v>
      </c>
      <c r="AZ61" s="244">
        <v>2.9363578652129121</v>
      </c>
      <c r="BA61" s="245">
        <v>2.3863224232486262</v>
      </c>
      <c r="BB61" s="245">
        <v>115.75104143784341</v>
      </c>
      <c r="BC61" s="245">
        <v>5.6376872290521982</v>
      </c>
      <c r="BD61" s="245">
        <v>26.457065751717032</v>
      </c>
      <c r="BE61" s="244">
        <v>219.14389319493478</v>
      </c>
      <c r="BF61" s="245">
        <v>155.628682082761</v>
      </c>
      <c r="BG61" s="245">
        <v>22.339218757554946</v>
      </c>
      <c r="BH61" s="245">
        <v>275.53664977927542</v>
      </c>
      <c r="BI61" s="245">
        <v>38.409496421016485</v>
      </c>
      <c r="BJ61" s="245">
        <v>50.526821031765124</v>
      </c>
      <c r="BK61" s="245">
        <v>197.16904185388051</v>
      </c>
      <c r="BL61" s="245">
        <v>104.53713656662089</v>
      </c>
      <c r="BM61" s="245">
        <v>0</v>
      </c>
      <c r="BN61" s="245">
        <v>88.650597827781581</v>
      </c>
      <c r="BO61" s="245">
        <v>9.4726241488667569</v>
      </c>
      <c r="BP61" s="245">
        <v>41.42441113358516</v>
      </c>
      <c r="BQ61" s="245">
        <v>48.65091561332418</v>
      </c>
      <c r="BR61" s="245">
        <v>75.399076817479397</v>
      </c>
      <c r="BS61" s="245">
        <v>4.8562606468063203</v>
      </c>
      <c r="BT61" s="245">
        <v>4.8774586133241762</v>
      </c>
      <c r="BU61" s="245">
        <v>2.7059993128434061</v>
      </c>
      <c r="BV61" s="245">
        <v>34.608658530219778</v>
      </c>
      <c r="BW61" s="245">
        <v>25.350160610233516</v>
      </c>
      <c r="BX61" s="245">
        <v>90.940642230769242</v>
      </c>
      <c r="BY61" s="245">
        <v>69.451475534168964</v>
      </c>
      <c r="BZ61" s="245">
        <v>66.601771491586533</v>
      </c>
      <c r="CA61" s="245">
        <v>0</v>
      </c>
      <c r="CB61" s="245">
        <v>0</v>
      </c>
      <c r="CC61" s="245">
        <v>339.12937459443685</v>
      </c>
      <c r="CD61" s="247" t="s">
        <v>233</v>
      </c>
      <c r="CE61" s="268">
        <f t="shared" ref="CE61:CE69" si="4">SUM(C61:CD61)</f>
        <v>7126.4728875479032</v>
      </c>
    </row>
    <row r="62" spans="1:83" x14ac:dyDescent="0.35">
      <c r="A62" s="39" t="s">
        <v>248</v>
      </c>
      <c r="B62" s="20"/>
      <c r="C62" s="213">
        <v>45248325.689999998</v>
      </c>
      <c r="D62" s="213">
        <v>0</v>
      </c>
      <c r="E62" s="213">
        <v>49809359.510000005</v>
      </c>
      <c r="F62" s="213">
        <v>0</v>
      </c>
      <c r="G62" s="213">
        <v>3454504.71</v>
      </c>
      <c r="H62" s="213">
        <v>10670725.069999998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20537287.759999998</v>
      </c>
      <c r="Q62" s="214">
        <v>8680136.5399999991</v>
      </c>
      <c r="R62" s="214">
        <v>1781859.98</v>
      </c>
      <c r="S62" s="228">
        <v>6643152.5600000005</v>
      </c>
      <c r="T62" s="228">
        <v>1541926.7300000002</v>
      </c>
      <c r="U62" s="227">
        <v>20778518.839999996</v>
      </c>
      <c r="V62" s="214">
        <v>5521341.0200000005</v>
      </c>
      <c r="W62" s="214">
        <v>1136224.1599999997</v>
      </c>
      <c r="X62" s="214">
        <v>1143506.96</v>
      </c>
      <c r="Y62" s="214">
        <v>10945588.880000001</v>
      </c>
      <c r="Z62" s="214">
        <v>578097.98</v>
      </c>
      <c r="AA62" s="214">
        <v>447164.58999999997</v>
      </c>
      <c r="AB62" s="240">
        <v>20410052.399999999</v>
      </c>
      <c r="AC62" s="214">
        <v>11566966.300000003</v>
      </c>
      <c r="AD62" s="214">
        <v>3360305.8499999996</v>
      </c>
      <c r="AE62" s="214">
        <v>8813189.5599999987</v>
      </c>
      <c r="AF62" s="214">
        <v>11125725.23</v>
      </c>
      <c r="AG62" s="214">
        <v>11857472.57</v>
      </c>
      <c r="AH62" s="214">
        <v>3878946.41</v>
      </c>
      <c r="AI62" s="214">
        <v>0</v>
      </c>
      <c r="AJ62" s="214">
        <v>94306030.930000007</v>
      </c>
      <c r="AK62" s="214">
        <v>2315584.3400000003</v>
      </c>
      <c r="AL62" s="214">
        <v>1996287.79</v>
      </c>
      <c r="AM62" s="214">
        <v>2001108.43</v>
      </c>
      <c r="AN62" s="214">
        <v>0</v>
      </c>
      <c r="AO62" s="214">
        <v>0</v>
      </c>
      <c r="AP62" s="214">
        <v>0</v>
      </c>
      <c r="AQ62" s="214">
        <v>0</v>
      </c>
      <c r="AR62" s="214">
        <v>5592583.3399999999</v>
      </c>
      <c r="AS62" s="214">
        <v>0</v>
      </c>
      <c r="AT62" s="214">
        <v>517666.43</v>
      </c>
      <c r="AU62" s="214">
        <v>0</v>
      </c>
      <c r="AV62" s="228">
        <v>4265847.4499999993</v>
      </c>
      <c r="AW62" s="228">
        <v>91535777.929999992</v>
      </c>
      <c r="AX62" s="228">
        <v>0</v>
      </c>
      <c r="AY62" s="214">
        <v>11083322.74</v>
      </c>
      <c r="AZ62" s="214">
        <v>145410.12</v>
      </c>
      <c r="BA62" s="228">
        <v>125311.39000000001</v>
      </c>
      <c r="BB62" s="228">
        <v>10024043.520000001</v>
      </c>
      <c r="BC62" s="228">
        <v>268366.57</v>
      </c>
      <c r="BD62" s="228">
        <v>2150520.42</v>
      </c>
      <c r="BE62" s="214">
        <v>17778091.900000002</v>
      </c>
      <c r="BF62" s="228">
        <v>8379864.2299999995</v>
      </c>
      <c r="BG62" s="228">
        <v>1773133.8900000001</v>
      </c>
      <c r="BH62" s="228">
        <v>33201015.229999997</v>
      </c>
      <c r="BI62" s="228">
        <v>3426748.08</v>
      </c>
      <c r="BJ62" s="228">
        <v>5315254.1500000013</v>
      </c>
      <c r="BK62" s="228">
        <v>14688330.050000001</v>
      </c>
      <c r="BL62" s="228">
        <v>6199606.4400000004</v>
      </c>
      <c r="BM62" s="228">
        <v>0</v>
      </c>
      <c r="BN62" s="228">
        <v>18446987.010000002</v>
      </c>
      <c r="BO62" s="228">
        <v>933934.95000000007</v>
      </c>
      <c r="BP62" s="228">
        <v>4042024.0100000007</v>
      </c>
      <c r="BQ62" s="228">
        <v>5990266.9400000004</v>
      </c>
      <c r="BR62" s="228">
        <v>8970607.4700000007</v>
      </c>
      <c r="BS62" s="228">
        <v>351436.44</v>
      </c>
      <c r="BT62" s="228">
        <v>449977.18999999994</v>
      </c>
      <c r="BU62" s="228">
        <v>248806.64</v>
      </c>
      <c r="BV62" s="228">
        <v>2249463.2999999998</v>
      </c>
      <c r="BW62" s="228">
        <v>1903669.1600000001</v>
      </c>
      <c r="BX62" s="228">
        <v>10367994.82</v>
      </c>
      <c r="BY62" s="228">
        <v>7610108.6899999995</v>
      </c>
      <c r="BZ62" s="228">
        <v>5052151.3</v>
      </c>
      <c r="CA62" s="228">
        <v>0</v>
      </c>
      <c r="CB62" s="228">
        <v>0</v>
      </c>
      <c r="CC62" s="228">
        <v>59567726.969999999</v>
      </c>
      <c r="CD62" s="29" t="s">
        <v>233</v>
      </c>
      <c r="CE62" s="32">
        <f t="shared" si="4"/>
        <v>703205439.56000018</v>
      </c>
    </row>
    <row r="63" spans="1:83" x14ac:dyDescent="0.35">
      <c r="A63" s="39" t="s">
        <v>9</v>
      </c>
      <c r="B63" s="20"/>
      <c r="C63" s="269">
        <f>ROUND(C48+C49,0)</f>
        <v>11586394</v>
      </c>
      <c r="D63" s="269">
        <f t="shared" ref="D63:BO63" si="5">ROUND(D48+D49,0)</f>
        <v>0</v>
      </c>
      <c r="E63" s="269">
        <f t="shared" si="5"/>
        <v>12754303</v>
      </c>
      <c r="F63" s="269">
        <f t="shared" si="5"/>
        <v>0</v>
      </c>
      <c r="G63" s="269">
        <f t="shared" si="5"/>
        <v>884569</v>
      </c>
      <c r="H63" s="269">
        <f t="shared" si="5"/>
        <v>2732371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5258827</v>
      </c>
      <c r="Q63" s="269">
        <f t="shared" si="5"/>
        <v>2222656</v>
      </c>
      <c r="R63" s="269">
        <f t="shared" si="5"/>
        <v>456267</v>
      </c>
      <c r="S63" s="269">
        <f t="shared" si="5"/>
        <v>1701061</v>
      </c>
      <c r="T63" s="269">
        <f t="shared" si="5"/>
        <v>394829</v>
      </c>
      <c r="U63" s="269">
        <f t="shared" si="5"/>
        <v>5320597</v>
      </c>
      <c r="V63" s="269">
        <f t="shared" si="5"/>
        <v>1413808</v>
      </c>
      <c r="W63" s="269">
        <f t="shared" si="5"/>
        <v>290944</v>
      </c>
      <c r="X63" s="269">
        <f t="shared" si="5"/>
        <v>292809</v>
      </c>
      <c r="Y63" s="269">
        <f t="shared" si="5"/>
        <v>2802753</v>
      </c>
      <c r="Z63" s="269">
        <f t="shared" si="5"/>
        <v>148029</v>
      </c>
      <c r="AA63" s="269">
        <f t="shared" si="5"/>
        <v>114502</v>
      </c>
      <c r="AB63" s="269">
        <f t="shared" si="5"/>
        <v>5226247</v>
      </c>
      <c r="AC63" s="269">
        <f t="shared" si="5"/>
        <v>2961865</v>
      </c>
      <c r="AD63" s="269">
        <f t="shared" si="5"/>
        <v>860448</v>
      </c>
      <c r="AE63" s="269">
        <f t="shared" si="5"/>
        <v>2256726</v>
      </c>
      <c r="AF63" s="269">
        <f t="shared" si="5"/>
        <v>2848880</v>
      </c>
      <c r="AG63" s="269">
        <f t="shared" si="5"/>
        <v>3036253</v>
      </c>
      <c r="AH63" s="269">
        <f t="shared" si="5"/>
        <v>993252</v>
      </c>
      <c r="AI63" s="269">
        <f t="shared" si="5"/>
        <v>0</v>
      </c>
      <c r="AJ63" s="269">
        <f t="shared" si="5"/>
        <v>24148226</v>
      </c>
      <c r="AK63" s="269">
        <f t="shared" si="5"/>
        <v>592934</v>
      </c>
      <c r="AL63" s="269">
        <f t="shared" si="5"/>
        <v>511174</v>
      </c>
      <c r="AM63" s="269">
        <f t="shared" si="5"/>
        <v>512409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1432050</v>
      </c>
      <c r="AS63" s="269">
        <f t="shared" si="5"/>
        <v>0</v>
      </c>
      <c r="AT63" s="269">
        <f t="shared" si="5"/>
        <v>132555</v>
      </c>
      <c r="AU63" s="269">
        <f t="shared" si="5"/>
        <v>0</v>
      </c>
      <c r="AV63" s="269">
        <f t="shared" si="5"/>
        <v>1092323</v>
      </c>
      <c r="AW63" s="269">
        <f t="shared" si="5"/>
        <v>23438869</v>
      </c>
      <c r="AX63" s="269">
        <f t="shared" si="5"/>
        <v>0</v>
      </c>
      <c r="AY63" s="269">
        <f t="shared" si="5"/>
        <v>2838022</v>
      </c>
      <c r="AZ63" s="269">
        <f t="shared" si="5"/>
        <v>37234</v>
      </c>
      <c r="BA63" s="269">
        <f t="shared" si="5"/>
        <v>32088</v>
      </c>
      <c r="BB63" s="269">
        <f t="shared" si="5"/>
        <v>2566780</v>
      </c>
      <c r="BC63" s="269">
        <f t="shared" si="5"/>
        <v>68719</v>
      </c>
      <c r="BD63" s="269">
        <f t="shared" si="5"/>
        <v>550667</v>
      </c>
      <c r="BE63" s="269">
        <f t="shared" si="5"/>
        <v>4552300</v>
      </c>
      <c r="BF63" s="269">
        <f t="shared" si="5"/>
        <v>2145768</v>
      </c>
      <c r="BG63" s="269">
        <f t="shared" si="5"/>
        <v>454033</v>
      </c>
      <c r="BH63" s="269">
        <f t="shared" si="5"/>
        <v>8501531</v>
      </c>
      <c r="BI63" s="269">
        <f t="shared" si="5"/>
        <v>877461</v>
      </c>
      <c r="BJ63" s="269">
        <f t="shared" si="5"/>
        <v>1361037</v>
      </c>
      <c r="BK63" s="269">
        <f t="shared" si="5"/>
        <v>3761129</v>
      </c>
      <c r="BL63" s="269">
        <f t="shared" si="5"/>
        <v>1587486</v>
      </c>
      <c r="BM63" s="269">
        <f t="shared" si="5"/>
        <v>0</v>
      </c>
      <c r="BN63" s="269">
        <f t="shared" si="5"/>
        <v>4723579</v>
      </c>
      <c r="BO63" s="269">
        <f t="shared" si="5"/>
        <v>239146</v>
      </c>
      <c r="BP63" s="269">
        <f t="shared" ref="BP63:CC63" si="6">ROUND(BP48+BP49,0)</f>
        <v>1035010</v>
      </c>
      <c r="BQ63" s="269">
        <f t="shared" si="6"/>
        <v>1533882</v>
      </c>
      <c r="BR63" s="269">
        <f t="shared" si="6"/>
        <v>2297035</v>
      </c>
      <c r="BS63" s="269">
        <f t="shared" si="6"/>
        <v>89990</v>
      </c>
      <c r="BT63" s="269">
        <f t="shared" si="6"/>
        <v>115222</v>
      </c>
      <c r="BU63" s="269">
        <f t="shared" si="6"/>
        <v>63710</v>
      </c>
      <c r="BV63" s="269">
        <f t="shared" si="6"/>
        <v>576003</v>
      </c>
      <c r="BW63" s="269">
        <f t="shared" si="6"/>
        <v>487458</v>
      </c>
      <c r="BX63" s="269">
        <f t="shared" si="6"/>
        <v>2654853</v>
      </c>
      <c r="BY63" s="269">
        <f t="shared" si="6"/>
        <v>1948663</v>
      </c>
      <c r="BZ63" s="269">
        <f t="shared" si="6"/>
        <v>1293666</v>
      </c>
      <c r="CA63" s="269">
        <f t="shared" si="6"/>
        <v>0</v>
      </c>
      <c r="CB63" s="269">
        <f t="shared" si="6"/>
        <v>0</v>
      </c>
      <c r="CC63" s="269">
        <f t="shared" si="6"/>
        <v>15253054</v>
      </c>
      <c r="CD63" s="29" t="s">
        <v>233</v>
      </c>
      <c r="CE63" s="32">
        <f t="shared" si="4"/>
        <v>180064456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0</v>
      </c>
    </row>
    <row r="65" spans="1:83" x14ac:dyDescent="0.35">
      <c r="A65" s="39" t="s">
        <v>250</v>
      </c>
      <c r="B65" s="20"/>
      <c r="C65" s="213">
        <v>4234998.0499999989</v>
      </c>
      <c r="D65" s="213">
        <v>0</v>
      </c>
      <c r="E65" s="213">
        <v>3908500.34</v>
      </c>
      <c r="F65" s="213">
        <v>0</v>
      </c>
      <c r="G65" s="213">
        <v>172972.41000000003</v>
      </c>
      <c r="H65" s="213">
        <v>228887.19999999998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24100339.309999995</v>
      </c>
      <c r="Q65" s="214">
        <v>384890.88</v>
      </c>
      <c r="R65" s="214">
        <v>1698096.3500000003</v>
      </c>
      <c r="S65" s="228">
        <v>-1061465.27</v>
      </c>
      <c r="T65" s="228">
        <v>133692.19999999998</v>
      </c>
      <c r="U65" s="227">
        <v>11162112.160000004</v>
      </c>
      <c r="V65" s="214">
        <v>368181.52</v>
      </c>
      <c r="W65" s="214">
        <v>73403.88</v>
      </c>
      <c r="X65" s="214">
        <v>66141.64</v>
      </c>
      <c r="Y65" s="214">
        <v>5406599.4699999997</v>
      </c>
      <c r="Z65" s="214">
        <v>151821.46999999997</v>
      </c>
      <c r="AA65" s="214">
        <v>632090.15999999992</v>
      </c>
      <c r="AB65" s="240">
        <v>77979459.830000028</v>
      </c>
      <c r="AC65" s="214">
        <v>3090562.57</v>
      </c>
      <c r="AD65" s="214">
        <v>1216259.3599999999</v>
      </c>
      <c r="AE65" s="214">
        <v>127693.45999999998</v>
      </c>
      <c r="AF65" s="214">
        <v>122791.38000000002</v>
      </c>
      <c r="AG65" s="214">
        <v>1422987.9900000005</v>
      </c>
      <c r="AH65" s="214">
        <v>77493.37999999999</v>
      </c>
      <c r="AI65" s="214">
        <v>0</v>
      </c>
      <c r="AJ65" s="214">
        <v>4027786.6799999992</v>
      </c>
      <c r="AK65" s="214">
        <v>123403.9</v>
      </c>
      <c r="AL65" s="214">
        <v>37012.640000000007</v>
      </c>
      <c r="AM65" s="214">
        <v>9083.0500000000011</v>
      </c>
      <c r="AN65" s="214">
        <v>0</v>
      </c>
      <c r="AO65" s="214">
        <v>0</v>
      </c>
      <c r="AP65" s="214">
        <v>0</v>
      </c>
      <c r="AQ65" s="214">
        <v>861.29</v>
      </c>
      <c r="AR65" s="214">
        <v>7637575.1199999982</v>
      </c>
      <c r="AS65" s="214">
        <v>0</v>
      </c>
      <c r="AT65" s="214">
        <v>5098.2099999999991</v>
      </c>
      <c r="AU65" s="214">
        <v>0</v>
      </c>
      <c r="AV65" s="228">
        <v>917870.1599999998</v>
      </c>
      <c r="AW65" s="228">
        <v>21926675.950000007</v>
      </c>
      <c r="AX65" s="228">
        <v>903170.82000000007</v>
      </c>
      <c r="AY65" s="214">
        <v>3088466.0399999996</v>
      </c>
      <c r="AZ65" s="214">
        <v>86369.31</v>
      </c>
      <c r="BA65" s="228">
        <v>60056.659999999996</v>
      </c>
      <c r="BB65" s="228">
        <v>103287.62</v>
      </c>
      <c r="BC65" s="228">
        <v>0</v>
      </c>
      <c r="BD65" s="228">
        <v>186241.21000000002</v>
      </c>
      <c r="BE65" s="214">
        <v>890057.33</v>
      </c>
      <c r="BF65" s="228">
        <v>1068449.2100000002</v>
      </c>
      <c r="BG65" s="228">
        <v>75518.489999999991</v>
      </c>
      <c r="BH65" s="228">
        <v>541503.32999999996</v>
      </c>
      <c r="BI65" s="228">
        <v>52049.670000000006</v>
      </c>
      <c r="BJ65" s="228">
        <v>24722.74</v>
      </c>
      <c r="BK65" s="228">
        <v>144311.21000000002</v>
      </c>
      <c r="BL65" s="228">
        <v>28974.860000000004</v>
      </c>
      <c r="BM65" s="228">
        <v>0</v>
      </c>
      <c r="BN65" s="228">
        <v>196575.5</v>
      </c>
      <c r="BO65" s="228">
        <v>259341.45000000004</v>
      </c>
      <c r="BP65" s="228">
        <v>18215.95</v>
      </c>
      <c r="BQ65" s="228">
        <v>71269.86</v>
      </c>
      <c r="BR65" s="228">
        <v>28110.949999999997</v>
      </c>
      <c r="BS65" s="228">
        <v>1932.9999999999998</v>
      </c>
      <c r="BT65" s="228">
        <v>7622.3399999999992</v>
      </c>
      <c r="BU65" s="228">
        <v>51.17</v>
      </c>
      <c r="BV65" s="228">
        <v>29914.619999999992</v>
      </c>
      <c r="BW65" s="228">
        <v>590199.44999999995</v>
      </c>
      <c r="BX65" s="228">
        <v>89710.170000000013</v>
      </c>
      <c r="BY65" s="228">
        <v>18940.919999999998</v>
      </c>
      <c r="BZ65" s="228">
        <v>3274.72</v>
      </c>
      <c r="CA65" s="228">
        <v>0</v>
      </c>
      <c r="CB65" s="228">
        <v>0</v>
      </c>
      <c r="CC65" s="228">
        <v>-316839.57999999996</v>
      </c>
      <c r="CD65" s="29" t="s">
        <v>233</v>
      </c>
      <c r="CE65" s="32">
        <f t="shared" si="4"/>
        <v>178635375.76000002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0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0</v>
      </c>
      <c r="Q66" s="214">
        <v>0</v>
      </c>
      <c r="R66" s="214">
        <v>0</v>
      </c>
      <c r="S66" s="228">
        <v>0</v>
      </c>
      <c r="T66" s="228">
        <v>0</v>
      </c>
      <c r="U66" s="227">
        <v>0</v>
      </c>
      <c r="V66" s="214">
        <v>1131.5500000000002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957.98</v>
      </c>
      <c r="AC66" s="214">
        <v>0</v>
      </c>
      <c r="AD66" s="214">
        <v>0</v>
      </c>
      <c r="AE66" s="214">
        <v>0</v>
      </c>
      <c r="AF66" s="214">
        <v>13952.100000000002</v>
      </c>
      <c r="AG66" s="214">
        <v>0</v>
      </c>
      <c r="AH66" s="214">
        <v>281.14</v>
      </c>
      <c r="AI66" s="214">
        <v>0</v>
      </c>
      <c r="AJ66" s="214">
        <v>83826.200000000012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44120.380000000005</v>
      </c>
      <c r="AS66" s="214">
        <v>0</v>
      </c>
      <c r="AT66" s="214">
        <v>0</v>
      </c>
      <c r="AU66" s="214">
        <v>0</v>
      </c>
      <c r="AV66" s="228">
        <v>0</v>
      </c>
      <c r="AW66" s="228">
        <v>2714989.71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6748072.9500000002</v>
      </c>
      <c r="BF66" s="228">
        <v>1304056.45</v>
      </c>
      <c r="BG66" s="228">
        <v>1250350.95</v>
      </c>
      <c r="BH66" s="228">
        <v>2299606.81</v>
      </c>
      <c r="BI66" s="228">
        <v>100083.73</v>
      </c>
      <c r="BJ66" s="228">
        <v>0</v>
      </c>
      <c r="BK66" s="228">
        <v>0</v>
      </c>
      <c r="BL66" s="228">
        <v>0</v>
      </c>
      <c r="BM66" s="228">
        <v>0</v>
      </c>
      <c r="BN66" s="228">
        <v>0</v>
      </c>
      <c r="BO66" s="228">
        <v>0</v>
      </c>
      <c r="BP66" s="228">
        <v>0</v>
      </c>
      <c r="BQ66" s="228">
        <v>0.01</v>
      </c>
      <c r="BR66" s="228">
        <v>322.39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0</v>
      </c>
      <c r="BZ66" s="228">
        <v>0</v>
      </c>
      <c r="CA66" s="228">
        <v>0</v>
      </c>
      <c r="CB66" s="228">
        <v>0</v>
      </c>
      <c r="CC66" s="228">
        <v>130500.32999999999</v>
      </c>
      <c r="CD66" s="29" t="s">
        <v>233</v>
      </c>
      <c r="CE66" s="32">
        <f t="shared" si="4"/>
        <v>14692252.68</v>
      </c>
    </row>
    <row r="67" spans="1:83" x14ac:dyDescent="0.35">
      <c r="A67" s="39" t="s">
        <v>252</v>
      </c>
      <c r="B67" s="20"/>
      <c r="C67" s="213">
        <v>4402200.5199999996</v>
      </c>
      <c r="D67" s="213">
        <v>0</v>
      </c>
      <c r="E67" s="213">
        <v>1336609.3799999999</v>
      </c>
      <c r="F67" s="213">
        <v>0</v>
      </c>
      <c r="G67" s="213">
        <v>53547.899999999994</v>
      </c>
      <c r="H67" s="213">
        <v>741350.39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3914212.1300000004</v>
      </c>
      <c r="Q67" s="214">
        <v>1715780.45</v>
      </c>
      <c r="R67" s="214">
        <v>1777619.97</v>
      </c>
      <c r="S67" s="228">
        <v>2807571.2</v>
      </c>
      <c r="T67" s="228">
        <v>0</v>
      </c>
      <c r="U67" s="227">
        <v>9571271.0500000007</v>
      </c>
      <c r="V67" s="214">
        <v>274026.84999999998</v>
      </c>
      <c r="W67" s="214">
        <v>21257.769999999997</v>
      </c>
      <c r="X67" s="214">
        <v>13043.68</v>
      </c>
      <c r="Y67" s="214">
        <v>2016149.5999999999</v>
      </c>
      <c r="Z67" s="214">
        <v>997961.39</v>
      </c>
      <c r="AA67" s="214">
        <v>61402.01</v>
      </c>
      <c r="AB67" s="240">
        <v>228763.21999999994</v>
      </c>
      <c r="AC67" s="214">
        <v>577999.73</v>
      </c>
      <c r="AD67" s="214">
        <v>191775.77</v>
      </c>
      <c r="AE67" s="214">
        <v>144115.88999999998</v>
      </c>
      <c r="AF67" s="214">
        <v>1815714.6099999999</v>
      </c>
      <c r="AG67" s="214">
        <v>763816.67999999993</v>
      </c>
      <c r="AH67" s="214">
        <v>613837.81999999983</v>
      </c>
      <c r="AI67" s="214">
        <v>0</v>
      </c>
      <c r="AJ67" s="214">
        <v>6199942.6499999994</v>
      </c>
      <c r="AK67" s="214">
        <v>1513.54</v>
      </c>
      <c r="AL67" s="214">
        <v>596.29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186781.76</v>
      </c>
      <c r="AS67" s="214">
        <v>0</v>
      </c>
      <c r="AT67" s="214">
        <v>3727030.64</v>
      </c>
      <c r="AU67" s="214">
        <v>0</v>
      </c>
      <c r="AV67" s="228">
        <v>391250.39000000013</v>
      </c>
      <c r="AW67" s="228">
        <v>197689982.94000003</v>
      </c>
      <c r="AX67" s="228">
        <v>363277.93999999994</v>
      </c>
      <c r="AY67" s="214">
        <v>197997.39999999997</v>
      </c>
      <c r="AZ67" s="214">
        <v>2745.34</v>
      </c>
      <c r="BA67" s="228">
        <v>2944023.3000000003</v>
      </c>
      <c r="BB67" s="228">
        <v>3924605.12</v>
      </c>
      <c r="BC67" s="228">
        <v>0</v>
      </c>
      <c r="BD67" s="228">
        <v>375386.35000000009</v>
      </c>
      <c r="BE67" s="214">
        <v>17704014.409999996</v>
      </c>
      <c r="BF67" s="228">
        <v>950088.73000000021</v>
      </c>
      <c r="BG67" s="228">
        <v>1998464.8300000003</v>
      </c>
      <c r="BH67" s="228">
        <v>40799909.549999997</v>
      </c>
      <c r="BI67" s="228">
        <v>2781433.28</v>
      </c>
      <c r="BJ67" s="228">
        <v>3123444.2699999996</v>
      </c>
      <c r="BK67" s="228">
        <v>1439652.35</v>
      </c>
      <c r="BL67" s="228">
        <v>0</v>
      </c>
      <c r="BM67" s="228">
        <v>0</v>
      </c>
      <c r="BN67" s="228">
        <v>9318723.1500000004</v>
      </c>
      <c r="BO67" s="228">
        <v>75963.88</v>
      </c>
      <c r="BP67" s="228">
        <v>4811977.8500000006</v>
      </c>
      <c r="BQ67" s="228">
        <v>907258.57</v>
      </c>
      <c r="BR67" s="228">
        <v>5359202.07</v>
      </c>
      <c r="BS67" s="228">
        <v>115</v>
      </c>
      <c r="BT67" s="228">
        <v>740.38</v>
      </c>
      <c r="BU67" s="228">
        <v>5113.5600000000004</v>
      </c>
      <c r="BV67" s="228">
        <v>806333.95</v>
      </c>
      <c r="BW67" s="228">
        <v>29394074.469999999</v>
      </c>
      <c r="BX67" s="228">
        <v>1356576.76</v>
      </c>
      <c r="BY67" s="228">
        <v>225763.37999999998</v>
      </c>
      <c r="BZ67" s="228">
        <v>16649.03</v>
      </c>
      <c r="CA67" s="228">
        <v>0</v>
      </c>
      <c r="CB67" s="228">
        <v>0</v>
      </c>
      <c r="CC67" s="228">
        <v>25770935.139999997</v>
      </c>
      <c r="CD67" s="29" t="s">
        <v>233</v>
      </c>
      <c r="CE67" s="32">
        <f t="shared" si="4"/>
        <v>396891596.27999997</v>
      </c>
    </row>
    <row r="68" spans="1:83" x14ac:dyDescent="0.35">
      <c r="A68" s="39" t="s">
        <v>11</v>
      </c>
      <c r="B68" s="20"/>
      <c r="C68" s="32">
        <f t="shared" ref="C68:BN68" si="7">ROUND(C52+C53,0)</f>
        <v>7634272</v>
      </c>
      <c r="D68" s="32">
        <f t="shared" si="7"/>
        <v>0</v>
      </c>
      <c r="E68" s="32">
        <f t="shared" si="7"/>
        <v>22748610</v>
      </c>
      <c r="F68" s="32">
        <f t="shared" si="7"/>
        <v>0</v>
      </c>
      <c r="G68" s="32">
        <f t="shared" si="7"/>
        <v>1229333</v>
      </c>
      <c r="H68" s="32">
        <f t="shared" si="7"/>
        <v>6325944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10248107</v>
      </c>
      <c r="Q68" s="32">
        <f t="shared" si="7"/>
        <v>1007501</v>
      </c>
      <c r="R68" s="32">
        <f t="shared" si="7"/>
        <v>780940</v>
      </c>
      <c r="S68" s="32">
        <f t="shared" si="7"/>
        <v>3460549</v>
      </c>
      <c r="T68" s="32">
        <f t="shared" si="7"/>
        <v>49088</v>
      </c>
      <c r="U68" s="32">
        <f t="shared" si="7"/>
        <v>4542626</v>
      </c>
      <c r="V68" s="32">
        <f t="shared" si="7"/>
        <v>562412</v>
      </c>
      <c r="W68" s="32">
        <f t="shared" si="7"/>
        <v>0</v>
      </c>
      <c r="X68" s="32">
        <f t="shared" si="7"/>
        <v>427712</v>
      </c>
      <c r="Y68" s="32">
        <f t="shared" si="7"/>
        <v>5363750</v>
      </c>
      <c r="Z68" s="32">
        <f t="shared" si="7"/>
        <v>39924</v>
      </c>
      <c r="AA68" s="32">
        <f t="shared" si="7"/>
        <v>228147</v>
      </c>
      <c r="AB68" s="32">
        <f t="shared" si="7"/>
        <v>1719900</v>
      </c>
      <c r="AC68" s="32">
        <f t="shared" si="7"/>
        <v>522175</v>
      </c>
      <c r="AD68" s="32">
        <f t="shared" si="7"/>
        <v>497071</v>
      </c>
      <c r="AE68" s="32">
        <f t="shared" si="7"/>
        <v>1160946</v>
      </c>
      <c r="AF68" s="32">
        <f t="shared" si="7"/>
        <v>1106219</v>
      </c>
      <c r="AG68" s="32">
        <f t="shared" si="7"/>
        <v>3422425</v>
      </c>
      <c r="AH68" s="32">
        <f t="shared" si="7"/>
        <v>21852</v>
      </c>
      <c r="AI68" s="32">
        <f t="shared" si="7"/>
        <v>0</v>
      </c>
      <c r="AJ68" s="32">
        <f t="shared" si="7"/>
        <v>19476254</v>
      </c>
      <c r="AK68" s="32">
        <f t="shared" si="7"/>
        <v>384881</v>
      </c>
      <c r="AL68" s="32">
        <f t="shared" si="7"/>
        <v>287909</v>
      </c>
      <c r="AM68" s="32">
        <f t="shared" si="7"/>
        <v>688337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10179</v>
      </c>
      <c r="AU68" s="32">
        <f t="shared" si="7"/>
        <v>0</v>
      </c>
      <c r="AV68" s="32">
        <f t="shared" si="7"/>
        <v>69000</v>
      </c>
      <c r="AW68" s="32">
        <f t="shared" si="7"/>
        <v>568255</v>
      </c>
      <c r="AX68" s="32">
        <f t="shared" si="7"/>
        <v>0</v>
      </c>
      <c r="AY68" s="32">
        <f t="shared" si="7"/>
        <v>3579254</v>
      </c>
      <c r="AZ68" s="32">
        <f t="shared" si="7"/>
        <v>819460</v>
      </c>
      <c r="BA68" s="32">
        <f t="shared" si="7"/>
        <v>0</v>
      </c>
      <c r="BB68" s="32">
        <f t="shared" si="7"/>
        <v>1354672</v>
      </c>
      <c r="BC68" s="32">
        <f t="shared" si="7"/>
        <v>0</v>
      </c>
      <c r="BD68" s="32">
        <f t="shared" si="7"/>
        <v>620241</v>
      </c>
      <c r="BE68" s="32">
        <f t="shared" si="7"/>
        <v>15579448</v>
      </c>
      <c r="BF68" s="32">
        <f t="shared" si="7"/>
        <v>654471</v>
      </c>
      <c r="BG68" s="32">
        <f t="shared" si="7"/>
        <v>140718</v>
      </c>
      <c r="BH68" s="32">
        <f t="shared" si="7"/>
        <v>5059884</v>
      </c>
      <c r="BI68" s="32">
        <f t="shared" si="7"/>
        <v>118923</v>
      </c>
      <c r="BJ68" s="32">
        <f t="shared" si="7"/>
        <v>22746</v>
      </c>
      <c r="BK68" s="32">
        <f t="shared" si="7"/>
        <v>39537</v>
      </c>
      <c r="BL68" s="32">
        <f t="shared" si="7"/>
        <v>116445</v>
      </c>
      <c r="BM68" s="32">
        <f t="shared" si="7"/>
        <v>0</v>
      </c>
      <c r="BN68" s="32">
        <f t="shared" si="7"/>
        <v>5646984</v>
      </c>
      <c r="BO68" s="32">
        <f t="shared" ref="BO68:CC68" si="8">ROUND(BO52+BO53,0)</f>
        <v>0</v>
      </c>
      <c r="BP68" s="32">
        <f t="shared" si="8"/>
        <v>820914</v>
      </c>
      <c r="BQ68" s="32">
        <f t="shared" si="8"/>
        <v>352220</v>
      </c>
      <c r="BR68" s="32">
        <f t="shared" si="8"/>
        <v>1336899</v>
      </c>
      <c r="BS68" s="32">
        <f t="shared" si="8"/>
        <v>293207</v>
      </c>
      <c r="BT68" s="32">
        <f t="shared" si="8"/>
        <v>168111</v>
      </c>
      <c r="BU68" s="32">
        <f t="shared" si="8"/>
        <v>422235</v>
      </c>
      <c r="BV68" s="32">
        <f t="shared" si="8"/>
        <v>1462262</v>
      </c>
      <c r="BW68" s="32">
        <f t="shared" si="8"/>
        <v>4472105</v>
      </c>
      <c r="BX68" s="32">
        <f t="shared" si="8"/>
        <v>379316</v>
      </c>
      <c r="BY68" s="32">
        <f t="shared" si="8"/>
        <v>511474</v>
      </c>
      <c r="BZ68" s="32">
        <f t="shared" si="8"/>
        <v>245915</v>
      </c>
      <c r="CA68" s="32">
        <f t="shared" si="8"/>
        <v>0</v>
      </c>
      <c r="CB68" s="32">
        <f t="shared" si="8"/>
        <v>0</v>
      </c>
      <c r="CC68" s="32">
        <f t="shared" si="8"/>
        <v>3748460</v>
      </c>
      <c r="CD68" s="29" t="s">
        <v>233</v>
      </c>
      <c r="CE68" s="32">
        <f t="shared" si="4"/>
        <v>142550219</v>
      </c>
    </row>
    <row r="69" spans="1:83" x14ac:dyDescent="0.35">
      <c r="A69" s="39" t="s">
        <v>253</v>
      </c>
      <c r="B69" s="32"/>
      <c r="C69" s="213">
        <v>138705.60999999999</v>
      </c>
      <c r="D69" s="213">
        <v>0</v>
      </c>
      <c r="E69" s="213">
        <v>513647.71</v>
      </c>
      <c r="F69" s="213">
        <v>0</v>
      </c>
      <c r="G69" s="213">
        <v>33106.35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159619.67000000001</v>
      </c>
      <c r="Q69" s="214">
        <v>1218.81</v>
      </c>
      <c r="R69" s="214">
        <v>0</v>
      </c>
      <c r="S69" s="228">
        <v>187314.94999999998</v>
      </c>
      <c r="T69" s="228">
        <v>0</v>
      </c>
      <c r="U69" s="227">
        <v>1214.25</v>
      </c>
      <c r="V69" s="214">
        <v>248250.24000000005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0</v>
      </c>
      <c r="AC69" s="214">
        <v>7977.58</v>
      </c>
      <c r="AD69" s="214">
        <v>0</v>
      </c>
      <c r="AE69" s="214">
        <v>0</v>
      </c>
      <c r="AF69" s="214">
        <v>1029167.0100000001</v>
      </c>
      <c r="AG69" s="214">
        <v>0</v>
      </c>
      <c r="AH69" s="214">
        <v>0</v>
      </c>
      <c r="AI69" s="214">
        <v>0</v>
      </c>
      <c r="AJ69" s="214">
        <v>1008436.5000000001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1103896.7499999998</v>
      </c>
      <c r="AS69" s="214">
        <v>0</v>
      </c>
      <c r="AT69" s="214">
        <v>0</v>
      </c>
      <c r="AU69" s="214">
        <v>0</v>
      </c>
      <c r="AV69" s="228">
        <v>0</v>
      </c>
      <c r="AW69" s="228">
        <v>9633103.1100000013</v>
      </c>
      <c r="AX69" s="228">
        <v>47506.559999999983</v>
      </c>
      <c r="AY69" s="214">
        <v>1651.5</v>
      </c>
      <c r="AZ69" s="214">
        <v>0</v>
      </c>
      <c r="BA69" s="228">
        <v>0</v>
      </c>
      <c r="BB69" s="228">
        <v>0</v>
      </c>
      <c r="BC69" s="228">
        <v>0</v>
      </c>
      <c r="BD69" s="228">
        <v>1422.66</v>
      </c>
      <c r="BE69" s="214">
        <v>19042.080000000002</v>
      </c>
      <c r="BF69" s="228">
        <v>-1389</v>
      </c>
      <c r="BG69" s="228">
        <v>0</v>
      </c>
      <c r="BH69" s="228">
        <v>960610.48</v>
      </c>
      <c r="BI69" s="228">
        <v>482298.82999999996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16927100.899999999</v>
      </c>
      <c r="CD69" s="29" t="s">
        <v>233</v>
      </c>
      <c r="CE69" s="32">
        <f t="shared" si="4"/>
        <v>32503902.550000001</v>
      </c>
    </row>
    <row r="70" spans="1:83" x14ac:dyDescent="0.35">
      <c r="A70" s="39" t="s">
        <v>254</v>
      </c>
      <c r="B70" s="20"/>
      <c r="C70" s="32">
        <f t="shared" ref="C70:BN70" si="9">SUM(C71:C84)</f>
        <v>137862.51999999999</v>
      </c>
      <c r="D70" s="32">
        <f t="shared" si="9"/>
        <v>0</v>
      </c>
      <c r="E70" s="32">
        <f t="shared" si="9"/>
        <v>17814.13</v>
      </c>
      <c r="F70" s="32">
        <f t="shared" si="9"/>
        <v>0</v>
      </c>
      <c r="G70" s="32">
        <f t="shared" si="9"/>
        <v>1403.83</v>
      </c>
      <c r="H70" s="32">
        <f t="shared" si="9"/>
        <v>7012.05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1860987.9100000004</v>
      </c>
      <c r="Q70" s="32">
        <f t="shared" si="9"/>
        <v>4302.32</v>
      </c>
      <c r="R70" s="32">
        <f t="shared" si="9"/>
        <v>63421.389999999992</v>
      </c>
      <c r="S70" s="32">
        <f t="shared" si="9"/>
        <v>169809.52</v>
      </c>
      <c r="T70" s="32">
        <f t="shared" si="9"/>
        <v>1464.1200000000001</v>
      </c>
      <c r="U70" s="32">
        <f t="shared" si="9"/>
        <v>2014390.5399999996</v>
      </c>
      <c r="V70" s="32">
        <f t="shared" si="9"/>
        <v>492507.02999999991</v>
      </c>
      <c r="W70" s="32">
        <f t="shared" si="9"/>
        <v>381349.77</v>
      </c>
      <c r="X70" s="32">
        <f t="shared" si="9"/>
        <v>357434.36999999994</v>
      </c>
      <c r="Y70" s="32">
        <f t="shared" si="9"/>
        <v>1445107.2000000002</v>
      </c>
      <c r="Z70" s="32">
        <f t="shared" si="9"/>
        <v>1426.2600000000002</v>
      </c>
      <c r="AA70" s="32">
        <f t="shared" si="9"/>
        <v>241244.55000000002</v>
      </c>
      <c r="AB70" s="32">
        <f t="shared" si="9"/>
        <v>262053.13000000003</v>
      </c>
      <c r="AC70" s="32">
        <f t="shared" si="9"/>
        <v>103835.94999999998</v>
      </c>
      <c r="AD70" s="32">
        <f t="shared" si="9"/>
        <v>67554.789999999994</v>
      </c>
      <c r="AE70" s="32">
        <f t="shared" si="9"/>
        <v>19062.5</v>
      </c>
      <c r="AF70" s="32">
        <f t="shared" si="9"/>
        <v>695215.35999999987</v>
      </c>
      <c r="AG70" s="32">
        <f t="shared" si="9"/>
        <v>25543.370000000003</v>
      </c>
      <c r="AH70" s="32">
        <f t="shared" si="9"/>
        <v>18404.14</v>
      </c>
      <c r="AI70" s="32">
        <f t="shared" si="9"/>
        <v>0</v>
      </c>
      <c r="AJ70" s="32">
        <f t="shared" si="9"/>
        <v>1979615.0499999998</v>
      </c>
      <c r="AK70" s="32">
        <f t="shared" si="9"/>
        <v>8245.52</v>
      </c>
      <c r="AL70" s="32">
        <f t="shared" si="9"/>
        <v>11097.890000000001</v>
      </c>
      <c r="AM70" s="32">
        <f t="shared" si="9"/>
        <v>2034.6799999999998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260733.37</v>
      </c>
      <c r="AS70" s="32">
        <f t="shared" si="9"/>
        <v>0</v>
      </c>
      <c r="AT70" s="32">
        <f t="shared" si="9"/>
        <v>9504.19</v>
      </c>
      <c r="AU70" s="32">
        <f t="shared" si="9"/>
        <v>0</v>
      </c>
      <c r="AV70" s="32">
        <f t="shared" si="9"/>
        <v>97722.85</v>
      </c>
      <c r="AW70" s="32">
        <f t="shared" si="9"/>
        <v>32177079.18</v>
      </c>
      <c r="AX70" s="32">
        <f t="shared" si="9"/>
        <v>-411476.35000000003</v>
      </c>
      <c r="AY70" s="32">
        <f t="shared" si="9"/>
        <v>194246.31</v>
      </c>
      <c r="AZ70" s="32">
        <f t="shared" si="9"/>
        <v>4535.87</v>
      </c>
      <c r="BA70" s="32">
        <f t="shared" si="9"/>
        <v>0</v>
      </c>
      <c r="BB70" s="32">
        <f t="shared" si="9"/>
        <v>180244.37</v>
      </c>
      <c r="BC70" s="32">
        <f t="shared" si="9"/>
        <v>0</v>
      </c>
      <c r="BD70" s="32">
        <f t="shared" si="9"/>
        <v>-6978.58</v>
      </c>
      <c r="BE70" s="32">
        <f t="shared" si="9"/>
        <v>8739591.6500000022</v>
      </c>
      <c r="BF70" s="32">
        <f t="shared" si="9"/>
        <v>44131.69</v>
      </c>
      <c r="BG70" s="32">
        <f t="shared" si="9"/>
        <v>253636.43</v>
      </c>
      <c r="BH70" s="32">
        <f t="shared" si="9"/>
        <v>3984759.5599999996</v>
      </c>
      <c r="BI70" s="32">
        <f t="shared" si="9"/>
        <v>-273480.98000000016</v>
      </c>
      <c r="BJ70" s="32">
        <f t="shared" si="9"/>
        <v>-567684.21</v>
      </c>
      <c r="BK70" s="32">
        <f t="shared" si="9"/>
        <v>805500.84999999986</v>
      </c>
      <c r="BL70" s="32">
        <f t="shared" si="9"/>
        <v>1533.6399999999999</v>
      </c>
      <c r="BM70" s="32">
        <f t="shared" si="9"/>
        <v>0</v>
      </c>
      <c r="BN70" s="32">
        <f t="shared" si="9"/>
        <v>2756228.8000000003</v>
      </c>
      <c r="BO70" s="32">
        <f t="shared" ref="BO70:CD70" si="10">SUM(BO71:BO84)</f>
        <v>20475.79</v>
      </c>
      <c r="BP70" s="32">
        <f t="shared" si="10"/>
        <v>457712.36999999994</v>
      </c>
      <c r="BQ70" s="32">
        <f t="shared" si="10"/>
        <v>332723.24000000005</v>
      </c>
      <c r="BR70" s="32">
        <f t="shared" si="10"/>
        <v>947215.46</v>
      </c>
      <c r="BS70" s="32">
        <f t="shared" si="10"/>
        <v>19684.54</v>
      </c>
      <c r="BT70" s="32">
        <f t="shared" si="10"/>
        <v>3090.7</v>
      </c>
      <c r="BU70" s="32">
        <f t="shared" si="10"/>
        <v>662336.14</v>
      </c>
      <c r="BV70" s="32">
        <f t="shared" si="10"/>
        <v>3808.61</v>
      </c>
      <c r="BW70" s="32">
        <f t="shared" si="10"/>
        <v>357728.96</v>
      </c>
      <c r="BX70" s="32">
        <f t="shared" si="10"/>
        <v>85249.51</v>
      </c>
      <c r="BY70" s="32">
        <f t="shared" si="10"/>
        <v>122822.44</v>
      </c>
      <c r="BZ70" s="32">
        <f t="shared" si="10"/>
        <v>49</v>
      </c>
      <c r="CA70" s="32">
        <f t="shared" si="10"/>
        <v>0</v>
      </c>
      <c r="CB70" s="32">
        <f t="shared" si="10"/>
        <v>0</v>
      </c>
      <c r="CC70" s="32">
        <f t="shared" si="10"/>
        <v>125729021.03</v>
      </c>
      <c r="CD70" s="32">
        <f t="shared" si="10"/>
        <v>0</v>
      </c>
      <c r="CE70" s="32">
        <f>SUM(CE71:CE85)</f>
        <v>525521811.78999996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137862.51999999999</v>
      </c>
      <c r="D84" s="24">
        <v>0</v>
      </c>
      <c r="E84" s="30">
        <v>17814.13</v>
      </c>
      <c r="F84" s="30">
        <v>0</v>
      </c>
      <c r="G84" s="24">
        <v>1403.83</v>
      </c>
      <c r="H84" s="24">
        <v>7012.05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1860987.9100000004</v>
      </c>
      <c r="Q84" s="30">
        <v>4302.32</v>
      </c>
      <c r="R84" s="31">
        <v>63421.389999999992</v>
      </c>
      <c r="S84" s="30">
        <v>169809.52</v>
      </c>
      <c r="T84" s="24">
        <v>1464.1200000000001</v>
      </c>
      <c r="U84" s="30">
        <v>2014390.5399999996</v>
      </c>
      <c r="V84" s="30">
        <v>492507.02999999991</v>
      </c>
      <c r="W84" s="24">
        <v>381349.77</v>
      </c>
      <c r="X84" s="30">
        <v>357434.36999999994</v>
      </c>
      <c r="Y84" s="30">
        <v>1445107.2000000002</v>
      </c>
      <c r="Z84" s="30">
        <v>1426.2600000000002</v>
      </c>
      <c r="AA84" s="30">
        <v>241244.55000000002</v>
      </c>
      <c r="AB84" s="30">
        <v>262053.13000000003</v>
      </c>
      <c r="AC84" s="30">
        <v>103835.94999999998</v>
      </c>
      <c r="AD84" s="30">
        <v>67554.789999999994</v>
      </c>
      <c r="AE84" s="30">
        <v>19062.5</v>
      </c>
      <c r="AF84" s="30">
        <v>695215.35999999987</v>
      </c>
      <c r="AG84" s="30">
        <v>25543.370000000003</v>
      </c>
      <c r="AH84" s="30">
        <v>18404.14</v>
      </c>
      <c r="AI84" s="30">
        <v>0</v>
      </c>
      <c r="AJ84" s="30">
        <v>1979615.0499999998</v>
      </c>
      <c r="AK84" s="30">
        <v>8245.52</v>
      </c>
      <c r="AL84" s="30">
        <v>11097.890000000001</v>
      </c>
      <c r="AM84" s="30">
        <v>2034.6799999999998</v>
      </c>
      <c r="AN84" s="30">
        <v>0</v>
      </c>
      <c r="AO84" s="24">
        <v>0</v>
      </c>
      <c r="AP84" s="30">
        <v>0</v>
      </c>
      <c r="AQ84" s="24">
        <v>0</v>
      </c>
      <c r="AR84" s="24">
        <v>260733.37</v>
      </c>
      <c r="AS84" s="24">
        <v>0</v>
      </c>
      <c r="AT84" s="24">
        <v>9504.19</v>
      </c>
      <c r="AU84" s="30">
        <v>0</v>
      </c>
      <c r="AV84" s="30">
        <v>97722.85</v>
      </c>
      <c r="AW84" s="30">
        <v>32177079.18</v>
      </c>
      <c r="AX84" s="30">
        <v>-411476.35000000003</v>
      </c>
      <c r="AY84" s="30">
        <v>194246.31</v>
      </c>
      <c r="AZ84" s="30">
        <v>4535.87</v>
      </c>
      <c r="BA84" s="30">
        <v>0</v>
      </c>
      <c r="BB84" s="30">
        <v>180244.37</v>
      </c>
      <c r="BC84" s="30">
        <v>0</v>
      </c>
      <c r="BD84" s="30">
        <v>-6978.58</v>
      </c>
      <c r="BE84" s="30">
        <v>8739591.6500000022</v>
      </c>
      <c r="BF84" s="30">
        <v>44131.69</v>
      </c>
      <c r="BG84" s="30">
        <v>253636.43</v>
      </c>
      <c r="BH84" s="31">
        <v>3984759.5599999996</v>
      </c>
      <c r="BI84" s="30">
        <v>-273480.98000000016</v>
      </c>
      <c r="BJ84" s="30">
        <v>-567684.21</v>
      </c>
      <c r="BK84" s="30">
        <v>805500.84999999986</v>
      </c>
      <c r="BL84" s="30">
        <v>1533.6399999999999</v>
      </c>
      <c r="BM84" s="30">
        <v>0</v>
      </c>
      <c r="BN84" s="30">
        <v>2756228.8000000003</v>
      </c>
      <c r="BO84" s="30">
        <v>20475.79</v>
      </c>
      <c r="BP84" s="30">
        <v>457712.36999999994</v>
      </c>
      <c r="BQ84" s="30">
        <v>332723.24000000005</v>
      </c>
      <c r="BR84" s="30">
        <v>947215.46</v>
      </c>
      <c r="BS84" s="30">
        <v>19684.54</v>
      </c>
      <c r="BT84" s="30">
        <v>3090.7</v>
      </c>
      <c r="BU84" s="30">
        <v>662336.14</v>
      </c>
      <c r="BV84" s="30">
        <v>3808.61</v>
      </c>
      <c r="BW84" s="30">
        <v>357728.96</v>
      </c>
      <c r="BX84" s="30">
        <v>85249.51</v>
      </c>
      <c r="BY84" s="30">
        <v>122822.44</v>
      </c>
      <c r="BZ84" s="30">
        <v>49</v>
      </c>
      <c r="CA84" s="30">
        <v>0</v>
      </c>
      <c r="CB84" s="30">
        <v>0</v>
      </c>
      <c r="CC84" s="30">
        <v>125729021.03</v>
      </c>
      <c r="CD84" s="35"/>
      <c r="CE84" s="32">
        <f t="shared" si="11"/>
        <v>187381946.31999999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3334739.5100000002</v>
      </c>
      <c r="V85" s="213">
        <v>0</v>
      </c>
      <c r="W85" s="213">
        <v>0</v>
      </c>
      <c r="X85" s="213">
        <v>0</v>
      </c>
      <c r="Y85" s="213">
        <v>72079.490000000005</v>
      </c>
      <c r="Z85" s="213">
        <v>37580.910000000003</v>
      </c>
      <c r="AA85" s="213">
        <v>0</v>
      </c>
      <c r="AB85" s="213">
        <v>0</v>
      </c>
      <c r="AC85" s="213">
        <v>75</v>
      </c>
      <c r="AD85" s="213">
        <v>0</v>
      </c>
      <c r="AE85" s="213">
        <v>2860</v>
      </c>
      <c r="AF85" s="213">
        <v>1563028.67</v>
      </c>
      <c r="AG85" s="213">
        <v>349526.5</v>
      </c>
      <c r="AH85" s="213">
        <v>149325.23000000001</v>
      </c>
      <c r="AI85" s="213">
        <v>0</v>
      </c>
      <c r="AJ85" s="213">
        <v>3270664.1499999994</v>
      </c>
      <c r="AK85" s="213">
        <v>0</v>
      </c>
      <c r="AL85" s="213">
        <v>0</v>
      </c>
      <c r="AM85" s="213">
        <v>2945.8</v>
      </c>
      <c r="AN85" s="213">
        <v>0</v>
      </c>
      <c r="AO85" s="213">
        <v>0</v>
      </c>
      <c r="AP85" s="213">
        <v>0</v>
      </c>
      <c r="AQ85" s="213">
        <v>0</v>
      </c>
      <c r="AR85" s="213">
        <v>30</v>
      </c>
      <c r="AS85" s="213">
        <v>0</v>
      </c>
      <c r="AT85" s="213">
        <v>250</v>
      </c>
      <c r="AU85" s="213">
        <v>0</v>
      </c>
      <c r="AV85" s="213">
        <v>1399407.8</v>
      </c>
      <c r="AW85" s="213">
        <v>253319398.47</v>
      </c>
      <c r="AX85" s="213">
        <v>0</v>
      </c>
      <c r="AY85" s="213">
        <v>1361392.9500000002</v>
      </c>
      <c r="AZ85" s="213">
        <v>166275.85</v>
      </c>
      <c r="BA85" s="213">
        <v>0</v>
      </c>
      <c r="BB85" s="213">
        <v>-67726.7</v>
      </c>
      <c r="BC85" s="213">
        <v>0</v>
      </c>
      <c r="BD85" s="213">
        <v>0</v>
      </c>
      <c r="BE85" s="213">
        <v>0</v>
      </c>
      <c r="BF85" s="213">
        <v>0</v>
      </c>
      <c r="BG85" s="213">
        <v>0</v>
      </c>
      <c r="BH85" s="213">
        <v>-82468.53</v>
      </c>
      <c r="BI85" s="213">
        <v>1092285.4299999997</v>
      </c>
      <c r="BJ85" s="213">
        <v>0</v>
      </c>
      <c r="BK85" s="213">
        <v>6879865.21</v>
      </c>
      <c r="BL85" s="213">
        <v>0</v>
      </c>
      <c r="BM85" s="213">
        <v>0</v>
      </c>
      <c r="BN85" s="213">
        <v>4161607.4800000004</v>
      </c>
      <c r="BO85" s="213">
        <v>0</v>
      </c>
      <c r="BP85" s="213">
        <v>17330</v>
      </c>
      <c r="BQ85" s="213">
        <v>5913.0300000000007</v>
      </c>
      <c r="BR85" s="213">
        <v>11204</v>
      </c>
      <c r="BS85" s="213">
        <v>0</v>
      </c>
      <c r="BT85" s="213">
        <v>0</v>
      </c>
      <c r="BU85" s="213">
        <v>0</v>
      </c>
      <c r="BV85" s="213">
        <v>9291.19</v>
      </c>
      <c r="BW85" s="213">
        <v>160573.51</v>
      </c>
      <c r="BX85" s="213">
        <v>23783</v>
      </c>
      <c r="BY85" s="213">
        <v>-94812.43</v>
      </c>
      <c r="BZ85" s="213">
        <v>0</v>
      </c>
      <c r="CA85" s="213">
        <v>0</v>
      </c>
      <c r="CB85" s="213">
        <v>0</v>
      </c>
      <c r="CC85" s="213">
        <v>60993439.950000003</v>
      </c>
      <c r="CD85" s="35"/>
      <c r="CE85" s="32">
        <f t="shared" si="11"/>
        <v>338139865.46999997</v>
      </c>
    </row>
    <row r="86" spans="1:84" x14ac:dyDescent="0.35">
      <c r="A86" s="39" t="s">
        <v>270</v>
      </c>
      <c r="B86" s="32"/>
      <c r="C86" s="32">
        <f>SUM(C62:C70)-C85</f>
        <v>73382758.389999986</v>
      </c>
      <c r="D86" s="32">
        <f t="shared" ref="D86:BO86" si="12">SUM(D62:D70)-D85</f>
        <v>0</v>
      </c>
      <c r="E86" s="32">
        <f t="shared" si="12"/>
        <v>91088844.069999993</v>
      </c>
      <c r="F86" s="32">
        <f t="shared" si="12"/>
        <v>0</v>
      </c>
      <c r="G86" s="32">
        <f t="shared" si="12"/>
        <v>5829437.2000000002</v>
      </c>
      <c r="H86" s="32">
        <f t="shared" si="12"/>
        <v>20706289.709999997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66079380.780000001</v>
      </c>
      <c r="Q86" s="32">
        <f t="shared" si="12"/>
        <v>14016486</v>
      </c>
      <c r="R86" s="32">
        <f t="shared" si="12"/>
        <v>6558204.6899999995</v>
      </c>
      <c r="S86" s="32">
        <f t="shared" si="12"/>
        <v>13907992.960000001</v>
      </c>
      <c r="T86" s="32">
        <f t="shared" si="12"/>
        <v>2121000.0500000003</v>
      </c>
      <c r="U86" s="32">
        <f t="shared" si="12"/>
        <v>50055990.329999998</v>
      </c>
      <c r="V86" s="32">
        <f t="shared" si="12"/>
        <v>8881658.209999999</v>
      </c>
      <c r="W86" s="32">
        <f t="shared" si="12"/>
        <v>1903179.5799999996</v>
      </c>
      <c r="X86" s="32">
        <f t="shared" si="12"/>
        <v>2300647.65</v>
      </c>
      <c r="Y86" s="32">
        <f t="shared" si="12"/>
        <v>27907868.660000004</v>
      </c>
      <c r="Z86" s="32">
        <f t="shared" si="12"/>
        <v>1879679.19</v>
      </c>
      <c r="AA86" s="32">
        <f t="shared" si="12"/>
        <v>1724550.31</v>
      </c>
      <c r="AB86" s="32">
        <f t="shared" si="12"/>
        <v>105827433.56000002</v>
      </c>
      <c r="AC86" s="32">
        <f t="shared" si="12"/>
        <v>18831307.129999999</v>
      </c>
      <c r="AD86" s="32">
        <f t="shared" si="12"/>
        <v>6193414.7699999986</v>
      </c>
      <c r="AE86" s="32">
        <f t="shared" si="12"/>
        <v>12518873.41</v>
      </c>
      <c r="AF86" s="32">
        <f t="shared" si="12"/>
        <v>17194636.020000003</v>
      </c>
      <c r="AG86" s="32">
        <f t="shared" si="12"/>
        <v>20178972.110000003</v>
      </c>
      <c r="AH86" s="32">
        <f t="shared" si="12"/>
        <v>5454741.6599999992</v>
      </c>
      <c r="AI86" s="32">
        <f t="shared" si="12"/>
        <v>0</v>
      </c>
      <c r="AJ86" s="32">
        <f t="shared" si="12"/>
        <v>147959453.86000001</v>
      </c>
      <c r="AK86" s="32">
        <f t="shared" si="12"/>
        <v>3426562.3000000003</v>
      </c>
      <c r="AL86" s="32">
        <f t="shared" si="12"/>
        <v>2844077.6100000003</v>
      </c>
      <c r="AM86" s="32">
        <f t="shared" si="12"/>
        <v>3210026.36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861.29</v>
      </c>
      <c r="AR86" s="32">
        <f t="shared" si="12"/>
        <v>16257710.719999997</v>
      </c>
      <c r="AS86" s="32">
        <f t="shared" si="12"/>
        <v>0</v>
      </c>
      <c r="AT86" s="32">
        <f t="shared" si="12"/>
        <v>4401783.4700000007</v>
      </c>
      <c r="AU86" s="32">
        <f t="shared" si="12"/>
        <v>0</v>
      </c>
      <c r="AV86" s="32">
        <f t="shared" si="12"/>
        <v>5434606.0499999998</v>
      </c>
      <c r="AW86" s="32">
        <f t="shared" si="12"/>
        <v>126365334.35000005</v>
      </c>
      <c r="AX86" s="32">
        <f t="shared" si="12"/>
        <v>902478.97</v>
      </c>
      <c r="AY86" s="32">
        <f t="shared" si="12"/>
        <v>19621567.039999999</v>
      </c>
      <c r="AZ86" s="32">
        <f t="shared" si="12"/>
        <v>929478.79000000015</v>
      </c>
      <c r="BA86" s="32">
        <f t="shared" si="12"/>
        <v>3161479.35</v>
      </c>
      <c r="BB86" s="32">
        <f t="shared" si="12"/>
        <v>18221359.330000002</v>
      </c>
      <c r="BC86" s="32">
        <f t="shared" si="12"/>
        <v>337085.57</v>
      </c>
      <c r="BD86" s="32">
        <f t="shared" si="12"/>
        <v>3877500.06</v>
      </c>
      <c r="BE86" s="32">
        <f t="shared" si="12"/>
        <v>72010618.319999993</v>
      </c>
      <c r="BF86" s="32">
        <f t="shared" si="12"/>
        <v>14545440.310000001</v>
      </c>
      <c r="BG86" s="32">
        <f t="shared" si="12"/>
        <v>5945855.5899999999</v>
      </c>
      <c r="BH86" s="32">
        <f t="shared" si="12"/>
        <v>95431288.489999995</v>
      </c>
      <c r="BI86" s="32">
        <f t="shared" si="12"/>
        <v>6473231.1799999997</v>
      </c>
      <c r="BJ86" s="32">
        <f t="shared" si="12"/>
        <v>9279519.9499999993</v>
      </c>
      <c r="BK86" s="32">
        <f t="shared" si="12"/>
        <v>13998595.250000004</v>
      </c>
      <c r="BL86" s="32">
        <f t="shared" si="12"/>
        <v>7934045.9400000004</v>
      </c>
      <c r="BM86" s="32">
        <f t="shared" si="12"/>
        <v>0</v>
      </c>
      <c r="BN86" s="32">
        <f t="shared" si="12"/>
        <v>36927469.980000004</v>
      </c>
      <c r="BO86" s="32">
        <f t="shared" si="12"/>
        <v>1528862.0700000003</v>
      </c>
      <c r="BP86" s="32">
        <f t="shared" ref="BP86:CD86" si="13">SUM(BP62:BP70)-BP85</f>
        <v>11168524.180000002</v>
      </c>
      <c r="BQ86" s="32">
        <f t="shared" si="13"/>
        <v>9181707.5900000017</v>
      </c>
      <c r="BR86" s="32">
        <f t="shared" si="13"/>
        <v>18928188.340000004</v>
      </c>
      <c r="BS86" s="32">
        <f t="shared" si="13"/>
        <v>756365.98</v>
      </c>
      <c r="BT86" s="32">
        <f t="shared" si="13"/>
        <v>744763.60999999987</v>
      </c>
      <c r="BU86" s="32">
        <f t="shared" si="13"/>
        <v>1402252.51</v>
      </c>
      <c r="BV86" s="32">
        <f t="shared" si="13"/>
        <v>5118494.29</v>
      </c>
      <c r="BW86" s="32">
        <f t="shared" si="13"/>
        <v>37044661.530000001</v>
      </c>
      <c r="BX86" s="32">
        <f t="shared" si="13"/>
        <v>14909917.26</v>
      </c>
      <c r="BY86" s="32">
        <f t="shared" si="13"/>
        <v>10532584.859999999</v>
      </c>
      <c r="BZ86" s="32">
        <f t="shared" si="13"/>
        <v>6611705.0499999998</v>
      </c>
      <c r="CA86" s="32">
        <f t="shared" si="13"/>
        <v>0</v>
      </c>
      <c r="CB86" s="32">
        <f t="shared" si="13"/>
        <v>0</v>
      </c>
      <c r="CC86" s="32">
        <f t="shared" si="13"/>
        <v>185816518.83999997</v>
      </c>
      <c r="CD86" s="32">
        <f t="shared" si="13"/>
        <v>0</v>
      </c>
      <c r="CE86" s="32">
        <f t="shared" si="11"/>
        <v>1497785322.6799994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504037933.59999996</v>
      </c>
      <c r="D88" s="213">
        <v>0</v>
      </c>
      <c r="E88" s="213">
        <v>425168495.29999995</v>
      </c>
      <c r="F88" s="213">
        <v>0</v>
      </c>
      <c r="G88" s="213">
        <v>25067504.5</v>
      </c>
      <c r="H88" s="213">
        <v>96467838.799999997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187788979.94000003</v>
      </c>
      <c r="Q88" s="213">
        <v>9365551.5999999996</v>
      </c>
      <c r="R88" s="213">
        <v>48075941</v>
      </c>
      <c r="S88" s="213">
        <v>10124858.890000001</v>
      </c>
      <c r="T88" s="213">
        <v>0</v>
      </c>
      <c r="U88" s="213">
        <v>112479286.16000003</v>
      </c>
      <c r="V88" s="213">
        <v>30995115.600000005</v>
      </c>
      <c r="W88" s="213">
        <v>9502681.1999999993</v>
      </c>
      <c r="X88" s="213">
        <v>10017833.849999998</v>
      </c>
      <c r="Y88" s="213">
        <v>43271804.349999994</v>
      </c>
      <c r="Z88" s="213">
        <v>4534246.8</v>
      </c>
      <c r="AA88" s="213">
        <v>858471.9</v>
      </c>
      <c r="AB88" s="213">
        <v>243217019.55999997</v>
      </c>
      <c r="AC88" s="213">
        <v>12557219.699999997</v>
      </c>
      <c r="AD88" s="213">
        <v>12949162.000000002</v>
      </c>
      <c r="AE88" s="213">
        <v>5820609.1099999994</v>
      </c>
      <c r="AF88" s="213">
        <v>1858219.7999999998</v>
      </c>
      <c r="AG88" s="213">
        <v>24306221.699999999</v>
      </c>
      <c r="AH88" s="213">
        <v>999983.29999999993</v>
      </c>
      <c r="AI88" s="213">
        <v>0</v>
      </c>
      <c r="AJ88" s="213">
        <v>3218331.4</v>
      </c>
      <c r="AK88" s="213">
        <v>6059770.4900000002</v>
      </c>
      <c r="AL88" s="213">
        <v>2623198.6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29219.02</v>
      </c>
      <c r="AS88" s="213">
        <v>0</v>
      </c>
      <c r="AT88" s="213">
        <v>7035500</v>
      </c>
      <c r="AU88" s="213">
        <v>0</v>
      </c>
      <c r="AV88" s="213">
        <v>12561633.600000001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1850992631.7699995</v>
      </c>
    </row>
    <row r="89" spans="1:84" x14ac:dyDescent="0.35">
      <c r="A89" s="26" t="s">
        <v>273</v>
      </c>
      <c r="B89" s="20"/>
      <c r="C89" s="213">
        <v>1388517.2</v>
      </c>
      <c r="D89" s="213">
        <v>0</v>
      </c>
      <c r="E89" s="213">
        <v>31773299.5</v>
      </c>
      <c r="F89" s="213">
        <v>0</v>
      </c>
      <c r="G89" s="213">
        <v>1987563.1</v>
      </c>
      <c r="H89" s="213">
        <v>2148.6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181429070.34999999</v>
      </c>
      <c r="Q89" s="213">
        <v>25181141.300000004</v>
      </c>
      <c r="R89" s="213">
        <v>50579237.600000001</v>
      </c>
      <c r="S89" s="213">
        <v>10425731.91</v>
      </c>
      <c r="T89" s="213">
        <v>0</v>
      </c>
      <c r="U89" s="213">
        <v>97636920.819999993</v>
      </c>
      <c r="V89" s="213">
        <v>48814953.489999995</v>
      </c>
      <c r="W89" s="213">
        <v>32131159.5</v>
      </c>
      <c r="X89" s="213">
        <v>14276967.969999999</v>
      </c>
      <c r="Y89" s="213">
        <v>91017044.560000002</v>
      </c>
      <c r="Z89" s="213">
        <v>399743.4</v>
      </c>
      <c r="AA89" s="213">
        <v>3385038.6500000004</v>
      </c>
      <c r="AB89" s="213">
        <v>205848072.41</v>
      </c>
      <c r="AC89" s="213">
        <v>1078594</v>
      </c>
      <c r="AD89" s="213">
        <v>20708233.25</v>
      </c>
      <c r="AE89" s="213">
        <v>15271564.510000002</v>
      </c>
      <c r="AF89" s="213">
        <v>9776731.0999999996</v>
      </c>
      <c r="AG89" s="213">
        <v>73698838.800000012</v>
      </c>
      <c r="AH89" s="213">
        <v>498771.36</v>
      </c>
      <c r="AI89" s="213">
        <v>0</v>
      </c>
      <c r="AJ89" s="213">
        <v>127392001.61000001</v>
      </c>
      <c r="AK89" s="213">
        <v>3137735.4500000007</v>
      </c>
      <c r="AL89" s="213">
        <v>4946590.45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74100380.409999996</v>
      </c>
      <c r="AS89" s="213">
        <v>0</v>
      </c>
      <c r="AT89" s="213">
        <v>-375</v>
      </c>
      <c r="AU89" s="213">
        <v>0</v>
      </c>
      <c r="AV89" s="213">
        <v>105734.8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1126991411.1000001</v>
      </c>
    </row>
    <row r="90" spans="1:84" x14ac:dyDescent="0.35">
      <c r="A90" s="26" t="s">
        <v>274</v>
      </c>
      <c r="B90" s="20"/>
      <c r="C90" s="32">
        <f>C88+C89</f>
        <v>505426450.79999995</v>
      </c>
      <c r="D90" s="32">
        <f t="shared" ref="D90:AV90" si="15">D88+D89</f>
        <v>0</v>
      </c>
      <c r="E90" s="32">
        <f t="shared" si="15"/>
        <v>456941794.79999995</v>
      </c>
      <c r="F90" s="32">
        <f t="shared" si="15"/>
        <v>0</v>
      </c>
      <c r="G90" s="32">
        <f t="shared" si="15"/>
        <v>27055067.600000001</v>
      </c>
      <c r="H90" s="32">
        <f t="shared" si="15"/>
        <v>96469987.399999991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369218050.29000002</v>
      </c>
      <c r="Q90" s="32">
        <f t="shared" si="15"/>
        <v>34546692.900000006</v>
      </c>
      <c r="R90" s="32">
        <f t="shared" si="15"/>
        <v>98655178.599999994</v>
      </c>
      <c r="S90" s="32">
        <f t="shared" si="15"/>
        <v>20550590.800000001</v>
      </c>
      <c r="T90" s="32">
        <f t="shared" si="15"/>
        <v>0</v>
      </c>
      <c r="U90" s="32">
        <f t="shared" si="15"/>
        <v>210116206.98000002</v>
      </c>
      <c r="V90" s="32">
        <f t="shared" si="15"/>
        <v>79810069.090000004</v>
      </c>
      <c r="W90" s="32">
        <f t="shared" si="15"/>
        <v>41633840.700000003</v>
      </c>
      <c r="X90" s="32">
        <f t="shared" si="15"/>
        <v>24294801.819999997</v>
      </c>
      <c r="Y90" s="32">
        <f t="shared" si="15"/>
        <v>134288848.91</v>
      </c>
      <c r="Z90" s="32">
        <f t="shared" si="15"/>
        <v>4933990.2</v>
      </c>
      <c r="AA90" s="32">
        <f t="shared" si="15"/>
        <v>4243510.5500000007</v>
      </c>
      <c r="AB90" s="32">
        <f t="shared" si="15"/>
        <v>449065091.96999997</v>
      </c>
      <c r="AC90" s="32">
        <f t="shared" si="15"/>
        <v>13635813.699999997</v>
      </c>
      <c r="AD90" s="32">
        <f t="shared" si="15"/>
        <v>33657395.25</v>
      </c>
      <c r="AE90" s="32">
        <f t="shared" si="15"/>
        <v>21092173.620000001</v>
      </c>
      <c r="AF90" s="32">
        <f t="shared" si="15"/>
        <v>11634950.899999999</v>
      </c>
      <c r="AG90" s="32">
        <f t="shared" si="15"/>
        <v>98005060.500000015</v>
      </c>
      <c r="AH90" s="32">
        <f t="shared" si="15"/>
        <v>1498754.66</v>
      </c>
      <c r="AI90" s="32">
        <f t="shared" si="15"/>
        <v>0</v>
      </c>
      <c r="AJ90" s="32">
        <f t="shared" si="15"/>
        <v>130610333.01000002</v>
      </c>
      <c r="AK90" s="32">
        <f t="shared" si="15"/>
        <v>9197505.9400000013</v>
      </c>
      <c r="AL90" s="32">
        <f t="shared" si="15"/>
        <v>7569789.0500000007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74129599.429999992</v>
      </c>
      <c r="AS90" s="32">
        <f t="shared" si="15"/>
        <v>0</v>
      </c>
      <c r="AT90" s="32">
        <f t="shared" si="15"/>
        <v>7035125</v>
      </c>
      <c r="AU90" s="32">
        <f t="shared" si="15"/>
        <v>0</v>
      </c>
      <c r="AV90" s="32">
        <f t="shared" si="15"/>
        <v>12667368.400000002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2977984042.8699999</v>
      </c>
    </row>
    <row r="91" spans="1:84" x14ac:dyDescent="0.35">
      <c r="A91" s="39" t="s">
        <v>275</v>
      </c>
      <c r="B91" s="32"/>
      <c r="C91" s="213">
        <v>74287.567999999999</v>
      </c>
      <c r="D91" s="213">
        <v>0</v>
      </c>
      <c r="E91" s="213">
        <v>221362.16399999999</v>
      </c>
      <c r="F91" s="213">
        <v>0</v>
      </c>
      <c r="G91" s="213">
        <v>11962.39</v>
      </c>
      <c r="H91" s="213">
        <v>61556.491999999998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99722.272694497195</v>
      </c>
      <c r="Q91" s="213">
        <v>9803.7900000000009</v>
      </c>
      <c r="R91" s="213">
        <v>7599.174</v>
      </c>
      <c r="S91" s="213">
        <v>33673.906923076924</v>
      </c>
      <c r="T91" s="213">
        <v>477.67</v>
      </c>
      <c r="U91" s="213">
        <v>44203.38</v>
      </c>
      <c r="V91" s="213">
        <v>5472.7139999999999</v>
      </c>
      <c r="W91" s="213">
        <v>0</v>
      </c>
      <c r="X91" s="213">
        <v>4161.9791323313448</v>
      </c>
      <c r="Y91" s="213">
        <v>52193.572901298903</v>
      </c>
      <c r="Z91" s="213">
        <v>388.48906929758834</v>
      </c>
      <c r="AA91" s="213">
        <v>2220.0539544764915</v>
      </c>
      <c r="AB91" s="213">
        <v>16736</v>
      </c>
      <c r="AC91" s="213">
        <v>5081.18</v>
      </c>
      <c r="AD91" s="213">
        <v>4836.8999999999996</v>
      </c>
      <c r="AE91" s="213">
        <v>11296.93</v>
      </c>
      <c r="AF91" s="213">
        <v>10764.396000000001</v>
      </c>
      <c r="AG91" s="213">
        <v>33302.934000000001</v>
      </c>
      <c r="AH91" s="213">
        <v>212.64</v>
      </c>
      <c r="AI91" s="213">
        <v>0</v>
      </c>
      <c r="AJ91" s="213">
        <v>189519.525005109</v>
      </c>
      <c r="AK91" s="213">
        <v>3745.2</v>
      </c>
      <c r="AL91" s="213">
        <v>2801.58</v>
      </c>
      <c r="AM91" s="213">
        <v>6698.07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99.05</v>
      </c>
      <c r="AU91" s="213">
        <v>0</v>
      </c>
      <c r="AV91" s="213">
        <v>671.43</v>
      </c>
      <c r="AW91" s="213">
        <v>5529.58</v>
      </c>
      <c r="AX91" s="213">
        <v>0</v>
      </c>
      <c r="AY91" s="213">
        <v>34829</v>
      </c>
      <c r="AZ91" s="213">
        <v>7974</v>
      </c>
      <c r="BA91" s="213">
        <v>0</v>
      </c>
      <c r="BB91" s="213">
        <v>13182.046</v>
      </c>
      <c r="BC91" s="213">
        <v>0</v>
      </c>
      <c r="BD91" s="213">
        <v>6035.4440000000004</v>
      </c>
      <c r="BE91" s="213">
        <v>151600.48699999999</v>
      </c>
      <c r="BF91" s="213">
        <v>6368.5300000000007</v>
      </c>
      <c r="BG91" s="213">
        <v>1369.3</v>
      </c>
      <c r="BH91" s="213">
        <v>49236.720000000008</v>
      </c>
      <c r="BI91" s="213">
        <v>1157.22</v>
      </c>
      <c r="BJ91" s="213">
        <v>221.34</v>
      </c>
      <c r="BK91" s="213">
        <v>384.73</v>
      </c>
      <c r="BL91" s="213">
        <v>1133.1000000000001</v>
      </c>
      <c r="BM91" s="213">
        <v>0</v>
      </c>
      <c r="BN91" s="213">
        <v>54949.67</v>
      </c>
      <c r="BO91" s="213">
        <v>0</v>
      </c>
      <c r="BP91" s="213">
        <v>7988.15</v>
      </c>
      <c r="BQ91" s="213">
        <v>3427.38</v>
      </c>
      <c r="BR91" s="213">
        <v>13009.1</v>
      </c>
      <c r="BS91" s="213">
        <v>2853.14</v>
      </c>
      <c r="BT91" s="213">
        <v>1635.85</v>
      </c>
      <c r="BU91" s="213">
        <v>4108.68</v>
      </c>
      <c r="BV91" s="213">
        <v>14228.98</v>
      </c>
      <c r="BW91" s="213">
        <v>43517.156000000003</v>
      </c>
      <c r="BX91" s="213">
        <v>3691.05</v>
      </c>
      <c r="BY91" s="213">
        <v>4977.0499999999993</v>
      </c>
      <c r="BZ91" s="213">
        <v>2392.9499999999998</v>
      </c>
      <c r="CA91" s="213">
        <v>0</v>
      </c>
      <c r="CB91" s="213">
        <v>0</v>
      </c>
      <c r="CC91" s="213">
        <v>36475.51</v>
      </c>
      <c r="CD91" s="233" t="s">
        <v>233</v>
      </c>
      <c r="CE91" s="32">
        <f t="shared" si="14"/>
        <v>1387127.6146800872</v>
      </c>
      <c r="CF91" s="32">
        <f>BE60-CE91</f>
        <v>-153042.61468008719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0</v>
      </c>
      <c r="F92" s="213">
        <v>0</v>
      </c>
      <c r="G92" s="213">
        <v>0</v>
      </c>
      <c r="H92" s="213">
        <v>0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>
        <v>1092264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1092264</v>
      </c>
      <c r="CF92" s="32">
        <f>AY60-CE92</f>
        <v>-272927</v>
      </c>
    </row>
    <row r="93" spans="1:84" x14ac:dyDescent="0.35">
      <c r="A93" s="26" t="s">
        <v>277</v>
      </c>
      <c r="B93" s="20"/>
      <c r="C93" s="213">
        <v>227</v>
      </c>
      <c r="D93" s="213"/>
      <c r="E93" s="213">
        <v>22318</v>
      </c>
      <c r="F93" s="213"/>
      <c r="G93" s="213">
        <v>209</v>
      </c>
      <c r="H93" s="213">
        <v>2168</v>
      </c>
      <c r="I93" s="213"/>
      <c r="J93" s="213"/>
      <c r="K93" s="213"/>
      <c r="L93" s="213"/>
      <c r="M93" s="213"/>
      <c r="N93" s="213"/>
      <c r="O93" s="213"/>
      <c r="P93" s="213">
        <v>4930</v>
      </c>
      <c r="Q93" s="213">
        <v>1154</v>
      </c>
      <c r="R93" s="213">
        <v>9325</v>
      </c>
      <c r="S93" s="213">
        <v>4355</v>
      </c>
      <c r="T93" s="213">
        <v>91</v>
      </c>
      <c r="U93" s="213">
        <v>120565</v>
      </c>
      <c r="V93" s="213">
        <v>7567</v>
      </c>
      <c r="W93" s="213"/>
      <c r="X93" s="213">
        <v>0</v>
      </c>
      <c r="Y93" s="213">
        <v>4131</v>
      </c>
      <c r="Z93" s="213">
        <v>208</v>
      </c>
      <c r="AA93" s="213">
        <v>6719</v>
      </c>
      <c r="AB93" s="213">
        <v>7321</v>
      </c>
      <c r="AC93" s="213">
        <v>34</v>
      </c>
      <c r="AD93" s="213">
        <v>573</v>
      </c>
      <c r="AE93" s="213">
        <v>2246</v>
      </c>
      <c r="AF93" s="213"/>
      <c r="AG93" s="213"/>
      <c r="AH93" s="213"/>
      <c r="AI93" s="213"/>
      <c r="AJ93" s="213">
        <v>12436</v>
      </c>
      <c r="AK93" s="213"/>
      <c r="AL93" s="213"/>
      <c r="AM93" s="213"/>
      <c r="AN93" s="213"/>
      <c r="AO93" s="213"/>
      <c r="AP93" s="213"/>
      <c r="AQ93" s="213"/>
      <c r="AR93" s="213"/>
      <c r="AS93" s="213"/>
      <c r="AT93" s="213">
        <v>987</v>
      </c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207564</v>
      </c>
      <c r="CF93" s="20"/>
    </row>
    <row r="94" spans="1:84" x14ac:dyDescent="0.35">
      <c r="A94" s="26" t="s">
        <v>278</v>
      </c>
      <c r="B94" s="20"/>
      <c r="C94" s="213">
        <v>1089336</v>
      </c>
      <c r="D94" s="213"/>
      <c r="E94" s="213">
        <v>1589861</v>
      </c>
      <c r="F94" s="213"/>
      <c r="G94" s="213">
        <v>38072</v>
      </c>
      <c r="H94" s="213">
        <v>230750</v>
      </c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>
        <v>29114</v>
      </c>
      <c r="T94" s="213"/>
      <c r="U94" s="213"/>
      <c r="V94" s="213">
        <v>49457</v>
      </c>
      <c r="W94" s="213"/>
      <c r="X94" s="213"/>
      <c r="Y94" s="213">
        <v>278191</v>
      </c>
      <c r="Z94" s="213"/>
      <c r="AA94" s="213"/>
      <c r="AB94" s="213">
        <v>14237</v>
      </c>
      <c r="AC94" s="213"/>
      <c r="AD94" s="213"/>
      <c r="AE94" s="213"/>
      <c r="AF94" s="213"/>
      <c r="AG94" s="213">
        <v>85116</v>
      </c>
      <c r="AH94" s="213"/>
      <c r="AI94" s="213"/>
      <c r="AJ94" s="213">
        <v>102208</v>
      </c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>
        <v>8415</v>
      </c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>
        <v>22139</v>
      </c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3536896</v>
      </c>
      <c r="CF94" s="32">
        <f>BA60</f>
        <v>0</v>
      </c>
    </row>
    <row r="95" spans="1:84" x14ac:dyDescent="0.35">
      <c r="A95" s="26" t="s">
        <v>279</v>
      </c>
      <c r="B95" s="20"/>
      <c r="C95" s="243">
        <v>341.4599663325892</v>
      </c>
      <c r="D95" s="243">
        <v>0</v>
      </c>
      <c r="E95" s="243">
        <v>392.62108844866066</v>
      </c>
      <c r="F95" s="243">
        <v>0</v>
      </c>
      <c r="G95" s="243">
        <v>22.941563859031593</v>
      </c>
      <c r="H95" s="243">
        <v>37.290288408138736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44">
        <v>81.104259047905231</v>
      </c>
      <c r="Q95" s="244">
        <v>57.837983007726649</v>
      </c>
      <c r="R95" s="244">
        <v>0.8309402472527474</v>
      </c>
      <c r="S95" s="245">
        <v>0</v>
      </c>
      <c r="T95" s="245">
        <v>11.786675642170332</v>
      </c>
      <c r="U95" s="246">
        <v>0.99588035714285705</v>
      </c>
      <c r="V95" s="244">
        <v>0</v>
      </c>
      <c r="W95" s="244">
        <v>0</v>
      </c>
      <c r="X95" s="244">
        <v>0</v>
      </c>
      <c r="Y95" s="244">
        <v>18.707648803571431</v>
      </c>
      <c r="Z95" s="244">
        <v>2.2965300312500001</v>
      </c>
      <c r="AA95" s="244">
        <v>0</v>
      </c>
      <c r="AB95" s="245">
        <v>0.26924999999999999</v>
      </c>
      <c r="AC95" s="244">
        <v>0</v>
      </c>
      <c r="AD95" s="244">
        <v>22.201703869677196</v>
      </c>
      <c r="AE95" s="244">
        <v>4.8076923076923079E-6</v>
      </c>
      <c r="AF95" s="244">
        <v>15.244342201751374</v>
      </c>
      <c r="AG95" s="244">
        <v>67.693100344436814</v>
      </c>
      <c r="AH95" s="244">
        <v>17.507663867445057</v>
      </c>
      <c r="AI95" s="244">
        <v>0</v>
      </c>
      <c r="AJ95" s="244">
        <v>330.57693026802889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6.4835896036916205</v>
      </c>
      <c r="AS95" s="244">
        <v>0</v>
      </c>
      <c r="AT95" s="244">
        <v>3.1541385360576926</v>
      </c>
      <c r="AU95" s="244">
        <v>0</v>
      </c>
      <c r="AV95" s="245">
        <v>7.6475920427541206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1438.6511397269742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334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98105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1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13679</v>
      </c>
      <c r="D128" s="220">
        <v>101540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141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154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13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41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349</v>
      </c>
    </row>
    <row r="145" spans="1:6" x14ac:dyDescent="0.35">
      <c r="A145" s="20" t="s">
        <v>325</v>
      </c>
      <c r="B145" s="46" t="s">
        <v>284</v>
      </c>
      <c r="C145" s="47">
        <v>407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137</v>
      </c>
      <c r="C155" s="50">
        <v>6346</v>
      </c>
      <c r="D155" s="50">
        <v>7196</v>
      </c>
      <c r="E155" s="32">
        <f>SUM(B155:D155)</f>
        <v>13679</v>
      </c>
    </row>
    <row r="156" spans="1:6" x14ac:dyDescent="0.35">
      <c r="A156" s="20" t="s">
        <v>227</v>
      </c>
      <c r="B156" s="50">
        <v>943</v>
      </c>
      <c r="C156" s="50">
        <v>52317</v>
      </c>
      <c r="D156" s="50">
        <v>48280</v>
      </c>
      <c r="E156" s="32">
        <f>SUM(B156:D156)</f>
        <v>101540</v>
      </c>
    </row>
    <row r="157" spans="1:6" x14ac:dyDescent="0.35">
      <c r="A157" s="20" t="s">
        <v>332</v>
      </c>
      <c r="B157" s="50">
        <v>7987</v>
      </c>
      <c r="C157" s="50">
        <v>186909</v>
      </c>
      <c r="D157" s="50">
        <v>333268</v>
      </c>
      <c r="E157" s="32">
        <f>SUM(B157:D157)</f>
        <v>528164</v>
      </c>
    </row>
    <row r="158" spans="1:6" x14ac:dyDescent="0.35">
      <c r="A158" s="20" t="s">
        <v>272</v>
      </c>
      <c r="B158" s="50">
        <v>22657500</v>
      </c>
      <c r="C158" s="50">
        <v>935724086</v>
      </c>
      <c r="D158" s="50">
        <v>889376756</v>
      </c>
      <c r="E158" s="32">
        <f>SUM(B158:D158)</f>
        <v>1847758342</v>
      </c>
      <c r="F158" s="18"/>
    </row>
    <row r="159" spans="1:6" x14ac:dyDescent="0.35">
      <c r="A159" s="20" t="s">
        <v>273</v>
      </c>
      <c r="B159" s="50">
        <v>22671412</v>
      </c>
      <c r="C159" s="50">
        <v>465286817</v>
      </c>
      <c r="D159" s="50">
        <v>649641847</v>
      </c>
      <c r="E159" s="32">
        <f>SUM(B159:D159)</f>
        <v>1137600076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50938781.399999999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1953851.58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5228452.4800000004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86828702.270000026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28551421.050000001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6563246.9700000063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180064455.75000003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31288702.080000009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1215200.08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32503902.160000011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1159562.78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70177334.430000007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71336897.210000008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/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50891968.589999996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50891968.589999996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18422252.950000003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18422252.950000003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221166313.39999998</v>
      </c>
      <c r="C212" s="216">
        <v>0</v>
      </c>
      <c r="D212" s="220">
        <v>0</v>
      </c>
      <c r="E212" s="32">
        <f t="shared" ref="E212:E220" si="16">SUM(B212:C212)-D212</f>
        <v>221166313.39999998</v>
      </c>
    </row>
    <row r="213" spans="1:5" x14ac:dyDescent="0.35">
      <c r="A213" s="20" t="s">
        <v>367</v>
      </c>
      <c r="B213" s="220">
        <v>14761106.359999999</v>
      </c>
      <c r="C213" s="216">
        <v>50486.279999999329</v>
      </c>
      <c r="D213" s="220">
        <v>0</v>
      </c>
      <c r="E213" s="32">
        <f t="shared" si="16"/>
        <v>14811592.639999999</v>
      </c>
    </row>
    <row r="214" spans="1:5" x14ac:dyDescent="0.35">
      <c r="A214" s="20" t="s">
        <v>368</v>
      </c>
      <c r="B214" s="220">
        <v>1336321226.3100002</v>
      </c>
      <c r="C214" s="216">
        <v>50544597.309999943</v>
      </c>
      <c r="D214" s="220">
        <v>288943.74999999994</v>
      </c>
      <c r="E214" s="32">
        <f t="shared" si="16"/>
        <v>1386576879.8700001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65148098.130000003</v>
      </c>
      <c r="C216" s="216">
        <v>3367998.7899999842</v>
      </c>
      <c r="D216" s="220">
        <v>4204.8</v>
      </c>
      <c r="E216" s="32">
        <f t="shared" si="16"/>
        <v>68511892.11999999</v>
      </c>
    </row>
    <row r="217" spans="1:5" x14ac:dyDescent="0.35">
      <c r="A217" s="20" t="s">
        <v>371</v>
      </c>
      <c r="B217" s="220">
        <v>591875211.0999999</v>
      </c>
      <c r="C217" s="216">
        <v>150120414.78000045</v>
      </c>
      <c r="D217" s="220">
        <v>76025889.950000226</v>
      </c>
      <c r="E217" s="32">
        <f t="shared" si="16"/>
        <v>665969735.93000007</v>
      </c>
    </row>
    <row r="218" spans="1:5" x14ac:dyDescent="0.3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35">
      <c r="A219" s="20" t="s">
        <v>373</v>
      </c>
      <c r="B219" s="220">
        <v>72724156.329999998</v>
      </c>
      <c r="C219" s="216">
        <v>28178148.680000007</v>
      </c>
      <c r="D219" s="220">
        <v>812533.79</v>
      </c>
      <c r="E219" s="32">
        <f t="shared" si="16"/>
        <v>100089771.22</v>
      </c>
    </row>
    <row r="220" spans="1:5" x14ac:dyDescent="0.35">
      <c r="A220" s="20" t="s">
        <v>374</v>
      </c>
      <c r="B220" s="220">
        <v>429480070.5</v>
      </c>
      <c r="C220" s="216">
        <v>309770180.47999656</v>
      </c>
      <c r="D220" s="220">
        <v>236567824.71000004</v>
      </c>
      <c r="E220" s="32">
        <f t="shared" si="16"/>
        <v>502682426.26999652</v>
      </c>
    </row>
    <row r="221" spans="1:5" x14ac:dyDescent="0.35">
      <c r="A221" s="20" t="s">
        <v>215</v>
      </c>
      <c r="B221" s="32">
        <f>SUM(B212:B220)</f>
        <v>2731476182.1300001</v>
      </c>
      <c r="C221" s="266">
        <f>SUM(C212:C220)</f>
        <v>542031826.31999695</v>
      </c>
      <c r="D221" s="32">
        <f>SUM(D212:D220)</f>
        <v>313699397.00000024</v>
      </c>
      <c r="E221" s="32">
        <f>SUM(E212:E220)</f>
        <v>2959808611.4499965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9015365.5800000001</v>
      </c>
      <c r="C226" s="216">
        <v>776428.68000000156</v>
      </c>
      <c r="D226" s="220">
        <v>0</v>
      </c>
      <c r="E226" s="32">
        <f t="shared" ref="E226:E233" si="17">SUM(B226:C226)-D226</f>
        <v>9791794.2600000016</v>
      </c>
    </row>
    <row r="227" spans="1:5" x14ac:dyDescent="0.35">
      <c r="A227" s="20" t="s">
        <v>368</v>
      </c>
      <c r="B227" s="220">
        <v>459510289.60000002</v>
      </c>
      <c r="C227" s="216">
        <v>50479908.009999931</v>
      </c>
      <c r="D227" s="220">
        <v>287061.78000000003</v>
      </c>
      <c r="E227" s="32">
        <f t="shared" si="17"/>
        <v>509703135.82999998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31134166.080000002</v>
      </c>
      <c r="C229" s="216">
        <v>3467803.229999993</v>
      </c>
      <c r="D229" s="220">
        <v>4204.8</v>
      </c>
      <c r="E229" s="32">
        <f t="shared" si="17"/>
        <v>34597764.509999998</v>
      </c>
    </row>
    <row r="230" spans="1:5" x14ac:dyDescent="0.35">
      <c r="A230" s="20" t="s">
        <v>371</v>
      </c>
      <c r="B230" s="220">
        <v>423188061.71999997</v>
      </c>
      <c r="C230" s="216">
        <v>63974212.30000025</v>
      </c>
      <c r="D230" s="220">
        <v>73029860.840000153</v>
      </c>
      <c r="E230" s="32">
        <f t="shared" si="17"/>
        <v>414132413.18000007</v>
      </c>
    </row>
    <row r="231" spans="1:5" x14ac:dyDescent="0.35">
      <c r="A231" s="20" t="s">
        <v>372</v>
      </c>
      <c r="B231" s="220">
        <v>0</v>
      </c>
      <c r="C231" s="216">
        <v>0</v>
      </c>
      <c r="D231" s="220">
        <v>0</v>
      </c>
      <c r="E231" s="32">
        <f t="shared" si="17"/>
        <v>0</v>
      </c>
    </row>
    <row r="232" spans="1:5" x14ac:dyDescent="0.35">
      <c r="A232" s="20" t="s">
        <v>373</v>
      </c>
      <c r="B232" s="220">
        <v>26522358.25</v>
      </c>
      <c r="C232" s="216">
        <v>7185864.4600000009</v>
      </c>
      <c r="D232" s="220">
        <v>712541.61999999988</v>
      </c>
      <c r="E232" s="32">
        <f t="shared" si="17"/>
        <v>32995681.09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949370241.23000002</v>
      </c>
      <c r="C234" s="266">
        <f>SUM(C225:C233)</f>
        <v>125884216.68000019</v>
      </c>
      <c r="D234" s="32">
        <f>SUM(D225:D233)</f>
        <v>74033669.040000156</v>
      </c>
      <c r="E234" s="32">
        <f>SUM(E225:E233)</f>
        <v>1001220788.8700001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9" t="s">
        <v>377</v>
      </c>
      <c r="C237" s="349"/>
      <c r="D237" s="38"/>
      <c r="E237" s="38"/>
    </row>
    <row r="238" spans="1:5" x14ac:dyDescent="0.35">
      <c r="A238" s="56" t="s">
        <v>377</v>
      </c>
      <c r="B238" s="38"/>
      <c r="C238" s="216">
        <v>972274.3899999999</v>
      </c>
      <c r="D238" s="40">
        <f>C238</f>
        <v>972274.3899999999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35426885.189999998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1035249771.6600001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0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26299168.190000001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336128539.53000003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0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1433104364.5700002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2520701.2999999998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17272618.309999999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19793319.609999999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17166268.720000003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0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17166268.720000003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1471036227.2900002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62059932.199999996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688852712.93999994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355248800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102827869.5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22982794.509999998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38373019.570000008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26528934.32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586376463.03999996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1655223034.0699999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2976736.39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1658199770.46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221166313.39999998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14811592.639999999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1386576879.8700001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68511892.11999999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665969735.93000007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100089771.22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502682426.26999652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2959808611.4499965</v>
      </c>
      <c r="E292" s="20"/>
    </row>
    <row r="293" spans="1:5" x14ac:dyDescent="0.35">
      <c r="A293" s="20" t="s">
        <v>416</v>
      </c>
      <c r="B293" s="46" t="s">
        <v>284</v>
      </c>
      <c r="C293" s="47">
        <v>1001220788.8700001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1958587822.5799963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409717827.80999982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409717827.80999982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4612881883.8899956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0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93420261.00999999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132028172.51000002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14063934.32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>
        <v>0</v>
      </c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0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67537785.820000023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16757197.000000002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323807350.66000003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>
        <v>0</v>
      </c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0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0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>
        <v>0</v>
      </c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925410405.71000004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0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160915166.28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1086325571.99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16757197.000000002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1069568374.99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3219506159.2399988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4612881884.8899994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4612881883.8899956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1847758342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1137600076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2985358418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972274.3899999999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1433104364.5700002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19793319.609999999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17166268.720000003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1471036227.2900002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1514322190.7099998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346906621.18000001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346906621.18000001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346906621.18000001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1861228811.8899999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703205438.85000002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180064455.75000003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/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178635392.75999999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14692252.65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396912788.03999996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126822566.86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32503902.160000011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71336897.210000008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50891968.589999996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18422252.950000003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46730826.979999997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46730826.979999997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1820218742.8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41010069.089999914</v>
      </c>
      <c r="E418" s="32"/>
    </row>
    <row r="419" spans="1:13" x14ac:dyDescent="0.35">
      <c r="A419" s="32" t="s">
        <v>508</v>
      </c>
      <c r="B419" s="20"/>
      <c r="C419" s="236">
        <v>131853635.81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131853635.81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172863704.89999992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172863704.89999992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1235527.1276800872</v>
      </c>
      <c r="E613" s="258">
        <f>SUM(C625:D648)+SUM(C669:D714)</f>
        <v>1232476642.1813693</v>
      </c>
      <c r="F613" s="258">
        <f>CE65-(AX65+BD65+BE65+BG65+BJ65+BN65+BP65+BQ65+CB65+CC65+CD65)</f>
        <v>176586443.44000003</v>
      </c>
      <c r="G613" s="256">
        <f>CE92-(AX92+AY92+BD92+BE92+BG92+BJ92+BN92+BP92+BQ92+CB92+CC92+CD92)</f>
        <v>1092264</v>
      </c>
      <c r="H613" s="261">
        <f>CE61-(AX61+AY61+AZ61+BD61+BE61+BG61+BJ61+BN61+BO61+BP61+BQ61+BR61+CB61+CC61+CD61)</f>
        <v>6030.8308792652278</v>
      </c>
      <c r="I613" s="256">
        <f>CE93-(AX93+AY93+AZ93+BD93+BE93+BF93+BG93+BJ93+BN93+BO93+BP93+BQ93+BR93+CB93+CC93+CD93)</f>
        <v>207564</v>
      </c>
      <c r="J613" s="256">
        <f>CE94-(AX94+AY94+AZ94+BA94+BD94+BE94+BF94+BG94+BJ94+BN94+BO94+BP94+BQ94+BR94+CB94+CC94+CD94)</f>
        <v>3536896</v>
      </c>
      <c r="K613" s="256">
        <f>CE90-(AW90+AX90+AY90+AZ90+BA90+BB90+BC90+BD90+BE90+BF90+BG90+BH90+BI90+BJ90+BK90+BL90+BM90+BN90+BO90+BP90+BQ90+BR90+BS90+BT90+BU90+BV90+BW90+BX90+CB90+CC90+CD90)</f>
        <v>2977984042.8699999</v>
      </c>
      <c r="L613" s="262">
        <f>CE95-(AW95+AX95+AY95+AZ95+BA95+BB95+BC95+BD95+BE95+BF95+BG95+BH95+BI95+BJ95+BK95+BL95+BM95+BN95+BO95+BP95+BQ95+BR95+BS95+BT95+BU95+BV95+BW95+BX95+BY95+BZ95+CA95+CB95+CC95+CD95)</f>
        <v>1438.6511397269742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72010618.319999993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72010618.319999993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902478.97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9279519.9499999993</v>
      </c>
      <c r="D618" s="256">
        <f>(D616/D613)*BJ91</f>
        <v>12900.429219127442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5945855.5899999999</v>
      </c>
      <c r="D619" s="256">
        <f>(D616/D613)*BG91</f>
        <v>79807.344943305347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36927469.980000004</v>
      </c>
      <c r="D620" s="256">
        <f>(D616/D613)*BN91</f>
        <v>3202648.9945306345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185816518.83999997</v>
      </c>
      <c r="D621" s="256">
        <f>(D616/D613)*CC91</f>
        <v>2125913.684768118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11168524.180000002</v>
      </c>
      <c r="D622" s="256">
        <f>(D616/D613)*BP91</f>
        <v>465575.87271515711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9181707.5900000017</v>
      </c>
      <c r="D624" s="256">
        <f>(D616/D613)*BQ91</f>
        <v>199759.07245438246</v>
      </c>
      <c r="E624" s="258">
        <f>SUM(C617:D624)</f>
        <v>265308680.4986307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3877500.06</v>
      </c>
      <c r="D625" s="256">
        <f>(D616/D613)*BD91</f>
        <v>351765.69137077534</v>
      </c>
      <c r="E625" s="258">
        <f>(E624/E613)*SUM(C625:D625)</f>
        <v>910411.5060454912</v>
      </c>
      <c r="F625" s="258">
        <f>SUM(C625:E625)</f>
        <v>5139677.2574162669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19621567.039999999</v>
      </c>
      <c r="D626" s="256">
        <f>(D616/D613)*AY91</f>
        <v>2029949.6217267085</v>
      </c>
      <c r="E626" s="258">
        <f>(E624/E613)*SUM(C626:D626)</f>
        <v>4660806.6390206702</v>
      </c>
      <c r="F626" s="258">
        <f>(F625/F613)*AY65</f>
        <v>89892.057152643189</v>
      </c>
      <c r="G626" s="256">
        <f>SUM(C626:F626)</f>
        <v>26402215.35790002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18928188.340000004</v>
      </c>
      <c r="D627" s="256">
        <f>(D616/D613)*BR91</f>
        <v>758213.48944858951</v>
      </c>
      <c r="E627" s="258">
        <f>(E624/E613)*SUM(C627:D627)</f>
        <v>4237786.8386151781</v>
      </c>
      <c r="F627" s="258">
        <f>(F625/F613)*BR65</f>
        <v>818.18970689251785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1528862.0700000003</v>
      </c>
      <c r="D628" s="256">
        <f>(D616/D613)*BO91</f>
        <v>0</v>
      </c>
      <c r="E628" s="258">
        <f>(E624/E613)*SUM(C628:D628)</f>
        <v>329109.99249299749</v>
      </c>
      <c r="F628" s="258">
        <f>(F625/F613)*BO65</f>
        <v>7548.3220937243541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929478.79000000015</v>
      </c>
      <c r="D629" s="256">
        <f>(D616/D613)*AZ91</f>
        <v>464751.16379019711</v>
      </c>
      <c r="E629" s="258">
        <f>(E624/E613)*SUM(C629:D629)</f>
        <v>300128.45411581435</v>
      </c>
      <c r="F629" s="258">
        <f>(F625/F613)*AZ65</f>
        <v>2513.8417745899378</v>
      </c>
      <c r="G629" s="256">
        <f>(G626/G613)*AZ92</f>
        <v>26402215.35790002</v>
      </c>
      <c r="H629" s="258">
        <f>SUM(C627:G629)</f>
        <v>53889614.849938005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14545440.310000001</v>
      </c>
      <c r="D630" s="256">
        <f>(D616/D613)*BF91</f>
        <v>371179.04804775323</v>
      </c>
      <c r="E630" s="258">
        <f>(E624/E613)*SUM(C630:D630)</f>
        <v>3211021.1779588438</v>
      </c>
      <c r="F630" s="258">
        <f>(F625/F613)*BF65</f>
        <v>31097.993698521128</v>
      </c>
      <c r="G630" s="256">
        <f>(G626/G613)*BF92</f>
        <v>0</v>
      </c>
      <c r="H630" s="258">
        <f>(H629/H613)*BF61</f>
        <v>1390649.1335842682</v>
      </c>
      <c r="I630" s="256">
        <f>SUM(C630:H630)</f>
        <v>19549387.663289387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3161479.35</v>
      </c>
      <c r="D631" s="256">
        <f>(D616/D613)*BA91</f>
        <v>0</v>
      </c>
      <c r="E631" s="258">
        <f>(E624/E613)*SUM(C631:D631)</f>
        <v>680554.81626623555</v>
      </c>
      <c r="F631" s="258">
        <f>(F625/F613)*BA65</f>
        <v>1747.9929010703518</v>
      </c>
      <c r="G631" s="256">
        <f>(G626/G613)*BA92</f>
        <v>0</v>
      </c>
      <c r="H631" s="258">
        <f>(H629/H613)*BA61</f>
        <v>21323.429370035177</v>
      </c>
      <c r="I631" s="256">
        <f>(I630/I613)*BA93</f>
        <v>0</v>
      </c>
      <c r="J631" s="256">
        <f>SUM(C631:I631)</f>
        <v>3865105.588537341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126365334.35000005</v>
      </c>
      <c r="D632" s="256">
        <f>(D616/D613)*AW91</f>
        <v>322282.25987847982</v>
      </c>
      <c r="E632" s="258">
        <f>(E624/E613)*SUM(C632:D632)</f>
        <v>27271368.27420466</v>
      </c>
      <c r="F632" s="258">
        <f>(F625/F613)*AW65</f>
        <v>638191.89919436118</v>
      </c>
      <c r="G632" s="256">
        <f>(G626/G613)*AW92</f>
        <v>0</v>
      </c>
      <c r="H632" s="258">
        <f>(H629/H613)*AW61</f>
        <v>9946992.7872214615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18221359.330000002</v>
      </c>
      <c r="D633" s="256">
        <f>(D616/D613)*BB91</f>
        <v>768293.35586103739</v>
      </c>
      <c r="E633" s="258">
        <f>(E624/E613)*SUM(C633:D633)</f>
        <v>4087801.3625443373</v>
      </c>
      <c r="F633" s="258">
        <f>(F625/F613)*BB65</f>
        <v>3006.261529170155</v>
      </c>
      <c r="G633" s="256">
        <f>(G626/G613)*BB92</f>
        <v>0</v>
      </c>
      <c r="H633" s="258">
        <f>(H629/H613)*BB61</f>
        <v>1034315.0332752462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337085.57</v>
      </c>
      <c r="D634" s="256">
        <f>(D616/D613)*BC91</f>
        <v>0</v>
      </c>
      <c r="E634" s="258">
        <f>(E624/E613)*SUM(C634:D634)</f>
        <v>72562.614763670455</v>
      </c>
      <c r="F634" s="258">
        <f>(F625/F613)*BC65</f>
        <v>0</v>
      </c>
      <c r="G634" s="256">
        <f>(G626/G613)*BC92</f>
        <v>0</v>
      </c>
      <c r="H634" s="258">
        <f>(H629/H613)*BC61</f>
        <v>50376.606391431844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6473231.1799999997</v>
      </c>
      <c r="D635" s="256">
        <f>(D616/D613)*BI91</f>
        <v>67446.619232667654</v>
      </c>
      <c r="E635" s="258">
        <f>(E624/E613)*SUM(C635:D635)</f>
        <v>1407976.8630826052</v>
      </c>
      <c r="F635" s="258">
        <f>(F625/F613)*BI65</f>
        <v>1514.9436159629001</v>
      </c>
      <c r="G635" s="256">
        <f>(G626/G613)*BI92</f>
        <v>0</v>
      </c>
      <c r="H635" s="258">
        <f>(H629/H613)*BI61</f>
        <v>343215.22359798552</v>
      </c>
      <c r="I635" s="256">
        <f>(I630/I613)*BI93</f>
        <v>0</v>
      </c>
      <c r="J635" s="256">
        <f>(J631/J613)*BI94</f>
        <v>9195.8778339939108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13998595.250000004</v>
      </c>
      <c r="D636" s="256">
        <f>(D616/D613)*BK91</f>
        <v>22423.34026147511</v>
      </c>
      <c r="E636" s="258">
        <f>(E624/E613)*SUM(C636:D636)</f>
        <v>3018229.9721682104</v>
      </c>
      <c r="F636" s="258">
        <f>(F625/F613)*BK65</f>
        <v>4200.283043127487</v>
      </c>
      <c r="G636" s="256">
        <f>(G626/G613)*BK92</f>
        <v>0</v>
      </c>
      <c r="H636" s="258">
        <f>(H629/H613)*BK61</f>
        <v>1761840.7709571654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95431288.489999995</v>
      </c>
      <c r="D637" s="256">
        <f>(D616/D613)*BH91</f>
        <v>2869679.3229511008</v>
      </c>
      <c r="E637" s="258">
        <f>(E624/E613)*SUM(C637:D637)</f>
        <v>21160725.623191576</v>
      </c>
      <c r="F637" s="258">
        <f>(F625/F613)*BH65</f>
        <v>15760.849450268397</v>
      </c>
      <c r="G637" s="256">
        <f>(G626/G613)*BH92</f>
        <v>0</v>
      </c>
      <c r="H637" s="258">
        <f>(H629/H613)*BH61</f>
        <v>2462109.1572470856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7934045.9400000004</v>
      </c>
      <c r="D638" s="256">
        <f>(D616/D613)*BL91</f>
        <v>66040.825644679251</v>
      </c>
      <c r="E638" s="258">
        <f>(E624/E613)*SUM(C638:D638)</f>
        <v>1722136.0559914007</v>
      </c>
      <c r="F638" s="258">
        <f>(F625/F613)*BL65</f>
        <v>843.33443767114761</v>
      </c>
      <c r="G638" s="256">
        <f>(G626/G613)*BL92</f>
        <v>0</v>
      </c>
      <c r="H638" s="258">
        <f>(H629/H613)*BL61</f>
        <v>934111.09345797624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756365.98</v>
      </c>
      <c r="D640" s="256">
        <f>(D616/D613)*BS91</f>
        <v>166290.46093006807</v>
      </c>
      <c r="E640" s="258">
        <f>(E624/E613)*SUM(C640:D640)</f>
        <v>198615.33640383297</v>
      </c>
      <c r="F640" s="258">
        <f>(F625/F613)*BS65</f>
        <v>56.261375137561586</v>
      </c>
      <c r="G640" s="256">
        <f>(G626/G613)*BS92</f>
        <v>0</v>
      </c>
      <c r="H640" s="258">
        <f>(H629/H613)*BS61</f>
        <v>43394.023328869764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744763.60999999987</v>
      </c>
      <c r="D641" s="256">
        <f>(D616/D613)*BT91</f>
        <v>95342.762890167272</v>
      </c>
      <c r="E641" s="258">
        <f>(E624/E613)*SUM(C641:D641)</f>
        <v>180845.22305874343</v>
      </c>
      <c r="F641" s="258">
        <f>(F625/F613)*BT65</f>
        <v>221.85376625247864</v>
      </c>
      <c r="G641" s="256">
        <f>(G626/G613)*BT92</f>
        <v>0</v>
      </c>
      <c r="H641" s="258">
        <f>(H629/H613)*BT61</f>
        <v>43583.441714846507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1402252.51</v>
      </c>
      <c r="D642" s="256">
        <f>(D616/D613)*BU91</f>
        <v>239467.4958165923</v>
      </c>
      <c r="E642" s="258">
        <f>(E624/E613)*SUM(C642:D642)</f>
        <v>353404.31906319869</v>
      </c>
      <c r="F642" s="258">
        <f>(F625/F613)*BU65</f>
        <v>1.4893401788872358</v>
      </c>
      <c r="G642" s="256">
        <f>(G626/G613)*BU92</f>
        <v>0</v>
      </c>
      <c r="H642" s="258">
        <f>(H629/H613)*BU61</f>
        <v>24179.961878004913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5118494.29</v>
      </c>
      <c r="D643" s="256">
        <f>(D616/D613)*BV91</f>
        <v>829312.14127758192</v>
      </c>
      <c r="E643" s="258">
        <f>(E624/E613)*SUM(C643:D643)</f>
        <v>1280352.6023427129</v>
      </c>
      <c r="F643" s="258">
        <f>(F625/F613)*BV65</f>
        <v>870.68683803290344</v>
      </c>
      <c r="G643" s="256">
        <f>(G626/G613)*BV92</f>
        <v>0</v>
      </c>
      <c r="H643" s="258">
        <f>(H629/H613)*BV61</f>
        <v>309252.12727799045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37044661.530000001</v>
      </c>
      <c r="D644" s="256">
        <f>(D616/D613)*BW91</f>
        <v>2536324.1655178778</v>
      </c>
      <c r="E644" s="258">
        <f>(E624/E613)*SUM(C644:D644)</f>
        <v>8520387.915122604</v>
      </c>
      <c r="F644" s="258">
        <f>(F625/F613)*BW65</f>
        <v>17178.185547042176</v>
      </c>
      <c r="G644" s="256">
        <f>(G626/G613)*BW92</f>
        <v>0</v>
      </c>
      <c r="H644" s="258">
        <f>(H629/H613)*BW61</f>
        <v>226521.0912092423</v>
      </c>
      <c r="I644" s="256">
        <f>(I630/I613)*BW93</f>
        <v>0</v>
      </c>
      <c r="J644" s="256">
        <f>(J631/J613)*BW94</f>
        <v>24193.409312749991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14909917.26</v>
      </c>
      <c r="D645" s="256">
        <f>(D616/D613)*BX91</f>
        <v>215126.6344504398</v>
      </c>
      <c r="E645" s="258">
        <f>(E624/E613)*SUM(C645:D645)</f>
        <v>3255887.6174871949</v>
      </c>
      <c r="F645" s="258">
        <f>(F625/F613)*BX65</f>
        <v>2611.0799420716116</v>
      </c>
      <c r="G645" s="256">
        <f>(G626/G613)*BX92</f>
        <v>0</v>
      </c>
      <c r="H645" s="258">
        <f>(H629/H613)*BX61</f>
        <v>812617.08081909444</v>
      </c>
      <c r="I645" s="256">
        <f>(I630/I613)*BX93</f>
        <v>0</v>
      </c>
      <c r="J645" s="256">
        <f>(J631/J613)*BX94</f>
        <v>0</v>
      </c>
      <c r="K645" s="258">
        <f>SUM(C632:J645)</f>
        <v>428176073.26773936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10532584.859999999</v>
      </c>
      <c r="D646" s="256">
        <f>(D616/D613)*BY91</f>
        <v>290078.97914998746</v>
      </c>
      <c r="E646" s="258">
        <f>(E624/E613)*SUM(C646:D646)</f>
        <v>2329737.1847657175</v>
      </c>
      <c r="F646" s="258">
        <f>(F625/F613)*BY65</f>
        <v>551.28929413892558</v>
      </c>
      <c r="G646" s="256">
        <f>(G626/G613)*BY92</f>
        <v>0</v>
      </c>
      <c r="H646" s="258">
        <f>(H629/H613)*BY61</f>
        <v>620596.6212987646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6611705.0499999998</v>
      </c>
      <c r="D647" s="256">
        <f>(D616/D613)*BZ91</f>
        <v>139469.06162424781</v>
      </c>
      <c r="E647" s="258">
        <f>(E624/E613)*SUM(C647:D647)</f>
        <v>1453289.2827902879</v>
      </c>
      <c r="F647" s="258">
        <f>(F625/F613)*BZ65</f>
        <v>95.313114532061917</v>
      </c>
      <c r="G647" s="256">
        <f>(G626/G613)*BZ92</f>
        <v>0</v>
      </c>
      <c r="H647" s="258">
        <f>(H629/H613)*BZ61</f>
        <v>595132.55898869876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22573240.201026373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739706894.58000016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73382758.389999986</v>
      </c>
      <c r="D669" s="256">
        <f>(D616/D613)*C91</f>
        <v>4329725.8193056686</v>
      </c>
      <c r="E669" s="258">
        <f>(E624/E613)*SUM(C669:D669)</f>
        <v>16728752.447064612</v>
      </c>
      <c r="F669" s="258">
        <f>(F625/F613)*C65</f>
        <v>123262.7077071349</v>
      </c>
      <c r="G669" s="256">
        <f>(G626/G613)*C92</f>
        <v>0</v>
      </c>
      <c r="H669" s="258">
        <f>(H629/H613)*C61</f>
        <v>3649722.82103216</v>
      </c>
      <c r="I669" s="256">
        <f>(I630/I613)*C93</f>
        <v>21379.964731681266</v>
      </c>
      <c r="J669" s="256">
        <f>(J631/J613)*C94</f>
        <v>1190421.9579526549</v>
      </c>
      <c r="K669" s="256">
        <f>(K645/K613)*C90</f>
        <v>72670474.359100327</v>
      </c>
      <c r="L669" s="256">
        <f>(L648/L613)*C95</f>
        <v>5357697.6559603633</v>
      </c>
      <c r="M669" s="231">
        <f t="shared" ref="M669:M714" si="18">ROUND(SUM(D669:L669),0)</f>
        <v>104071438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91088844.069999993</v>
      </c>
      <c r="D671" s="256">
        <f>(D616/D613)*E91</f>
        <v>12901721.010548841</v>
      </c>
      <c r="E671" s="258">
        <f>(E624/E613)*SUM(C671:D671)</f>
        <v>22385494.914529465</v>
      </c>
      <c r="F671" s="258">
        <f>(F625/F613)*E65</f>
        <v>113759.75367513039</v>
      </c>
      <c r="G671" s="256">
        <f>(G626/G613)*E92</f>
        <v>0</v>
      </c>
      <c r="H671" s="258">
        <f>(H629/H613)*E61</f>
        <v>4616362.9916041372</v>
      </c>
      <c r="I671" s="256">
        <f>(I630/I613)*E93</f>
        <v>2102017.8541042404</v>
      </c>
      <c r="J671" s="256">
        <f>(J631/J613)*E94</f>
        <v>1737393.6457553646</v>
      </c>
      <c r="K671" s="256">
        <f>(K645/K613)*E90</f>
        <v>65699325.648776829</v>
      </c>
      <c r="L671" s="256">
        <f>(L648/L613)*E95</f>
        <v>6160444.2472564951</v>
      </c>
      <c r="M671" s="231">
        <f t="shared" si="18"/>
        <v>115716520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5829437.2000000002</v>
      </c>
      <c r="D673" s="256">
        <f>(D616/D613)*G91</f>
        <v>697207.75949488534</v>
      </c>
      <c r="E673" s="258">
        <f>(E624/E613)*SUM(C673:D673)</f>
        <v>1404956.0884349896</v>
      </c>
      <c r="F673" s="258">
        <f>(F625/F613)*G65</f>
        <v>5034.4881776813827</v>
      </c>
      <c r="G673" s="256">
        <f>(G626/G613)*G92</f>
        <v>0</v>
      </c>
      <c r="H673" s="258">
        <f>(H629/H613)*G61</f>
        <v>301691.594288586</v>
      </c>
      <c r="I673" s="256">
        <f>(I630/I613)*G93</f>
        <v>19684.637131812269</v>
      </c>
      <c r="J673" s="256">
        <f>(J631/J613)*G94</f>
        <v>41604.927022675714</v>
      </c>
      <c r="K673" s="256">
        <f>(K645/K613)*G90</f>
        <v>3889991.4976700032</v>
      </c>
      <c r="L673" s="256">
        <f>(L648/L613)*G95</f>
        <v>359965.95510666032</v>
      </c>
      <c r="M673" s="231">
        <f t="shared" si="18"/>
        <v>6720137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20706289.709999997</v>
      </c>
      <c r="D674" s="256">
        <f>(D616/D613)*H91</f>
        <v>3587716.4905746118</v>
      </c>
      <c r="E674" s="258">
        <f>(E624/E613)*SUM(C674:D674)</f>
        <v>5229641.2836613469</v>
      </c>
      <c r="F674" s="258">
        <f>(F625/F613)*H65</f>
        <v>6661.9289308774378</v>
      </c>
      <c r="G674" s="256">
        <f>(G626/G613)*H92</f>
        <v>0</v>
      </c>
      <c r="H674" s="258">
        <f>(H629/H613)*H61</f>
        <v>1246892.0296382133</v>
      </c>
      <c r="I674" s="256">
        <f>(I630/I613)*H93</f>
        <v>204192.79091755502</v>
      </c>
      <c r="J674" s="256">
        <f>(J631/J613)*H94</f>
        <v>252162.66312466961</v>
      </c>
      <c r="K674" s="256">
        <f>(K645/K613)*H90</f>
        <v>13870504.273525907</v>
      </c>
      <c r="L674" s="256">
        <f>(L648/L613)*H95</f>
        <v>585105.46035657683</v>
      </c>
      <c r="M674" s="231">
        <f t="shared" si="18"/>
        <v>24982877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66079380.780000001</v>
      </c>
      <c r="D682" s="256">
        <f>(D616/D613)*P91</f>
        <v>5812144.7567809084</v>
      </c>
      <c r="E682" s="258">
        <f>(E624/E613)*SUM(C682:D682)</f>
        <v>15475705.685942028</v>
      </c>
      <c r="F682" s="258">
        <f>(F625/F613)*P65</f>
        <v>701457.95699039428</v>
      </c>
      <c r="G682" s="256">
        <f>(G626/G613)*P92</f>
        <v>0</v>
      </c>
      <c r="H682" s="258">
        <f>(H629/H613)*P61</f>
        <v>1899521.4126423893</v>
      </c>
      <c r="I682" s="256">
        <f>(I630/I613)*P93</f>
        <v>464331.39263078698</v>
      </c>
      <c r="J682" s="256">
        <f>(J631/J613)*P94</f>
        <v>0</v>
      </c>
      <c r="K682" s="256">
        <f>(K645/K613)*P90</f>
        <v>53086360.664439648</v>
      </c>
      <c r="L682" s="256">
        <f>(L648/L613)*P95</f>
        <v>1272571.1399096213</v>
      </c>
      <c r="M682" s="231">
        <f t="shared" si="18"/>
        <v>78712093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14016486</v>
      </c>
      <c r="D683" s="256">
        <f>(D616/D613)*Q91</f>
        <v>571397.3930341982</v>
      </c>
      <c r="E683" s="258">
        <f>(E624/E613)*SUM(C683:D683)</f>
        <v>3140255.9381764289</v>
      </c>
      <c r="F683" s="258">
        <f>(F625/F613)*Q65</f>
        <v>11202.529843096847</v>
      </c>
      <c r="G683" s="256">
        <f>(G626/G613)*Q92</f>
        <v>0</v>
      </c>
      <c r="H683" s="258">
        <f>(H629/H613)*Q61</f>
        <v>732529.71981911338</v>
      </c>
      <c r="I683" s="256">
        <f>(I630/I613)*Q93</f>
        <v>108689.33612493472</v>
      </c>
      <c r="J683" s="256">
        <f>(J631/J613)*Q94</f>
        <v>0</v>
      </c>
      <c r="K683" s="256">
        <f>(K645/K613)*Q90</f>
        <v>4967141.226201064</v>
      </c>
      <c r="L683" s="256">
        <f>(L648/L613)*Q95</f>
        <v>907510.26925406617</v>
      </c>
      <c r="M683" s="231">
        <f t="shared" si="18"/>
        <v>10438726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6558204.6899999995</v>
      </c>
      <c r="D684" s="256">
        <f>(D616/D613)*R91</f>
        <v>442905.06149287772</v>
      </c>
      <c r="E684" s="258">
        <f>(E624/E613)*SUM(C684:D684)</f>
        <v>1507091.5964031157</v>
      </c>
      <c r="F684" s="258">
        <f>(F625/F613)*R65</f>
        <v>49424.333040390127</v>
      </c>
      <c r="G684" s="256">
        <f>(G626/G613)*R92</f>
        <v>0</v>
      </c>
      <c r="H684" s="258">
        <f>(H629/H613)*R61</f>
        <v>234368.6302969032</v>
      </c>
      <c r="I684" s="256">
        <f>(I630/I613)*R93</f>
        <v>878273.881598801</v>
      </c>
      <c r="J684" s="256">
        <f>(J631/J613)*R94</f>
        <v>0</v>
      </c>
      <c r="K684" s="256">
        <f>(K645/K613)*R90</f>
        <v>14184692.185175527</v>
      </c>
      <c r="L684" s="256">
        <f>(L648/L613)*R95</f>
        <v>13037.916751309285</v>
      </c>
      <c r="M684" s="231">
        <f t="shared" si="18"/>
        <v>17309794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13907992.960000001</v>
      </c>
      <c r="D685" s="256">
        <f>(D616/D613)*S91</f>
        <v>1962626.9666243761</v>
      </c>
      <c r="E685" s="258">
        <f>(E624/E613)*SUM(C685:D685)</f>
        <v>3416383.797729094</v>
      </c>
      <c r="F685" s="258">
        <f>(F625/F613)*S65</f>
        <v>-30894.721029986089</v>
      </c>
      <c r="G685" s="256">
        <f>(G626/G613)*S92</f>
        <v>0</v>
      </c>
      <c r="H685" s="258">
        <f>(H629/H613)*S61</f>
        <v>873523.09378961346</v>
      </c>
      <c r="I685" s="256">
        <f>(I630/I613)*S93</f>
        <v>410175.09430163843</v>
      </c>
      <c r="J685" s="256">
        <f>(J631/J613)*S94</f>
        <v>31815.660993333178</v>
      </c>
      <c r="K685" s="256">
        <f>(K645/K613)*S90</f>
        <v>2954774.4868357079</v>
      </c>
      <c r="L685" s="256">
        <f>(L648/L613)*S95</f>
        <v>0</v>
      </c>
      <c r="M685" s="231">
        <f t="shared" si="18"/>
        <v>9618404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2121000.0500000003</v>
      </c>
      <c r="D686" s="256">
        <f>(D616/D613)*T91</f>
        <v>27840.191673898102</v>
      </c>
      <c r="E686" s="258">
        <f>(E624/E613)*SUM(C686:D686)</f>
        <v>462569.39045256551</v>
      </c>
      <c r="F686" s="258">
        <f>(F625/F613)*T65</f>
        <v>3891.2090104324425</v>
      </c>
      <c r="G686" s="256">
        <f>(G626/G613)*T92</f>
        <v>0</v>
      </c>
      <c r="H686" s="258">
        <f>(H629/H613)*T61</f>
        <v>111197.38768515803</v>
      </c>
      <c r="I686" s="256">
        <f>(I630/I613)*T93</f>
        <v>8570.8228660043842</v>
      </c>
      <c r="J686" s="256">
        <f>(J631/J613)*T94</f>
        <v>0</v>
      </c>
      <c r="K686" s="256">
        <f>(K645/K613)*T90</f>
        <v>0</v>
      </c>
      <c r="L686" s="256">
        <f>(L648/L613)*T95</f>
        <v>184939.52640442835</v>
      </c>
      <c r="M686" s="231">
        <f t="shared" si="18"/>
        <v>799009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50055990.329999998</v>
      </c>
      <c r="D687" s="256">
        <f>(D616/D613)*U91</f>
        <v>2576319.5759293102</v>
      </c>
      <c r="E687" s="258">
        <f>(E624/E613)*SUM(C687:D687)</f>
        <v>11329876.944379628</v>
      </c>
      <c r="F687" s="258">
        <f>(F625/F613)*U65</f>
        <v>324881.41725881957</v>
      </c>
      <c r="G687" s="256">
        <f>(G626/G613)*U92</f>
        <v>0</v>
      </c>
      <c r="H687" s="258">
        <f>(H629/H613)*U61</f>
        <v>1892635.6898790386</v>
      </c>
      <c r="I687" s="256">
        <f>(I630/I613)*U93</f>
        <v>11355398.448789217</v>
      </c>
      <c r="J687" s="256">
        <f>(J631/J613)*U94</f>
        <v>0</v>
      </c>
      <c r="K687" s="256">
        <f>(K645/K613)*U90</f>
        <v>30210616.020596106</v>
      </c>
      <c r="L687" s="256">
        <f>(L648/L613)*U95</f>
        <v>15625.919232605565</v>
      </c>
      <c r="M687" s="231">
        <f t="shared" si="18"/>
        <v>57705354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8881658.209999999</v>
      </c>
      <c r="D688" s="256">
        <f>(D616/D613)*V91</f>
        <v>318967.92081651674</v>
      </c>
      <c r="E688" s="258">
        <f>(E624/E613)*SUM(C688:D688)</f>
        <v>1980569.7690203667</v>
      </c>
      <c r="F688" s="258">
        <f>(F625/F613)*V65</f>
        <v>10716.191730697175</v>
      </c>
      <c r="G688" s="256">
        <f>(G626/G613)*V92</f>
        <v>0</v>
      </c>
      <c r="H688" s="258">
        <f>(H629/H613)*V61</f>
        <v>503941.01571208873</v>
      </c>
      <c r="I688" s="256">
        <f>(I630/I613)*V93</f>
        <v>712696.88601159537</v>
      </c>
      <c r="J688" s="256">
        <f>(J631/J613)*V94</f>
        <v>54046.408798079239</v>
      </c>
      <c r="K688" s="256">
        <f>(K645/K613)*V90</f>
        <v>11475132.673058098</v>
      </c>
      <c r="L688" s="256">
        <f>(L648/L613)*V95</f>
        <v>0</v>
      </c>
      <c r="M688" s="231">
        <f t="shared" si="18"/>
        <v>15056071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1903179.5799999996</v>
      </c>
      <c r="D689" s="256">
        <f>(D616/D613)*W91</f>
        <v>0</v>
      </c>
      <c r="E689" s="258">
        <f>(E624/E613)*SUM(C689:D689)</f>
        <v>409687.32861992309</v>
      </c>
      <c r="F689" s="258">
        <f>(F625/F613)*W65</f>
        <v>2136.473476064436</v>
      </c>
      <c r="G689" s="256">
        <f>(G626/G613)*W92</f>
        <v>0</v>
      </c>
      <c r="H689" s="258">
        <f>(H629/H613)*W61</f>
        <v>88129.145614693902</v>
      </c>
      <c r="I689" s="256">
        <f>(I630/I613)*W93</f>
        <v>0</v>
      </c>
      <c r="J689" s="256">
        <f>(J631/J613)*W94</f>
        <v>0</v>
      </c>
      <c r="K689" s="256">
        <f>(K645/K613)*W90</f>
        <v>5986134.9723017262</v>
      </c>
      <c r="L689" s="256">
        <f>(L648/L613)*W95</f>
        <v>0</v>
      </c>
      <c r="M689" s="231">
        <f t="shared" si="18"/>
        <v>6486088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2300647.65</v>
      </c>
      <c r="D690" s="256">
        <f>(D616/D613)*X91</f>
        <v>242573.94600219553</v>
      </c>
      <c r="E690" s="258">
        <f>(E624/E613)*SUM(C690:D690)</f>
        <v>547465.76345393376</v>
      </c>
      <c r="F690" s="258">
        <f>(F625/F613)*X65</f>
        <v>1925.1006830075269</v>
      </c>
      <c r="G690" s="256">
        <f>(G626/G613)*X92</f>
        <v>0</v>
      </c>
      <c r="H690" s="258">
        <f>(H629/H613)*X61</f>
        <v>94274.408206999011</v>
      </c>
      <c r="I690" s="256">
        <f>(I630/I613)*X93</f>
        <v>0</v>
      </c>
      <c r="J690" s="256">
        <f>(J631/J613)*X94</f>
        <v>0</v>
      </c>
      <c r="K690" s="256">
        <f>(K645/K613)*X90</f>
        <v>3493119.0679182666</v>
      </c>
      <c r="L690" s="256">
        <f>(L648/L613)*X95</f>
        <v>0</v>
      </c>
      <c r="M690" s="231">
        <f t="shared" si="18"/>
        <v>4379358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27907868.660000004</v>
      </c>
      <c r="D691" s="256">
        <f>(D616/D613)*Y91</f>
        <v>3042014.5157069424</v>
      </c>
      <c r="E691" s="258">
        <f>(E624/E613)*SUM(C691:D691)</f>
        <v>6662416.4595934153</v>
      </c>
      <c r="F691" s="258">
        <f>(F625/F613)*Y65</f>
        <v>157363.02172799362</v>
      </c>
      <c r="G691" s="256">
        <f>(G626/G613)*Y92</f>
        <v>0</v>
      </c>
      <c r="H691" s="258">
        <f>(H629/H613)*Y61</f>
        <v>1008199.294621163</v>
      </c>
      <c r="I691" s="256">
        <f>(I630/I613)*Y93</f>
        <v>389077.6841699353</v>
      </c>
      <c r="J691" s="256">
        <f>(J631/J613)*Y94</f>
        <v>304005.99530797382</v>
      </c>
      <c r="K691" s="256">
        <f>(K645/K613)*Y90</f>
        <v>19308119.580961298</v>
      </c>
      <c r="L691" s="256">
        <f>(L648/L613)*Y95</f>
        <v>293533.46226772096</v>
      </c>
      <c r="M691" s="231">
        <f t="shared" si="18"/>
        <v>31164730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1879679.19</v>
      </c>
      <c r="D692" s="256">
        <f>(D616/D613)*Z91</f>
        <v>22642.431286158102</v>
      </c>
      <c r="E692" s="258">
        <f>(E624/E613)*SUM(C692:D692)</f>
        <v>409502.64041853964</v>
      </c>
      <c r="F692" s="258">
        <f>(F625/F613)*Z65</f>
        <v>4418.8746392167886</v>
      </c>
      <c r="G692" s="256">
        <f>(G626/G613)*Z92</f>
        <v>0</v>
      </c>
      <c r="H692" s="258">
        <f>(H629/H613)*Z61</f>
        <v>53078.049951606852</v>
      </c>
      <c r="I692" s="256">
        <f>(I630/I613)*Z93</f>
        <v>19590.452265152879</v>
      </c>
      <c r="J692" s="256">
        <f>(J631/J613)*Z94</f>
        <v>0</v>
      </c>
      <c r="K692" s="256">
        <f>(K645/K613)*Z90</f>
        <v>709411.6418909675</v>
      </c>
      <c r="L692" s="256">
        <f>(L648/L613)*Z95</f>
        <v>36033.839332386742</v>
      </c>
      <c r="M692" s="231">
        <f t="shared" si="18"/>
        <v>1254678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1724550.31</v>
      </c>
      <c r="D693" s="256">
        <f>(D616/D613)*AA91</f>
        <v>129392.10672435147</v>
      </c>
      <c r="E693" s="258">
        <f>(E624/E613)*SUM(C693:D693)</f>
        <v>399088.3068023271</v>
      </c>
      <c r="F693" s="258">
        <f>(F625/F613)*AA65</f>
        <v>18397.445221169852</v>
      </c>
      <c r="G693" s="256">
        <f>(G626/G613)*AA92</f>
        <v>0</v>
      </c>
      <c r="H693" s="258">
        <f>(H629/H613)*AA61</f>
        <v>33321.676146586324</v>
      </c>
      <c r="I693" s="256">
        <f>(I630/I613)*AA93</f>
        <v>632828.11908443365</v>
      </c>
      <c r="J693" s="256">
        <f>(J631/J613)*AA94</f>
        <v>0</v>
      </c>
      <c r="K693" s="256">
        <f>(K645/K613)*AA90</f>
        <v>610134.1236261765</v>
      </c>
      <c r="L693" s="256">
        <f>(L648/L613)*AA95</f>
        <v>0</v>
      </c>
      <c r="M693" s="231">
        <f t="shared" si="18"/>
        <v>1823162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105827433.56000002</v>
      </c>
      <c r="D694" s="256">
        <f>(D616/D613)*AB91</f>
        <v>975429.5807866489</v>
      </c>
      <c r="E694" s="258">
        <f>(E624/E613)*SUM(C694:D694)</f>
        <v>22990883.334881172</v>
      </c>
      <c r="F694" s="258">
        <f>(F625/F613)*AB65</f>
        <v>2269649.0649353578</v>
      </c>
      <c r="G694" s="256">
        <f>(G626/G613)*AB92</f>
        <v>0</v>
      </c>
      <c r="H694" s="258">
        <f>(H629/H613)*AB61</f>
        <v>1630031.5404223313</v>
      </c>
      <c r="I694" s="256">
        <f>(I630/I613)*AB93</f>
        <v>689527.40881338576</v>
      </c>
      <c r="J694" s="256">
        <f>(J631/J613)*AB94</f>
        <v>15558.135795908651</v>
      </c>
      <c r="K694" s="256">
        <f>(K645/K613)*AB90</f>
        <v>64566809.275453366</v>
      </c>
      <c r="L694" s="256">
        <f>(L648/L613)*AB95</f>
        <v>4224.6829382693841</v>
      </c>
      <c r="M694" s="231">
        <f t="shared" si="18"/>
        <v>93142113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18831307.129999999</v>
      </c>
      <c r="D695" s="256">
        <f>(D616/D613)*AC91</f>
        <v>296148.02087126585</v>
      </c>
      <c r="E695" s="258">
        <f>(E624/E613)*SUM(C695:D695)</f>
        <v>4117465.3650171254</v>
      </c>
      <c r="F695" s="258">
        <f>(F625/F613)*AC65</f>
        <v>89953.078187727093</v>
      </c>
      <c r="G695" s="256">
        <f>(G626/G613)*AC92</f>
        <v>0</v>
      </c>
      <c r="H695" s="258">
        <f>(H629/H613)*AC61</f>
        <v>1100435.1199034161</v>
      </c>
      <c r="I695" s="256">
        <f>(I630/I613)*AC93</f>
        <v>3202.2854664192209</v>
      </c>
      <c r="J695" s="256">
        <f>(J631/J613)*AC94</f>
        <v>0</v>
      </c>
      <c r="K695" s="256">
        <f>(K645/K613)*AC90</f>
        <v>1960564.2884001567</v>
      </c>
      <c r="L695" s="256">
        <f>(L648/L613)*AC95</f>
        <v>0</v>
      </c>
      <c r="M695" s="231">
        <f t="shared" si="18"/>
        <v>7567768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6193414.7699999986</v>
      </c>
      <c r="D696" s="256">
        <f>(D616/D613)*AD91</f>
        <v>281910.57237732684</v>
      </c>
      <c r="E696" s="258">
        <f>(E624/E613)*SUM(C696:D696)</f>
        <v>1393908.7878735312</v>
      </c>
      <c r="F696" s="258">
        <f>(F625/F613)*AD65</f>
        <v>35400.115942850789</v>
      </c>
      <c r="G696" s="256">
        <f>(G626/G613)*AD92</f>
        <v>0</v>
      </c>
      <c r="H696" s="258">
        <f>(H629/H613)*AD61</f>
        <v>262362.18889120535</v>
      </c>
      <c r="I696" s="256">
        <f>(I630/I613)*AD93</f>
        <v>53967.928595829806</v>
      </c>
      <c r="J696" s="256">
        <f>(J631/J613)*AD94</f>
        <v>0</v>
      </c>
      <c r="K696" s="256">
        <f>(K645/K613)*AD90</f>
        <v>4839277.5539107779</v>
      </c>
      <c r="L696" s="256">
        <f>(L648/L613)*AD95</f>
        <v>348357.13849112205</v>
      </c>
      <c r="M696" s="231">
        <f t="shared" si="18"/>
        <v>7215184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12518873.41</v>
      </c>
      <c r="D697" s="256">
        <f>(D616/D613)*AE91</f>
        <v>658422.54386210069</v>
      </c>
      <c r="E697" s="258">
        <f>(E624/E613)*SUM(C697:D697)</f>
        <v>2836606.2953302003</v>
      </c>
      <c r="F697" s="258">
        <f>(F625/F613)*AE65</f>
        <v>3716.6113066079747</v>
      </c>
      <c r="G697" s="256">
        <f>(G626/G613)*AE92</f>
        <v>0</v>
      </c>
      <c r="H697" s="258">
        <f>(H629/H613)*AE61</f>
        <v>742630.27419316256</v>
      </c>
      <c r="I697" s="256">
        <f>(I630/I613)*AE93</f>
        <v>211539.21051698734</v>
      </c>
      <c r="J697" s="256">
        <f>(J631/J613)*AE94</f>
        <v>0</v>
      </c>
      <c r="K697" s="256">
        <f>(K645/K613)*AE90</f>
        <v>3032643.5425051213</v>
      </c>
      <c r="L697" s="256">
        <f>(L648/L613)*AE95</f>
        <v>7.5435378513488041E-2</v>
      </c>
      <c r="M697" s="231">
        <f t="shared" si="18"/>
        <v>7485559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17194636.020000003</v>
      </c>
      <c r="D698" s="256">
        <f>(D616/D613)*AF91</f>
        <v>627384.69632537535</v>
      </c>
      <c r="E698" s="258">
        <f>(E624/E613)*SUM(C698:D698)</f>
        <v>3836451.4492532937</v>
      </c>
      <c r="F698" s="258">
        <f>(F625/F613)*AF65</f>
        <v>3573.9326921049555</v>
      </c>
      <c r="G698" s="256">
        <f>(G626/G613)*AF92</f>
        <v>0</v>
      </c>
      <c r="H698" s="258">
        <f>(H629/H613)*AF61</f>
        <v>1036455.7779451137</v>
      </c>
      <c r="I698" s="256">
        <f>(I630/I613)*AF93</f>
        <v>0</v>
      </c>
      <c r="J698" s="256">
        <f>(J631/J613)*AF94</f>
        <v>0</v>
      </c>
      <c r="K698" s="256">
        <f>(K645/K613)*AF90</f>
        <v>1672879.2086554589</v>
      </c>
      <c r="L698" s="256">
        <f>(L648/L613)*AF95</f>
        <v>239192.24662907692</v>
      </c>
      <c r="M698" s="231">
        <f t="shared" si="18"/>
        <v>7415937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20178972.110000003</v>
      </c>
      <c r="D699" s="256">
        <f>(D616/D613)*AG91</f>
        <v>1941005.4344279063</v>
      </c>
      <c r="E699" s="258">
        <f>(E624/E613)*SUM(C699:D699)</f>
        <v>4761649.7174214944</v>
      </c>
      <c r="F699" s="258">
        <f>(F625/F613)*AG65</f>
        <v>41417.103529040236</v>
      </c>
      <c r="G699" s="256">
        <f>(G626/G613)*AG92</f>
        <v>0</v>
      </c>
      <c r="H699" s="258">
        <f>(H629/H613)*AG61</f>
        <v>973756.38003118581</v>
      </c>
      <c r="I699" s="256">
        <f>(I630/I613)*AG93</f>
        <v>0</v>
      </c>
      <c r="J699" s="256">
        <f>(J631/J613)*AG94</f>
        <v>93014.419217852133</v>
      </c>
      <c r="K699" s="256">
        <f>(K645/K613)*AG90</f>
        <v>14091217.871273562</v>
      </c>
      <c r="L699" s="256">
        <f>(L648/L613)*AG95</f>
        <v>1062142.5666246966</v>
      </c>
      <c r="M699" s="231">
        <f t="shared" si="18"/>
        <v>22964203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5454741.6599999992</v>
      </c>
      <c r="D700" s="256">
        <f>(D616/D613)*AH91</f>
        <v>12393.364367738588</v>
      </c>
      <c r="E700" s="258">
        <f>(E624/E613)*SUM(C700:D700)</f>
        <v>1176881.0294494843</v>
      </c>
      <c r="F700" s="258">
        <f>(F625/F613)*AH65</f>
        <v>2255.5013568844347</v>
      </c>
      <c r="G700" s="256">
        <f>(G626/G613)*AH92</f>
        <v>0</v>
      </c>
      <c r="H700" s="258">
        <f>(H629/H613)*AH61</f>
        <v>268348.64562148409</v>
      </c>
      <c r="I700" s="256">
        <f>(I630/I613)*AH93</f>
        <v>0</v>
      </c>
      <c r="J700" s="256">
        <f>(J631/J613)*AH94</f>
        <v>0</v>
      </c>
      <c r="K700" s="256">
        <f>(K645/K613)*AH90</f>
        <v>215491.71381457927</v>
      </c>
      <c r="L700" s="256">
        <f>(L648/L613)*AH95</f>
        <v>274705.02815134823</v>
      </c>
      <c r="M700" s="231">
        <f t="shared" si="18"/>
        <v>1950075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147959453.86000001</v>
      </c>
      <c r="D702" s="256">
        <f>(D616/D613)*AJ91</f>
        <v>11045826.411724325</v>
      </c>
      <c r="E702" s="258">
        <f>(E624/E613)*SUM(C702:D702)</f>
        <v>34228219.551927373</v>
      </c>
      <c r="F702" s="258">
        <f>(F625/F613)*AJ65</f>
        <v>117231.66962108314</v>
      </c>
      <c r="G702" s="256">
        <f>(G626/G613)*AJ92</f>
        <v>0</v>
      </c>
      <c r="H702" s="258">
        <f>(H629/H613)*AJ61</f>
        <v>8288205.3724839529</v>
      </c>
      <c r="I702" s="256">
        <f>(I630/I613)*AJ93</f>
        <v>1171283.0017761597</v>
      </c>
      <c r="J702" s="256">
        <f>(J631/J613)*AJ94</f>
        <v>111692.48742208551</v>
      </c>
      <c r="K702" s="256">
        <f>(K645/K613)*AJ90</f>
        <v>18779220.677931249</v>
      </c>
      <c r="L702" s="256">
        <f>(L648/L613)*AJ95</f>
        <v>5186936.7394199055</v>
      </c>
      <c r="M702" s="231">
        <f t="shared" si="18"/>
        <v>78928616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3426562.3000000003</v>
      </c>
      <c r="D703" s="256">
        <f>(D616/D613)*AK91</f>
        <v>218282.6760254635</v>
      </c>
      <c r="E703" s="258">
        <f>(E624/E613)*SUM(C703:D703)</f>
        <v>784606.35935449682</v>
      </c>
      <c r="F703" s="258">
        <f>(F625/F613)*AK65</f>
        <v>3591.7605335427506</v>
      </c>
      <c r="G703" s="256">
        <f>(G626/G613)*AK92</f>
        <v>0</v>
      </c>
      <c r="H703" s="258">
        <f>(H629/H613)*AK61</f>
        <v>211246.60927976243</v>
      </c>
      <c r="I703" s="256">
        <f>(I630/I613)*AK93</f>
        <v>0</v>
      </c>
      <c r="J703" s="256">
        <f>(J631/J613)*AK94</f>
        <v>0</v>
      </c>
      <c r="K703" s="256">
        <f>(K645/K613)*AK90</f>
        <v>1322422.1219971874</v>
      </c>
      <c r="L703" s="256">
        <f>(L648/L613)*AK95</f>
        <v>0</v>
      </c>
      <c r="M703" s="231">
        <f t="shared" si="18"/>
        <v>2540150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2844077.6100000003</v>
      </c>
      <c r="D704" s="256">
        <f>(D616/D613)*AL91</f>
        <v>163285.37314413599</v>
      </c>
      <c r="E704" s="258">
        <f>(E624/E613)*SUM(C704:D704)</f>
        <v>647379.0070586846</v>
      </c>
      <c r="F704" s="258">
        <f>(F625/F613)*AL65</f>
        <v>1077.2798881901283</v>
      </c>
      <c r="G704" s="256">
        <f>(G626/G613)*AL92</f>
        <v>0</v>
      </c>
      <c r="H704" s="258">
        <f>(H629/H613)*AL61</f>
        <v>171385.24126271569</v>
      </c>
      <c r="I704" s="256">
        <f>(I630/I613)*AL93</f>
        <v>0</v>
      </c>
      <c r="J704" s="256">
        <f>(J631/J613)*AL94</f>
        <v>0</v>
      </c>
      <c r="K704" s="256">
        <f>(K645/K613)*AL90</f>
        <v>1088388.1526008639</v>
      </c>
      <c r="L704" s="256">
        <f>(L648/L613)*AL95</f>
        <v>0</v>
      </c>
      <c r="M704" s="231">
        <f t="shared" si="18"/>
        <v>2071515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3210026.36</v>
      </c>
      <c r="D705" s="256">
        <f>(D616/D613)*AM91</f>
        <v>390385.73208530288</v>
      </c>
      <c r="E705" s="258">
        <f>(E624/E613)*SUM(C705:D705)</f>
        <v>775041.5291537001</v>
      </c>
      <c r="F705" s="258">
        <f>(F625/F613)*AM65</f>
        <v>264.36879640104962</v>
      </c>
      <c r="G705" s="256">
        <f>(G626/G613)*AM92</f>
        <v>0</v>
      </c>
      <c r="H705" s="258">
        <f>(H629/H613)*AM61</f>
        <v>247380.07718611276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1413072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861.29</v>
      </c>
      <c r="D709" s="256">
        <f>(D616/D613)*AQ91</f>
        <v>0</v>
      </c>
      <c r="E709" s="258">
        <f>(E624/E613)*SUM(C709:D709)</f>
        <v>185.4053096067023</v>
      </c>
      <c r="F709" s="258">
        <f>(F625/F613)*AQ65</f>
        <v>25.068473767320448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210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16257710.719999997</v>
      </c>
      <c r="D710" s="256">
        <f>(D616/D613)*AR91</f>
        <v>0</v>
      </c>
      <c r="E710" s="258">
        <f>(E624/E613)*SUM(C710:D710)</f>
        <v>3499710.7705160892</v>
      </c>
      <c r="F710" s="258">
        <f>(F625/F613)*AR65</f>
        <v>222297.19553420949</v>
      </c>
      <c r="G710" s="256">
        <f>(G626/G613)*AR92</f>
        <v>0</v>
      </c>
      <c r="H710" s="258">
        <f>(H629/H613)*AR61</f>
        <v>536731.30053992406</v>
      </c>
      <c r="I710" s="256">
        <f>(I630/I613)*AR93</f>
        <v>0</v>
      </c>
      <c r="J710" s="256">
        <f>(J631/J613)*AR94</f>
        <v>0</v>
      </c>
      <c r="K710" s="256">
        <f>(K645/K613)*AR90</f>
        <v>10658391.831494927</v>
      </c>
      <c r="L710" s="256">
        <f>(L648/L613)*AR95</f>
        <v>101731.1434631634</v>
      </c>
      <c r="M710" s="231">
        <f t="shared" si="18"/>
        <v>15018862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4401783.4700000007</v>
      </c>
      <c r="D712" s="256">
        <f>(D616/D613)*AT91</f>
        <v>5772.9624747202179</v>
      </c>
      <c r="E712" s="258">
        <f>(E624/E613)*SUM(C712:D712)</f>
        <v>948791.19108777295</v>
      </c>
      <c r="F712" s="258">
        <f>(F625/F613)*AT65</f>
        <v>148.38712123128187</v>
      </c>
      <c r="G712" s="256">
        <f>(G626/G613)*AT92</f>
        <v>0</v>
      </c>
      <c r="H712" s="258">
        <f>(H629/H613)*AT61</f>
        <v>37133.559392806754</v>
      </c>
      <c r="I712" s="256">
        <f>(I630/I613)*AT93</f>
        <v>92960.46339281679</v>
      </c>
      <c r="J712" s="256">
        <f>(J631/J613)*AT94</f>
        <v>0</v>
      </c>
      <c r="K712" s="256">
        <f>(K645/K613)*AT90</f>
        <v>1011513.8812310962</v>
      </c>
      <c r="L712" s="256">
        <f>(L648/L613)*AT95</f>
        <v>49490.195945110143</v>
      </c>
      <c r="M712" s="231">
        <f t="shared" si="18"/>
        <v>2145811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5434606.0499999998</v>
      </c>
      <c r="D714" s="256">
        <f>(D616/D613)*AV91</f>
        <v>39133.167030806624</v>
      </c>
      <c r="E714" s="258">
        <f>(E624/E613)*SUM(C714:D714)</f>
        <v>1178302.6788189169</v>
      </c>
      <c r="F714" s="258">
        <f>(F625/F613)*AV65</f>
        <v>26715.280599758753</v>
      </c>
      <c r="G714" s="256">
        <f>(G626/G613)*AV92</f>
        <v>0</v>
      </c>
      <c r="H714" s="258">
        <f>(H629/H613)*AV61</f>
        <v>423913.66023824073</v>
      </c>
      <c r="I714" s="256">
        <f>(I630/I613)*AV93</f>
        <v>0</v>
      </c>
      <c r="J714" s="256">
        <f>(J631/J613)*AV94</f>
        <v>0</v>
      </c>
      <c r="K714" s="256">
        <f>(K645/K613)*AV90</f>
        <v>1821320.7263933681</v>
      </c>
      <c r="L714" s="256">
        <f>(L648/L613)*AV95</f>
        <v>119994.99209607442</v>
      </c>
      <c r="M714" s="231">
        <f t="shared" si="18"/>
        <v>3609381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1497785322.6800001</v>
      </c>
      <c r="D716" s="231">
        <f>SUM(D617:D648)+SUM(D669:D714)</f>
        <v>72010618.319999993</v>
      </c>
      <c r="E716" s="231">
        <f>SUM(E625:E648)+SUM(E669:E714)</f>
        <v>265308680.4986307</v>
      </c>
      <c r="F716" s="231">
        <f>SUM(F626:F649)+SUM(F669:F714)</f>
        <v>5139677.2574162679</v>
      </c>
      <c r="G716" s="231">
        <f>SUM(G627:G648)+SUM(G669:G714)</f>
        <v>26402215.35790002</v>
      </c>
      <c r="H716" s="231">
        <f>SUM(H630:H648)+SUM(H669:H714)</f>
        <v>53889614.84993802</v>
      </c>
      <c r="I716" s="231">
        <f>SUM(I631:I648)+SUM(I669:I714)</f>
        <v>19549387.663289383</v>
      </c>
      <c r="J716" s="231">
        <f>SUM(J632:J648)+SUM(J669:J714)</f>
        <v>3865105.5885373401</v>
      </c>
      <c r="K716" s="231">
        <f>SUM(K669:K714)</f>
        <v>428176073.26773936</v>
      </c>
      <c r="L716" s="231">
        <f>SUM(L669:L714)</f>
        <v>22573240.201026376</v>
      </c>
      <c r="M716" s="231">
        <f>SUM(M669:M714)</f>
        <v>739706895</v>
      </c>
      <c r="N716" s="250" t="s">
        <v>669</v>
      </c>
    </row>
    <row r="717" spans="1:14" s="231" customFormat="1" ht="12.65" customHeight="1" x14ac:dyDescent="0.3">
      <c r="C717" s="253">
        <f>CE86</f>
        <v>1497785322.6799994</v>
      </c>
      <c r="D717" s="231">
        <f>D616</f>
        <v>72010618.319999993</v>
      </c>
      <c r="E717" s="231">
        <f>E624</f>
        <v>265308680.4986307</v>
      </c>
      <c r="F717" s="231">
        <f>F625</f>
        <v>5139677.2574162669</v>
      </c>
      <c r="G717" s="231">
        <f>G626</f>
        <v>26402215.35790002</v>
      </c>
      <c r="H717" s="231">
        <f>H629</f>
        <v>53889614.849938005</v>
      </c>
      <c r="I717" s="231">
        <f>I630</f>
        <v>19549387.663289387</v>
      </c>
      <c r="J717" s="231">
        <f>J631</f>
        <v>3865105.588537341</v>
      </c>
      <c r="K717" s="231">
        <f>K645</f>
        <v>428176073.26773936</v>
      </c>
      <c r="L717" s="231">
        <f>L648</f>
        <v>22573240.201026373</v>
      </c>
      <c r="M717" s="231">
        <f>C649</f>
        <v>739706894.58000016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014</v>
      </c>
      <c r="C2" s="12" t="str">
        <f>SUBSTITUTE(LEFT(data!C98,49),",","")</f>
        <v>Seattle Children's Hospital</v>
      </c>
      <c r="D2" s="12" t="str">
        <f>LEFT(data!C99,49)</f>
        <v>PO Box 5371</v>
      </c>
      <c r="E2" s="12" t="str">
        <f>RIGHT(data!C100,100)</f>
        <v>Seattle</v>
      </c>
      <c r="F2" s="12" t="str">
        <f>RIGHT(data!C101,100)</f>
        <v>WA</v>
      </c>
      <c r="G2" s="12" t="str">
        <f>RIGHT(data!C102,100)</f>
        <v>98145-5005</v>
      </c>
      <c r="H2" s="12" t="str">
        <f>RIGHT(data!C103,100)</f>
        <v>King</v>
      </c>
      <c r="I2" s="12" t="str">
        <f>LEFT(data!C104,49)</f>
        <v>Dr. Jeff Sperring</v>
      </c>
      <c r="J2" s="12" t="str">
        <f>LEFT(data!C105,49)</f>
        <v>Suzanne Beitel</v>
      </c>
      <c r="K2" s="12" t="str">
        <f>LEFT(data!C107,49)</f>
        <v>206-987-2000</v>
      </c>
      <c r="L2" s="12" t="str">
        <f>LEFT(data!C107,49)</f>
        <v>206-987-2000</v>
      </c>
      <c r="M2" s="12" t="str">
        <f>LEFT(data!C109,49)</f>
        <v/>
      </c>
      <c r="N2" s="12" t="str">
        <f>LEFT(data!C110,49)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014</v>
      </c>
      <c r="B2" s="224" t="str">
        <f>RIGHT(data!C96,4)</f>
        <v>2022</v>
      </c>
      <c r="C2" s="16" t="s">
        <v>1123</v>
      </c>
      <c r="D2" s="223">
        <f>ROUND(data!C181,0)</f>
        <v>58413706</v>
      </c>
      <c r="E2" s="223">
        <f>ROUND(data!C182,0)</f>
        <v>237086</v>
      </c>
      <c r="F2" s="223">
        <f>ROUND(data!C183,0)</f>
        <v>4446101</v>
      </c>
      <c r="G2" s="223">
        <f>ROUND(data!C184,0)</f>
        <v>103203612</v>
      </c>
      <c r="H2" s="223">
        <f>ROUND(data!C185,0)</f>
        <v>0</v>
      </c>
      <c r="I2" s="223">
        <f>ROUND(data!C186,0)</f>
        <v>41197769</v>
      </c>
      <c r="J2" s="223">
        <f>ROUND(data!C187+data!C188,0)</f>
        <v>4296482</v>
      </c>
      <c r="K2" s="223">
        <f>ROUND(data!C191,0)</f>
        <v>30185571</v>
      </c>
      <c r="L2" s="223">
        <f>ROUND(data!C192,0)</f>
        <v>1367035</v>
      </c>
      <c r="M2" s="223">
        <f>ROUND(data!C195,0)</f>
        <v>8341235</v>
      </c>
      <c r="N2" s="223">
        <f>ROUND(data!C196,0)</f>
        <v>3842382</v>
      </c>
      <c r="O2" s="223">
        <f>ROUND(data!C199,0)</f>
        <v>0</v>
      </c>
      <c r="P2" s="223">
        <f>ROUND(data!C200,0)</f>
        <v>47253197</v>
      </c>
      <c r="Q2" s="223">
        <f>ROUND(data!C201,0)</f>
        <v>0</v>
      </c>
      <c r="R2" s="223">
        <f>ROUND(data!C204,0)</f>
        <v>0</v>
      </c>
      <c r="S2" s="223">
        <f>ROUND(data!C205,0)</f>
        <v>20873637</v>
      </c>
      <c r="T2" s="223">
        <f>ROUND(data!B211,0)</f>
        <v>221166313</v>
      </c>
      <c r="U2" s="223">
        <f>ROUND(data!C211,0)</f>
        <v>0</v>
      </c>
      <c r="V2" s="223">
        <f>ROUND(data!D211,0)</f>
        <v>0</v>
      </c>
      <c r="W2" s="223">
        <f>ROUND(data!B212,0)</f>
        <v>14811593</v>
      </c>
      <c r="X2" s="223">
        <f>ROUND(data!C212,0)</f>
        <v>133388</v>
      </c>
      <c r="Y2" s="223">
        <f>ROUND(data!D212,0)</f>
        <v>0</v>
      </c>
      <c r="Z2" s="223">
        <f>ROUND(data!B213,0)</f>
        <v>1386576880</v>
      </c>
      <c r="AA2" s="223">
        <f>ROUND(data!C213,0)</f>
        <v>486054774</v>
      </c>
      <c r="AB2" s="223">
        <f>ROUND(data!D213,0)</f>
        <v>1997429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68511892</v>
      </c>
      <c r="AG2" s="223">
        <f>ROUND(data!C215,0)</f>
        <v>3134946</v>
      </c>
      <c r="AH2" s="223">
        <f>ROUND(data!D215,0)</f>
        <v>19639</v>
      </c>
      <c r="AI2" s="223">
        <f>ROUND(data!B216,0)</f>
        <v>665969736</v>
      </c>
      <c r="AJ2" s="223">
        <f>ROUND(data!C216,0)</f>
        <v>94308695</v>
      </c>
      <c r="AK2" s="223">
        <f>ROUND(data!D216,0)</f>
        <v>51884660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100089771</v>
      </c>
      <c r="AP2" s="223">
        <f>ROUND(data!C218,0)</f>
        <v>3564609</v>
      </c>
      <c r="AQ2" s="223">
        <f>ROUND(data!D218,0)</f>
        <v>2918453</v>
      </c>
      <c r="AR2" s="223">
        <f>ROUND(data!B219,0)</f>
        <v>502682426</v>
      </c>
      <c r="AS2" s="223">
        <f>ROUND(data!C219,0)</f>
        <v>230257926</v>
      </c>
      <c r="AT2" s="223">
        <f>ROUND(data!D219,0)</f>
        <v>579135167</v>
      </c>
      <c r="AU2" s="223">
        <v>0</v>
      </c>
      <c r="AV2" s="223">
        <v>0</v>
      </c>
      <c r="AW2" s="223">
        <v>0</v>
      </c>
      <c r="AX2" s="223">
        <f>ROUND(data!B225,0)</f>
        <v>9791794</v>
      </c>
      <c r="AY2" s="223">
        <f>ROUND(data!C225,0)</f>
        <v>771530</v>
      </c>
      <c r="AZ2" s="223">
        <f>ROUND(data!D225,0)</f>
        <v>0</v>
      </c>
      <c r="BA2" s="223">
        <f>ROUND(data!B226,0)</f>
        <v>509703136</v>
      </c>
      <c r="BB2" s="223">
        <f>ROUND(data!C226,0)</f>
        <v>58460549</v>
      </c>
      <c r="BC2" s="223">
        <f>ROUND(data!D226,0)</f>
        <v>1693937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34597765</v>
      </c>
      <c r="BH2" s="223">
        <f>ROUND(data!C228,0)</f>
        <v>3977350</v>
      </c>
      <c r="BI2" s="223">
        <f>ROUND(data!D228,0)</f>
        <v>19639</v>
      </c>
      <c r="BJ2" s="223">
        <f>ROUND(data!B229,0)</f>
        <v>414132413</v>
      </c>
      <c r="BK2" s="223">
        <f>ROUND(data!C229,0)</f>
        <v>66812457</v>
      </c>
      <c r="BL2" s="223">
        <f>ROUND(data!D229,0)</f>
        <v>51505491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32995681</v>
      </c>
      <c r="BQ2" s="223">
        <f>ROUND(data!C231,0)</f>
        <v>9080797</v>
      </c>
      <c r="BR2" s="223">
        <f>ROUND(data!D231,0)</f>
        <v>2918453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25822205</v>
      </c>
      <c r="BW2" s="223">
        <f>ROUND(data!C240,0)</f>
        <v>1131640137</v>
      </c>
      <c r="BX2" s="223">
        <f>ROUND(data!C241,0)</f>
        <v>0</v>
      </c>
      <c r="BY2" s="223">
        <f>ROUND(data!C242,0)</f>
        <v>63641155</v>
      </c>
      <c r="BZ2" s="223">
        <f>ROUND(data!C243,0)</f>
        <v>377213804</v>
      </c>
      <c r="CA2" s="223">
        <f>ROUND(data!C244,0)</f>
        <v>0</v>
      </c>
      <c r="CB2" s="223">
        <f>ROUND(data!C247,0)</f>
        <v>0</v>
      </c>
      <c r="CC2" s="223">
        <f>ROUND(data!C249,0)</f>
        <v>7575308</v>
      </c>
      <c r="CD2" s="223">
        <f>ROUND(data!C250,0)</f>
        <v>19145207</v>
      </c>
      <c r="CE2" s="223">
        <f>ROUND(data!C254+data!C255,0)</f>
        <v>29640371</v>
      </c>
      <c r="CF2" s="223">
        <f>data!D237</f>
        <v>2273538.08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014</v>
      </c>
      <c r="B2" s="16" t="str">
        <f>RIGHT(data!C96,4)</f>
        <v>2022</v>
      </c>
      <c r="C2" s="16" t="s">
        <v>1123</v>
      </c>
      <c r="D2" s="222">
        <f>ROUND(data!C127,0)</f>
        <v>14862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107555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96</v>
      </c>
      <c r="M2" s="222">
        <f>ROUND(data!C133,0)</f>
        <v>0</v>
      </c>
      <c r="N2" s="222">
        <f>ROUND(data!C134,0)</f>
        <v>199</v>
      </c>
      <c r="O2" s="222">
        <f>ROUND(data!C135,0)</f>
        <v>0</v>
      </c>
      <c r="P2" s="222">
        <f>ROUND(data!C136,0)</f>
        <v>0</v>
      </c>
      <c r="Q2" s="222">
        <f>ROUND(data!C137,0)</f>
        <v>12</v>
      </c>
      <c r="R2" s="222">
        <f>ROUND(data!C138,0)</f>
        <v>41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407</v>
      </c>
      <c r="X2" s="222">
        <f>ROUND(data!C145,0)</f>
        <v>0</v>
      </c>
      <c r="Y2" s="222">
        <f>ROUND(data!B154,0)</f>
        <v>128</v>
      </c>
      <c r="Z2" s="222">
        <f>ROUND(data!B155,0)</f>
        <v>710</v>
      </c>
      <c r="AA2" s="222">
        <f>ROUND(data!B156,0)</f>
        <v>4839</v>
      </c>
      <c r="AB2" s="222">
        <f>ROUND(data!B157,0)</f>
        <v>17947521</v>
      </c>
      <c r="AC2" s="222">
        <f>ROUND(data!B158,0)</f>
        <v>18179014</v>
      </c>
      <c r="AD2" s="222">
        <f>ROUND(data!C154,0)</f>
        <v>7099</v>
      </c>
      <c r="AE2" s="222">
        <f>ROUND(data!C155,0)</f>
        <v>56668</v>
      </c>
      <c r="AF2" s="222">
        <f>ROUND(data!C156,0)</f>
        <v>284197</v>
      </c>
      <c r="AG2" s="222">
        <f>ROUND(data!C157,0)</f>
        <v>1065058519</v>
      </c>
      <c r="AH2" s="222">
        <f>ROUND(data!C158,0)</f>
        <v>571241966</v>
      </c>
      <c r="AI2" s="222">
        <f>ROUND(data!D154,0)</f>
        <v>7635</v>
      </c>
      <c r="AJ2" s="222">
        <f>ROUND(data!D155,0)</f>
        <v>50177</v>
      </c>
      <c r="AK2" s="222">
        <f>ROUND(data!D156,0)</f>
        <v>455772</v>
      </c>
      <c r="AL2" s="222">
        <f>ROUND(data!D157,0)</f>
        <v>979456846</v>
      </c>
      <c r="AM2" s="222">
        <f>ROUND(data!D158,0)</f>
        <v>707510887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014</v>
      </c>
      <c r="B2" s="224" t="str">
        <f>RIGHT(data!C96,4)</f>
        <v>2022</v>
      </c>
      <c r="C2" s="16" t="s">
        <v>1123</v>
      </c>
      <c r="D2" s="222">
        <f>ROUND(data!C266,0)</f>
        <v>49119166</v>
      </c>
      <c r="E2" s="222">
        <f>ROUND(data!C267,0)</f>
        <v>0</v>
      </c>
      <c r="F2" s="222">
        <f>ROUND(data!C268,0)</f>
        <v>790971981</v>
      </c>
      <c r="G2" s="222">
        <f>ROUND(data!C269,0)</f>
        <v>393406900</v>
      </c>
      <c r="H2" s="222">
        <f>ROUND(data!C270,0)</f>
        <v>0</v>
      </c>
      <c r="I2" s="222">
        <f>ROUND(data!C271,0)</f>
        <v>109851229</v>
      </c>
      <c r="J2" s="222">
        <f>ROUND(data!C272,0)</f>
        <v>0</v>
      </c>
      <c r="K2" s="222">
        <f>ROUND(data!C273,0)</f>
        <v>25854532</v>
      </c>
      <c r="L2" s="222">
        <f>ROUND(data!C274,0)</f>
        <v>38865684</v>
      </c>
      <c r="M2" s="222">
        <f>ROUND(data!C275,0)</f>
        <v>27069523</v>
      </c>
      <c r="N2" s="222">
        <f>ROUND(data!C278,0)</f>
        <v>0</v>
      </c>
      <c r="O2" s="222">
        <f>ROUND(data!C279,0)</f>
        <v>1650578933</v>
      </c>
      <c r="P2" s="222">
        <f>ROUND(data!C280,0)</f>
        <v>2633454</v>
      </c>
      <c r="Q2" s="222">
        <f>ROUND(data!C283,0)</f>
        <v>221166313</v>
      </c>
      <c r="R2" s="222">
        <f>ROUND(data!C284,0)</f>
        <v>14944981</v>
      </c>
      <c r="S2" s="222">
        <f>ROUND(data!C285,0)</f>
        <v>1870634224</v>
      </c>
      <c r="T2" s="222">
        <f>ROUND(data!C286,0)</f>
        <v>0</v>
      </c>
      <c r="U2" s="222">
        <f>ROUND(data!C287,0)</f>
        <v>71627200</v>
      </c>
      <c r="V2" s="222">
        <f>ROUND(data!C288,0)</f>
        <v>708393770</v>
      </c>
      <c r="W2" s="222">
        <f>ROUND(data!C289,0)</f>
        <v>100735928</v>
      </c>
      <c r="X2" s="222">
        <f>ROUND(data!C290,0)</f>
        <v>153805185</v>
      </c>
      <c r="Y2" s="222">
        <f>ROUND(data!C291,0)</f>
        <v>0</v>
      </c>
      <c r="Z2" s="222">
        <f>ROUND(data!C292,0)</f>
        <v>1084185951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369448067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127416359</v>
      </c>
      <c r="AK2" s="222">
        <f>ROUND(data!C316,0)</f>
        <v>159463033</v>
      </c>
      <c r="AL2" s="222">
        <f>ROUND(data!C317,0)</f>
        <v>14059523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334436402</v>
      </c>
      <c r="AR2" s="222">
        <f>ROUND(data!C323,0)</f>
        <v>19468871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58642195</v>
      </c>
      <c r="AZ2" s="222">
        <f>ROUND(data!C335,0)</f>
        <v>913094476</v>
      </c>
      <c r="BA2" s="222">
        <f>ROUND(data!C336,0)</f>
        <v>0</v>
      </c>
      <c r="BB2" s="222">
        <f>ROUND(data!C337,0)</f>
        <v>0</v>
      </c>
      <c r="BC2" s="222">
        <f>ROUND(data!C338,0)</f>
        <v>94423827</v>
      </c>
      <c r="BD2" s="222">
        <f>ROUND(data!C339,0)</f>
        <v>0</v>
      </c>
      <c r="BE2" s="222">
        <f>ROUND(data!C343,0)</f>
        <v>3026571504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7910.84</v>
      </c>
      <c r="BL2" s="222">
        <f>ROUND(data!C358,0)</f>
        <v>2062462886</v>
      </c>
      <c r="BM2" s="222">
        <f>ROUND(data!C359,0)</f>
        <v>1296931867</v>
      </c>
      <c r="BN2" s="222">
        <f>ROUND(data!C363,0)</f>
        <v>1221111872</v>
      </c>
      <c r="BO2" s="222">
        <f>ROUND(data!C364,0)</f>
        <v>26720515</v>
      </c>
      <c r="BP2" s="222">
        <f>ROUND(data!C365,0)</f>
        <v>406845800</v>
      </c>
      <c r="BQ2" s="222">
        <f>ROUND(data!D381,0)</f>
        <v>365503259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365503259</v>
      </c>
      <c r="CC2" s="222">
        <f>ROUND(data!C382,0)</f>
        <v>0</v>
      </c>
      <c r="CD2" s="222">
        <f>ROUND(data!C389,0)</f>
        <v>799799458</v>
      </c>
      <c r="CE2" s="222">
        <f>ROUND(data!C390,0)</f>
        <v>211794756</v>
      </c>
      <c r="CF2" s="222">
        <f>ROUND(data!C391,0)</f>
        <v>0</v>
      </c>
      <c r="CG2" s="222">
        <f>ROUND(data!C392,0)</f>
        <v>207325921</v>
      </c>
      <c r="CH2" s="222">
        <f>ROUND(data!C393,0)</f>
        <v>16807692</v>
      </c>
      <c r="CI2" s="222">
        <f>ROUND(data!C394,0)</f>
        <v>495179081</v>
      </c>
      <c r="CJ2" s="222">
        <f>ROUND(data!C395,0)</f>
        <v>142550849</v>
      </c>
      <c r="CK2" s="222">
        <f>ROUND(data!C396,0)</f>
        <v>31552606</v>
      </c>
      <c r="CL2" s="222">
        <f>ROUND(data!C397,0)</f>
        <v>12183617</v>
      </c>
      <c r="CM2" s="222">
        <f>ROUND(data!C398,0)</f>
        <v>47253197</v>
      </c>
      <c r="CN2" s="222">
        <f>ROUND(data!C399,0)</f>
        <v>20873637</v>
      </c>
      <c r="CO2" s="222">
        <f>ROUND(data!C362,0)</f>
        <v>2273538</v>
      </c>
      <c r="CP2" s="222">
        <f>ROUND(data!D415,0)</f>
        <v>60077198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60077198</v>
      </c>
      <c r="DE2" s="65">
        <f>ROUND(data!C419,0)</f>
        <v>0</v>
      </c>
      <c r="DF2" s="222">
        <f>ROUND(data!D420,0)</f>
        <v>-170216803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014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431.53</v>
      </c>
      <c r="G2" s="222">
        <f>ROUND(data!C61,0)</f>
        <v>44624772</v>
      </c>
      <c r="H2" s="222">
        <f>ROUND(data!C62,0)</f>
        <v>0</v>
      </c>
      <c r="I2" s="222">
        <f>ROUND(data!C63,0)</f>
        <v>0</v>
      </c>
      <c r="J2" s="222">
        <f>ROUND(data!C64,0)</f>
        <v>4607413</v>
      </c>
      <c r="K2" s="222">
        <f>ROUND(data!C65,0)</f>
        <v>0</v>
      </c>
      <c r="L2" s="222">
        <f>ROUND(data!C66,0)</f>
        <v>23940767</v>
      </c>
      <c r="M2" s="66">
        <f>ROUND(data!C67,0)</f>
        <v>0</v>
      </c>
      <c r="N2" s="222">
        <f>ROUND(data!C68,0)</f>
        <v>165747</v>
      </c>
      <c r="O2" s="222">
        <f>ROUND(data!C69,0)</f>
        <v>198240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198240</v>
      </c>
      <c r="AD2" s="222">
        <f>ROUND(data!C84,0)</f>
        <v>0</v>
      </c>
      <c r="AE2" s="222">
        <f>ROUND(data!C89,0)</f>
        <v>562419608</v>
      </c>
      <c r="AF2" s="222">
        <f>ROUND(data!C87,0)</f>
        <v>560322288</v>
      </c>
      <c r="AG2" s="222">
        <f>IF(data!C90&gt;0,ROUND(data!C90,0),0)</f>
        <v>74288</v>
      </c>
      <c r="AH2" s="222">
        <f>IF(data!C91&gt;0,ROUND(data!C91,0),0)</f>
        <v>0</v>
      </c>
      <c r="AI2" s="222">
        <f>IF(data!C92&gt;0,ROUND(data!C92,0),0)</f>
        <v>227</v>
      </c>
      <c r="AJ2" s="222">
        <f>IF(data!C93&gt;0,ROUND(data!C93,0),0)</f>
        <v>1089336</v>
      </c>
      <c r="AK2" s="212">
        <f>IF(data!C94&gt;0,ROUND(data!C94,2),0)</f>
        <v>308.08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014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1699263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014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1125810</v>
      </c>
      <c r="F4" s="212">
        <f>ROUND(data!E60,2)</f>
        <v>579.38</v>
      </c>
      <c r="G4" s="222">
        <f>ROUND(data!E61,0)</f>
        <v>52576319</v>
      </c>
      <c r="H4" s="222">
        <f>ROUND(data!E62,0)</f>
        <v>0</v>
      </c>
      <c r="I4" s="222">
        <f>ROUND(data!E63,0)</f>
        <v>0</v>
      </c>
      <c r="J4" s="222">
        <f>ROUND(data!E64,0)</f>
        <v>4319992</v>
      </c>
      <c r="K4" s="222">
        <f>ROUND(data!E65,0)</f>
        <v>0</v>
      </c>
      <c r="L4" s="222">
        <f>ROUND(data!E66,0)</f>
        <v>17456442</v>
      </c>
      <c r="M4" s="66">
        <f>ROUND(data!E67,0)</f>
        <v>0</v>
      </c>
      <c r="N4" s="222">
        <f>ROUND(data!E68,0)</f>
        <v>591094</v>
      </c>
      <c r="O4" s="222">
        <f>ROUND(data!E69,0)</f>
        <v>131054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131054</v>
      </c>
      <c r="AD4" s="222">
        <f>ROUND(data!E84,0)</f>
        <v>-1987936</v>
      </c>
      <c r="AE4" s="222">
        <f>ROUND(data!E89,0)</f>
        <v>522891495</v>
      </c>
      <c r="AF4" s="222">
        <f>ROUND(data!E87,0)</f>
        <v>482220259</v>
      </c>
      <c r="AG4" s="222">
        <f>IF(data!E90&gt;0,ROUND(data!E90,0),0)</f>
        <v>221362</v>
      </c>
      <c r="AH4" s="222">
        <f>IF(data!E91&gt;0,ROUND(data!E91,0),0)</f>
        <v>0</v>
      </c>
      <c r="AI4" s="222">
        <f>IF(data!E92&gt;0,ROUND(data!E92,0),0)</f>
        <v>22318</v>
      </c>
      <c r="AJ4" s="222">
        <f>IF(data!E93&gt;0,ROUND(data!E93,0),0)</f>
        <v>1589861</v>
      </c>
      <c r="AK4" s="212">
        <f>IF(data!E94&gt;0,ROUND(data!E94,2),0)</f>
        <v>381.74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014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2121880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014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36.1</v>
      </c>
      <c r="G6" s="222">
        <f>ROUND(data!G61,0)</f>
        <v>3775144</v>
      </c>
      <c r="H6" s="222">
        <f>ROUND(data!G62,0)</f>
        <v>0</v>
      </c>
      <c r="I6" s="222">
        <f>ROUND(data!G63,0)</f>
        <v>0</v>
      </c>
      <c r="J6" s="222">
        <f>ROUND(data!G64,0)</f>
        <v>182811</v>
      </c>
      <c r="K6" s="222">
        <f>ROUND(data!G65,0)</f>
        <v>0</v>
      </c>
      <c r="L6" s="222">
        <f>ROUND(data!G66,0)</f>
        <v>636563</v>
      </c>
      <c r="M6" s="66">
        <f>ROUND(data!G67,0)</f>
        <v>0</v>
      </c>
      <c r="N6" s="222">
        <f>ROUND(data!G68,0)</f>
        <v>11111</v>
      </c>
      <c r="O6" s="222">
        <f>ROUND(data!G69,0)</f>
        <v>2079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2079</v>
      </c>
      <c r="AD6" s="222">
        <f>ROUND(data!G84,0)</f>
        <v>0</v>
      </c>
      <c r="AE6" s="222">
        <f>ROUND(data!G89,0)</f>
        <v>31123263</v>
      </c>
      <c r="AF6" s="222">
        <f>ROUND(data!G87,0)</f>
        <v>29179351</v>
      </c>
      <c r="AG6" s="222">
        <f>IF(data!G90&gt;0,ROUND(data!G90,0),0)</f>
        <v>11962</v>
      </c>
      <c r="AH6" s="222">
        <f>IF(data!G91&gt;0,ROUND(data!G91,0),0)</f>
        <v>0</v>
      </c>
      <c r="AI6" s="222">
        <f>IF(data!G92&gt;0,ROUND(data!G92,0),0)</f>
        <v>209</v>
      </c>
      <c r="AJ6" s="222">
        <f>IF(data!G93&gt;0,ROUND(data!G93,0),0)</f>
        <v>38072</v>
      </c>
      <c r="AK6" s="212">
        <f>IF(data!G94&gt;0,ROUND(data!G94,2),0)</f>
        <v>21.89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014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1330727</v>
      </c>
      <c r="F7" s="212">
        <f>ROUND(data!H60,2)</f>
        <v>166.53</v>
      </c>
      <c r="G7" s="222">
        <f>ROUND(data!H61,0)</f>
        <v>11749673</v>
      </c>
      <c r="H7" s="222">
        <f>ROUND(data!H62,0)</f>
        <v>0</v>
      </c>
      <c r="I7" s="222">
        <f>ROUND(data!H63,0)</f>
        <v>0</v>
      </c>
      <c r="J7" s="222">
        <f>ROUND(data!H64,0)</f>
        <v>262166</v>
      </c>
      <c r="K7" s="222">
        <f>ROUND(data!H65,0)</f>
        <v>0</v>
      </c>
      <c r="L7" s="222">
        <f>ROUND(data!H66,0)</f>
        <v>6679774</v>
      </c>
      <c r="M7" s="66">
        <f>ROUND(data!H67,0)</f>
        <v>0</v>
      </c>
      <c r="N7" s="222">
        <f>ROUND(data!H68,0)</f>
        <v>0</v>
      </c>
      <c r="O7" s="222">
        <f>ROUND(data!H69,0)</f>
        <v>69487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69487</v>
      </c>
      <c r="AD7" s="222">
        <f>ROUND(data!H84,0)</f>
        <v>0</v>
      </c>
      <c r="AE7" s="222">
        <f>ROUND(data!H89,0)</f>
        <v>96908397</v>
      </c>
      <c r="AF7" s="222">
        <f>ROUND(data!H87,0)</f>
        <v>96908397</v>
      </c>
      <c r="AG7" s="222">
        <f>IF(data!H90&gt;0,ROUND(data!H90,0),0)</f>
        <v>61556</v>
      </c>
      <c r="AH7" s="222">
        <f>IF(data!H91&gt;0,ROUND(data!H91,0),0)</f>
        <v>0</v>
      </c>
      <c r="AI7" s="222">
        <f>IF(data!H92&gt;0,ROUND(data!H92,0),0)</f>
        <v>2168</v>
      </c>
      <c r="AJ7" s="222">
        <f>IF(data!H93&gt;0,ROUND(data!H93,0),0)</f>
        <v>230750</v>
      </c>
      <c r="AK7" s="212">
        <f>IF(data!H94&gt;0,ROUND(data!H94,2),0)</f>
        <v>29.1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014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41686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014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12571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014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9453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014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118434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014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1292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014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1463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014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583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014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224.18</v>
      </c>
      <c r="G15" s="222">
        <f>ROUND(data!P61,0)</f>
        <v>22114786</v>
      </c>
      <c r="H15" s="222">
        <f>ROUND(data!P62,0)</f>
        <v>0</v>
      </c>
      <c r="I15" s="222">
        <f>ROUND(data!P63,0)</f>
        <v>0</v>
      </c>
      <c r="J15" s="222">
        <f>ROUND(data!P64,0)</f>
        <v>28729807</v>
      </c>
      <c r="K15" s="222">
        <f>ROUND(data!P65,0)</f>
        <v>0</v>
      </c>
      <c r="L15" s="222">
        <f>ROUND(data!P66,0)</f>
        <v>7387145</v>
      </c>
      <c r="M15" s="66">
        <f>ROUND(data!P67,0)</f>
        <v>0</v>
      </c>
      <c r="N15" s="222">
        <f>ROUND(data!P68,0)</f>
        <v>132015</v>
      </c>
      <c r="O15" s="222">
        <f>ROUND(data!P69,0)</f>
        <v>2089687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2089687</v>
      </c>
      <c r="AD15" s="222">
        <f>ROUND(data!P84,0)</f>
        <v>0</v>
      </c>
      <c r="AE15" s="222">
        <f>ROUND(data!P89,0)</f>
        <v>405394410</v>
      </c>
      <c r="AF15" s="222">
        <f>ROUND(data!P87,0)</f>
        <v>208611081</v>
      </c>
      <c r="AG15" s="222">
        <f>IF(data!P90&gt;0,ROUND(data!P90,0),0)</f>
        <v>99722</v>
      </c>
      <c r="AH15" s="222">
        <f>IF(data!P91&gt;0,ROUND(data!P91,0),0)</f>
        <v>0</v>
      </c>
      <c r="AI15" s="222">
        <f>IF(data!P92&gt;0,ROUND(data!P92,0),0)</f>
        <v>4930</v>
      </c>
      <c r="AJ15" s="222">
        <f>IF(data!P93&gt;0,ROUND(data!P93,0),0)</f>
        <v>0</v>
      </c>
      <c r="AK15" s="212">
        <f>IF(data!P94&gt;0,ROUND(data!P94,2),0)</f>
        <v>83.02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014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10315</v>
      </c>
      <c r="F16" s="212">
        <f>ROUND(data!Q60,2)</f>
        <v>98.72</v>
      </c>
      <c r="G16" s="222">
        <f>ROUND(data!Q61,0)</f>
        <v>10637658</v>
      </c>
      <c r="H16" s="222">
        <f>ROUND(data!Q62,0)</f>
        <v>0</v>
      </c>
      <c r="I16" s="222">
        <f>ROUND(data!Q63,0)</f>
        <v>0</v>
      </c>
      <c r="J16" s="222">
        <f>ROUND(data!Q64,0)</f>
        <v>329772</v>
      </c>
      <c r="K16" s="222">
        <f>ROUND(data!Q65,0)</f>
        <v>0</v>
      </c>
      <c r="L16" s="222">
        <f>ROUND(data!Q66,0)</f>
        <v>2909048</v>
      </c>
      <c r="M16" s="66">
        <f>ROUND(data!Q67,0)</f>
        <v>0</v>
      </c>
      <c r="N16" s="222">
        <f>ROUND(data!Q68,0)</f>
        <v>0</v>
      </c>
      <c r="O16" s="222">
        <f>ROUND(data!Q69,0)</f>
        <v>43174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43174</v>
      </c>
      <c r="AD16" s="222">
        <f>ROUND(data!Q84,0)</f>
        <v>0</v>
      </c>
      <c r="AE16" s="222">
        <f>ROUND(data!Q89,0)</f>
        <v>40109268</v>
      </c>
      <c r="AF16" s="222">
        <f>ROUND(data!Q87,0)</f>
        <v>11191026</v>
      </c>
      <c r="AG16" s="222">
        <f>IF(data!Q90&gt;0,ROUND(data!Q90,0),0)</f>
        <v>9804</v>
      </c>
      <c r="AH16" s="222">
        <f>IF(data!Q91&gt;0,ROUND(data!Q91,0),0)</f>
        <v>0</v>
      </c>
      <c r="AI16" s="222">
        <f>IF(data!Q92&gt;0,ROUND(data!Q92,0),0)</f>
        <v>1154</v>
      </c>
      <c r="AJ16" s="222">
        <f>IF(data!Q93&gt;0,ROUND(data!Q93,0),0)</f>
        <v>0</v>
      </c>
      <c r="AK16" s="212">
        <f>IF(data!Q94&gt;0,ROUND(data!Q94,2),0)</f>
        <v>71.11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014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173247</v>
      </c>
      <c r="F17" s="212">
        <f>ROUND(data!R60,2)</f>
        <v>32.6</v>
      </c>
      <c r="G17" s="222">
        <f>ROUND(data!R61,0)</f>
        <v>2442436</v>
      </c>
      <c r="H17" s="222">
        <f>ROUND(data!R62,0)</f>
        <v>0</v>
      </c>
      <c r="I17" s="222">
        <f>ROUND(data!R63,0)</f>
        <v>0</v>
      </c>
      <c r="J17" s="222">
        <f>ROUND(data!R64,0)</f>
        <v>2103057</v>
      </c>
      <c r="K17" s="222">
        <f>ROUND(data!R65,0)</f>
        <v>0</v>
      </c>
      <c r="L17" s="222">
        <f>ROUND(data!R66,0)</f>
        <v>2523183</v>
      </c>
      <c r="M17" s="66">
        <f>ROUND(data!R67,0)</f>
        <v>0</v>
      </c>
      <c r="N17" s="222">
        <f>ROUND(data!R68,0)</f>
        <v>0</v>
      </c>
      <c r="O17" s="222">
        <f>ROUND(data!R69,0)</f>
        <v>109037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109037</v>
      </c>
      <c r="AD17" s="222">
        <f>ROUND(data!R84,0)</f>
        <v>0</v>
      </c>
      <c r="AE17" s="222">
        <f>ROUND(data!R89,0)</f>
        <v>107200325</v>
      </c>
      <c r="AF17" s="222">
        <f>ROUND(data!R87,0)</f>
        <v>51863256</v>
      </c>
      <c r="AG17" s="222">
        <f>IF(data!R90&gt;0,ROUND(data!R90,0),0)</f>
        <v>7599</v>
      </c>
      <c r="AH17" s="222">
        <f>IF(data!R91&gt;0,ROUND(data!R91,0),0)</f>
        <v>0</v>
      </c>
      <c r="AI17" s="222">
        <f>IF(data!R92&gt;0,ROUND(data!R92,0),0)</f>
        <v>9325</v>
      </c>
      <c r="AJ17" s="222">
        <f>IF(data!R93&gt;0,ROUND(data!R93,0),0)</f>
        <v>0</v>
      </c>
      <c r="AK17" s="212">
        <f>IF(data!R94&gt;0,ROUND(data!R94,2),0)</f>
        <v>0.04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014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123.63</v>
      </c>
      <c r="G18" s="222">
        <f>ROUND(data!S61,0)</f>
        <v>8444033</v>
      </c>
      <c r="H18" s="222">
        <f>ROUND(data!S62,0)</f>
        <v>0</v>
      </c>
      <c r="I18" s="222">
        <f>ROUND(data!S63,0)</f>
        <v>0</v>
      </c>
      <c r="J18" s="222">
        <f>ROUND(data!S64,0)</f>
        <v>1304558</v>
      </c>
      <c r="K18" s="222">
        <f>ROUND(data!S65,0)</f>
        <v>0</v>
      </c>
      <c r="L18" s="222">
        <f>ROUND(data!S66,0)</f>
        <v>2536904</v>
      </c>
      <c r="M18" s="66">
        <f>ROUND(data!S67,0)</f>
        <v>0</v>
      </c>
      <c r="N18" s="222">
        <f>ROUND(data!S68,0)</f>
        <v>166005</v>
      </c>
      <c r="O18" s="222">
        <f>ROUND(data!S69,0)</f>
        <v>155318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155318</v>
      </c>
      <c r="AD18" s="222">
        <f>ROUND(data!S84,0)</f>
        <v>0</v>
      </c>
      <c r="AE18" s="222">
        <f>ROUND(data!S89,0)</f>
        <v>18885726</v>
      </c>
      <c r="AF18" s="222">
        <f>ROUND(data!S87,0)</f>
        <v>8364403</v>
      </c>
      <c r="AG18" s="222">
        <f>IF(data!S90&gt;0,ROUND(data!S90,0),0)</f>
        <v>33674</v>
      </c>
      <c r="AH18" s="222">
        <f>IF(data!S91&gt;0,ROUND(data!S91,0),0)</f>
        <v>0</v>
      </c>
      <c r="AI18" s="222">
        <f>IF(data!S92&gt;0,ROUND(data!S92,0),0)</f>
        <v>4355</v>
      </c>
      <c r="AJ18" s="222">
        <f>IF(data!S93&gt;0,ROUND(data!S93,0),0)</f>
        <v>29114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014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12.8</v>
      </c>
      <c r="G19" s="222">
        <f>ROUND(data!T61,0)</f>
        <v>1712930</v>
      </c>
      <c r="H19" s="222">
        <f>ROUND(data!T62,0)</f>
        <v>0</v>
      </c>
      <c r="I19" s="222">
        <f>ROUND(data!T63,0)</f>
        <v>0</v>
      </c>
      <c r="J19" s="222">
        <f>ROUND(data!T64,0)</f>
        <v>155088</v>
      </c>
      <c r="K19" s="222">
        <f>ROUND(data!T65,0)</f>
        <v>0</v>
      </c>
      <c r="L19" s="222">
        <f>ROUND(data!T66,0)</f>
        <v>10466</v>
      </c>
      <c r="M19" s="66">
        <f>ROUND(data!T67,0)</f>
        <v>0</v>
      </c>
      <c r="N19" s="222">
        <f>ROUND(data!T68,0)</f>
        <v>0</v>
      </c>
      <c r="O19" s="222">
        <f>ROUND(data!T69,0)</f>
        <v>3583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3583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478</v>
      </c>
      <c r="AH19" s="222">
        <f>IF(data!T91&gt;0,ROUND(data!T91,0),0)</f>
        <v>0</v>
      </c>
      <c r="AI19" s="222">
        <f>IF(data!T92&gt;0,ROUND(data!T92,0),0)</f>
        <v>91</v>
      </c>
      <c r="AJ19" s="222">
        <f>IF(data!T93&gt;0,ROUND(data!T93,0),0)</f>
        <v>0</v>
      </c>
      <c r="AK19" s="212">
        <f>IF(data!T94&gt;0,ROUND(data!T94,2),0)</f>
        <v>11.88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014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226.16</v>
      </c>
      <c r="G20" s="222">
        <f>ROUND(data!U61,0)</f>
        <v>23140841</v>
      </c>
      <c r="H20" s="222">
        <f>ROUND(data!U62,0)</f>
        <v>0</v>
      </c>
      <c r="I20" s="222">
        <f>ROUND(data!U63,0)</f>
        <v>0</v>
      </c>
      <c r="J20" s="222">
        <f>ROUND(data!U64,0)</f>
        <v>15418866</v>
      </c>
      <c r="K20" s="222">
        <f>ROUND(data!U65,0)</f>
        <v>0</v>
      </c>
      <c r="L20" s="222">
        <f>ROUND(data!U66,0)</f>
        <v>11862118</v>
      </c>
      <c r="M20" s="66">
        <f>ROUND(data!U67,0)</f>
        <v>0</v>
      </c>
      <c r="N20" s="222">
        <f>ROUND(data!U68,0)</f>
        <v>510</v>
      </c>
      <c r="O20" s="222">
        <f>ROUND(data!U69,0)</f>
        <v>1995078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1995078</v>
      </c>
      <c r="AD20" s="222">
        <f>ROUND(data!U84,0)</f>
        <v>3074140</v>
      </c>
      <c r="AE20" s="222">
        <f>ROUND(data!U89,0)</f>
        <v>251234137</v>
      </c>
      <c r="AF20" s="222">
        <f>ROUND(data!U87,0)</f>
        <v>136584495</v>
      </c>
      <c r="AG20" s="222">
        <f>IF(data!U90&gt;0,ROUND(data!U90,0),0)</f>
        <v>44203</v>
      </c>
      <c r="AH20" s="222">
        <f>IF(data!U91&gt;0,ROUND(data!U91,0),0)</f>
        <v>0</v>
      </c>
      <c r="AI20" s="222">
        <f>IF(data!U92&gt;0,ROUND(data!U92,0),0)</f>
        <v>120565</v>
      </c>
      <c r="AJ20" s="222">
        <f>IF(data!U93&gt;0,ROUND(data!U93,0),0)</f>
        <v>0</v>
      </c>
      <c r="AK20" s="212">
        <f>IF(data!U94&gt;0,ROUND(data!U94,2),0)</f>
        <v>0.74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014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63.51</v>
      </c>
      <c r="G21" s="222">
        <f>ROUND(data!V61,0)</f>
        <v>6486607</v>
      </c>
      <c r="H21" s="222">
        <f>ROUND(data!V62,0)</f>
        <v>0</v>
      </c>
      <c r="I21" s="222">
        <f>ROUND(data!V63,0)</f>
        <v>0</v>
      </c>
      <c r="J21" s="222">
        <f>ROUND(data!V64,0)</f>
        <v>484588</v>
      </c>
      <c r="K21" s="222">
        <f>ROUND(data!V65,0)</f>
        <v>4</v>
      </c>
      <c r="L21" s="222">
        <f>ROUND(data!V66,0)</f>
        <v>424009</v>
      </c>
      <c r="M21" s="66">
        <f>ROUND(data!V67,0)</f>
        <v>0</v>
      </c>
      <c r="N21" s="222">
        <f>ROUND(data!V68,0)</f>
        <v>435825</v>
      </c>
      <c r="O21" s="222">
        <f>ROUND(data!V69,0)</f>
        <v>533771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533771</v>
      </c>
      <c r="AD21" s="222">
        <f>ROUND(data!V84,0)</f>
        <v>0</v>
      </c>
      <c r="AE21" s="222">
        <f>ROUND(data!V89,0)</f>
        <v>88379318</v>
      </c>
      <c r="AF21" s="222">
        <f>ROUND(data!V87,0)</f>
        <v>30837216</v>
      </c>
      <c r="AG21" s="222">
        <f>IF(data!V90&gt;0,ROUND(data!V90,0),0)</f>
        <v>5473</v>
      </c>
      <c r="AH21" s="222">
        <f>IF(data!V91&gt;0,ROUND(data!V91,0),0)</f>
        <v>0</v>
      </c>
      <c r="AI21" s="222">
        <f>IF(data!V92&gt;0,ROUND(data!V92,0),0)</f>
        <v>7567</v>
      </c>
      <c r="AJ21" s="222">
        <f>IF(data!V93&gt;0,ROUND(data!V93,0),0)</f>
        <v>49457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014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10.82</v>
      </c>
      <c r="G22" s="222">
        <f>ROUND(data!W61,0)</f>
        <v>1376021</v>
      </c>
      <c r="H22" s="222">
        <f>ROUND(data!W62,0)</f>
        <v>0</v>
      </c>
      <c r="I22" s="222">
        <f>ROUND(data!W63,0)</f>
        <v>0</v>
      </c>
      <c r="J22" s="222">
        <f>ROUND(data!W64,0)</f>
        <v>80614</v>
      </c>
      <c r="K22" s="222">
        <f>ROUND(data!W65,0)</f>
        <v>0</v>
      </c>
      <c r="L22" s="222">
        <f>ROUND(data!W66,0)</f>
        <v>77649</v>
      </c>
      <c r="M22" s="66">
        <f>ROUND(data!W67,0)</f>
        <v>0</v>
      </c>
      <c r="N22" s="222">
        <f>ROUND(data!W68,0)</f>
        <v>0</v>
      </c>
      <c r="O22" s="222">
        <f>ROUND(data!W69,0)</f>
        <v>421971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421971</v>
      </c>
      <c r="AD22" s="222">
        <f>ROUND(data!W84,0)</f>
        <v>0</v>
      </c>
      <c r="AE22" s="222">
        <f>ROUND(data!W89,0)</f>
        <v>45619137</v>
      </c>
      <c r="AF22" s="222">
        <f>ROUND(data!W87,0)</f>
        <v>10440559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014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72872</v>
      </c>
      <c r="F23" s="212">
        <f>ROUND(data!X60,2)</f>
        <v>10.7</v>
      </c>
      <c r="G23" s="222">
        <f>ROUND(data!X61,0)</f>
        <v>1290222</v>
      </c>
      <c r="H23" s="222">
        <f>ROUND(data!X62,0)</f>
        <v>0</v>
      </c>
      <c r="I23" s="222">
        <f>ROUND(data!X63,0)</f>
        <v>0</v>
      </c>
      <c r="J23" s="222">
        <f>ROUND(data!X64,0)</f>
        <v>92492</v>
      </c>
      <c r="K23" s="222">
        <f>ROUND(data!X65,0)</f>
        <v>0</v>
      </c>
      <c r="L23" s="222">
        <f>ROUND(data!X66,0)</f>
        <v>77790</v>
      </c>
      <c r="M23" s="66">
        <f>ROUND(data!X67,0)</f>
        <v>0</v>
      </c>
      <c r="N23" s="222">
        <f>ROUND(data!X68,0)</f>
        <v>0</v>
      </c>
      <c r="O23" s="222">
        <f>ROUND(data!X69,0)</f>
        <v>388696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388696</v>
      </c>
      <c r="AD23" s="222">
        <f>ROUND(data!X84,0)</f>
        <v>0</v>
      </c>
      <c r="AE23" s="222">
        <f>ROUND(data!X89,0)</f>
        <v>30126996</v>
      </c>
      <c r="AF23" s="222">
        <f>ROUND(data!X87,0)</f>
        <v>12195810</v>
      </c>
      <c r="AG23" s="222">
        <f>IF(data!X90&gt;0,ROUND(data!X90,0),0)</f>
        <v>4162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014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52189</v>
      </c>
      <c r="F24" s="212">
        <f>ROUND(data!Y60,2)</f>
        <v>115.41</v>
      </c>
      <c r="G24" s="222">
        <f>ROUND(data!Y61,0)</f>
        <v>11934438</v>
      </c>
      <c r="H24" s="222">
        <f>ROUND(data!Y62,0)</f>
        <v>0</v>
      </c>
      <c r="I24" s="222">
        <f>ROUND(data!Y63,0)</f>
        <v>0</v>
      </c>
      <c r="J24" s="222">
        <f>ROUND(data!Y64,0)</f>
        <v>5810268</v>
      </c>
      <c r="K24" s="222">
        <f>ROUND(data!Y65,0)</f>
        <v>0</v>
      </c>
      <c r="L24" s="222">
        <f>ROUND(data!Y66,0)</f>
        <v>3184276</v>
      </c>
      <c r="M24" s="66">
        <f>ROUND(data!Y67,0)</f>
        <v>0</v>
      </c>
      <c r="N24" s="222">
        <f>ROUND(data!Y68,0)</f>
        <v>0</v>
      </c>
      <c r="O24" s="222">
        <f>ROUND(data!Y69,0)</f>
        <v>1390406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1390406</v>
      </c>
      <c r="AD24" s="222">
        <f>ROUND(data!Y84,0)</f>
        <v>61234</v>
      </c>
      <c r="AE24" s="222">
        <f>ROUND(data!Y89,0)</f>
        <v>155635361</v>
      </c>
      <c r="AF24" s="222">
        <f>ROUND(data!Y87,0)</f>
        <v>46843384</v>
      </c>
      <c r="AG24" s="222">
        <f>IF(data!Y90&gt;0,ROUND(data!Y90,0),0)</f>
        <v>52194</v>
      </c>
      <c r="AH24" s="222">
        <f>IF(data!Y91&gt;0,ROUND(data!Y91,0),0)</f>
        <v>0</v>
      </c>
      <c r="AI24" s="222">
        <f>IF(data!Y92&gt;0,ROUND(data!Y92,0),0)</f>
        <v>4131</v>
      </c>
      <c r="AJ24" s="222">
        <f>IF(data!Y93&gt;0,ROUND(data!Y93,0),0)</f>
        <v>278191</v>
      </c>
      <c r="AK24" s="212">
        <f>IF(data!Y94&gt;0,ROUND(data!Y94,2),0)</f>
        <v>20.89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014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9.2799999999999994</v>
      </c>
      <c r="G25" s="222">
        <f>ROUND(data!Z61,0)</f>
        <v>900417</v>
      </c>
      <c r="H25" s="222">
        <f>ROUND(data!Z62,0)</f>
        <v>0</v>
      </c>
      <c r="I25" s="222">
        <f>ROUND(data!Z63,0)</f>
        <v>0</v>
      </c>
      <c r="J25" s="222">
        <f>ROUND(data!Z64,0)</f>
        <v>136319</v>
      </c>
      <c r="K25" s="222">
        <f>ROUND(data!Z65,0)</f>
        <v>0</v>
      </c>
      <c r="L25" s="222">
        <f>ROUND(data!Z66,0)</f>
        <v>1481239</v>
      </c>
      <c r="M25" s="66">
        <f>ROUND(data!Z67,0)</f>
        <v>0</v>
      </c>
      <c r="N25" s="222">
        <f>ROUND(data!Z68,0)</f>
        <v>0</v>
      </c>
      <c r="O25" s="222">
        <f>ROUND(data!Z69,0)</f>
        <v>107891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107891</v>
      </c>
      <c r="AD25" s="222">
        <f>ROUND(data!Z84,0)</f>
        <v>53926</v>
      </c>
      <c r="AE25" s="222">
        <f>ROUND(data!Z89,0)</f>
        <v>6950928</v>
      </c>
      <c r="AF25" s="222">
        <f>ROUND(data!Z87,0)</f>
        <v>6197643</v>
      </c>
      <c r="AG25" s="222">
        <f>IF(data!Z90&gt;0,ROUND(data!Z90,0),0)</f>
        <v>388</v>
      </c>
      <c r="AH25" s="222">
        <f>IF(data!Z91&gt;0,ROUND(data!Z91,0),0)</f>
        <v>0</v>
      </c>
      <c r="AI25" s="222">
        <f>IF(data!Z92&gt;0,ROUND(data!Z92,0),0)</f>
        <v>208</v>
      </c>
      <c r="AJ25" s="222">
        <f>IF(data!Z93&gt;0,ROUND(data!Z93,0),0)</f>
        <v>0</v>
      </c>
      <c r="AK25" s="212">
        <f>IF(data!Z94&gt;0,ROUND(data!Z94,2),0)</f>
        <v>2.61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014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3.93</v>
      </c>
      <c r="G26" s="222">
        <f>ROUND(data!AA61,0)</f>
        <v>502914</v>
      </c>
      <c r="H26" s="222">
        <f>ROUND(data!AA62,0)</f>
        <v>0</v>
      </c>
      <c r="I26" s="222">
        <f>ROUND(data!AA63,0)</f>
        <v>0</v>
      </c>
      <c r="J26" s="222">
        <f>ROUND(data!AA64,0)</f>
        <v>715538</v>
      </c>
      <c r="K26" s="222">
        <f>ROUND(data!AA65,0)</f>
        <v>0</v>
      </c>
      <c r="L26" s="222">
        <f>ROUND(data!AA66,0)</f>
        <v>10218</v>
      </c>
      <c r="M26" s="66">
        <f>ROUND(data!AA67,0)</f>
        <v>0</v>
      </c>
      <c r="N26" s="222">
        <f>ROUND(data!AA68,0)</f>
        <v>0</v>
      </c>
      <c r="O26" s="222">
        <f>ROUND(data!AA69,0)</f>
        <v>242775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242775</v>
      </c>
      <c r="AD26" s="222">
        <f>ROUND(data!AA84,0)</f>
        <v>0</v>
      </c>
      <c r="AE26" s="222">
        <f>ROUND(data!AA89,0)</f>
        <v>4932269</v>
      </c>
      <c r="AF26" s="222">
        <f>ROUND(data!AA87,0)</f>
        <v>1113215</v>
      </c>
      <c r="AG26" s="222">
        <f>IF(data!AA90&gt;0,ROUND(data!AA90,0),0)</f>
        <v>2220</v>
      </c>
      <c r="AH26" s="222">
        <f>IF(data!AA91&gt;0,ROUND(data!AA91,0),0)</f>
        <v>0</v>
      </c>
      <c r="AI26" s="222">
        <f>IF(data!AA92&gt;0,ROUND(data!AA92,0),0)</f>
        <v>6719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014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195.88</v>
      </c>
      <c r="G27" s="222">
        <f>ROUND(data!AB61,0)</f>
        <v>23061713</v>
      </c>
      <c r="H27" s="222">
        <f>ROUND(data!AB62,0)</f>
        <v>0</v>
      </c>
      <c r="I27" s="222">
        <f>ROUND(data!AB63,0)</f>
        <v>0</v>
      </c>
      <c r="J27" s="222">
        <f>ROUND(data!AB64,0)</f>
        <v>85054812</v>
      </c>
      <c r="K27" s="222">
        <f>ROUND(data!AB65,0)</f>
        <v>0</v>
      </c>
      <c r="L27" s="222">
        <f>ROUND(data!AB66,0)</f>
        <v>363153</v>
      </c>
      <c r="M27" s="66">
        <f>ROUND(data!AB67,0)</f>
        <v>0</v>
      </c>
      <c r="N27" s="222">
        <f>ROUND(data!AB68,0)</f>
        <v>0</v>
      </c>
      <c r="O27" s="222">
        <f>ROUND(data!AB69,0)</f>
        <v>335467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335467</v>
      </c>
      <c r="AD27" s="222">
        <f>ROUND(data!AB84,0)</f>
        <v>75778</v>
      </c>
      <c r="AE27" s="222">
        <f>ROUND(data!AB89,0)</f>
        <v>489407722</v>
      </c>
      <c r="AF27" s="222">
        <f>ROUND(data!AB87,0)</f>
        <v>261274966</v>
      </c>
      <c r="AG27" s="222">
        <f>IF(data!AB90&gt;0,ROUND(data!AB90,0),0)</f>
        <v>16736</v>
      </c>
      <c r="AH27" s="222">
        <f>IF(data!AB91&gt;0,ROUND(data!AB91,0),0)</f>
        <v>0</v>
      </c>
      <c r="AI27" s="222">
        <f>IF(data!AB92&gt;0,ROUND(data!AB92,0),0)</f>
        <v>7321</v>
      </c>
      <c r="AJ27" s="222">
        <f>IF(data!AB93&gt;0,ROUND(data!AB93,0),0)</f>
        <v>14237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014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122.75</v>
      </c>
      <c r="G28" s="222">
        <f>ROUND(data!AC61,0)</f>
        <v>11519213</v>
      </c>
      <c r="H28" s="222">
        <f>ROUND(data!AC62,0)</f>
        <v>0</v>
      </c>
      <c r="I28" s="222">
        <f>ROUND(data!AC63,0)</f>
        <v>0</v>
      </c>
      <c r="J28" s="222">
        <f>ROUND(data!AC64,0)</f>
        <v>3402534</v>
      </c>
      <c r="K28" s="222">
        <f>ROUND(data!AC65,0)</f>
        <v>0</v>
      </c>
      <c r="L28" s="222">
        <f>ROUND(data!AC66,0)</f>
        <v>5133564</v>
      </c>
      <c r="M28" s="66">
        <f>ROUND(data!AC67,0)</f>
        <v>0</v>
      </c>
      <c r="N28" s="222">
        <f>ROUND(data!AC68,0)</f>
        <v>58474</v>
      </c>
      <c r="O28" s="222">
        <f>ROUND(data!AC69,0)</f>
        <v>137010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137010</v>
      </c>
      <c r="AD28" s="222">
        <f>ROUND(data!AC84,0)</f>
        <v>25</v>
      </c>
      <c r="AE28" s="222">
        <f>ROUND(data!AC89,0)</f>
        <v>18324743</v>
      </c>
      <c r="AF28" s="222">
        <f>ROUND(data!AC87,0)</f>
        <v>17073529</v>
      </c>
      <c r="AG28" s="222">
        <f>IF(data!AC90&gt;0,ROUND(data!AC90,0),0)</f>
        <v>5081</v>
      </c>
      <c r="AH28" s="222">
        <f>IF(data!AC91&gt;0,ROUND(data!AC91,0),0)</f>
        <v>0</v>
      </c>
      <c r="AI28" s="222">
        <f>IF(data!AC92&gt;0,ROUND(data!AC92,0),0)</f>
        <v>34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014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30.91</v>
      </c>
      <c r="G29" s="222">
        <f>ROUND(data!AD61,0)</f>
        <v>3640189</v>
      </c>
      <c r="H29" s="222">
        <f>ROUND(data!AD62,0)</f>
        <v>0</v>
      </c>
      <c r="I29" s="222">
        <f>ROUND(data!AD63,0)</f>
        <v>0</v>
      </c>
      <c r="J29" s="222">
        <f>ROUND(data!AD64,0)</f>
        <v>1199827</v>
      </c>
      <c r="K29" s="222">
        <f>ROUND(data!AD65,0)</f>
        <v>0</v>
      </c>
      <c r="L29" s="222">
        <f>ROUND(data!AD66,0)</f>
        <v>669680</v>
      </c>
      <c r="M29" s="66">
        <f>ROUND(data!AD67,0)</f>
        <v>0</v>
      </c>
      <c r="N29" s="222">
        <f>ROUND(data!AD68,0)</f>
        <v>158</v>
      </c>
      <c r="O29" s="222">
        <f>ROUND(data!AD69,0)</f>
        <v>62430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62430</v>
      </c>
      <c r="AD29" s="222">
        <f>ROUND(data!AD84,0)</f>
        <v>0</v>
      </c>
      <c r="AE29" s="222">
        <f>ROUND(data!AD89,0)</f>
        <v>38190772</v>
      </c>
      <c r="AF29" s="222">
        <f>ROUND(data!AD87,0)</f>
        <v>17333810</v>
      </c>
      <c r="AG29" s="222">
        <f>IF(data!AD90&gt;0,ROUND(data!AD90,0),0)</f>
        <v>4837</v>
      </c>
      <c r="AH29" s="222">
        <f>IF(data!AD91&gt;0,ROUND(data!AD91,0),0)</f>
        <v>0</v>
      </c>
      <c r="AI29" s="222">
        <f>IF(data!AD92&gt;0,ROUND(data!AD92,0),0)</f>
        <v>573</v>
      </c>
      <c r="AJ29" s="222">
        <f>IF(data!AD93&gt;0,ROUND(data!AD93,0),0)</f>
        <v>0</v>
      </c>
      <c r="AK29" s="212">
        <f>IF(data!AD94&gt;0,ROUND(data!AD94,2),0)</f>
        <v>20.95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014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91.08</v>
      </c>
      <c r="G30" s="222">
        <f>ROUND(data!AE61,0)</f>
        <v>10128472</v>
      </c>
      <c r="H30" s="222">
        <f>ROUND(data!AE62,0)</f>
        <v>0</v>
      </c>
      <c r="I30" s="222">
        <f>ROUND(data!AE63,0)</f>
        <v>0</v>
      </c>
      <c r="J30" s="222">
        <f>ROUND(data!AE64,0)</f>
        <v>155705</v>
      </c>
      <c r="K30" s="222">
        <f>ROUND(data!AE65,0)</f>
        <v>258</v>
      </c>
      <c r="L30" s="222">
        <f>ROUND(data!AE66,0)</f>
        <v>1025807</v>
      </c>
      <c r="M30" s="66">
        <f>ROUND(data!AE67,0)</f>
        <v>0</v>
      </c>
      <c r="N30" s="222">
        <f>ROUND(data!AE68,0)</f>
        <v>0</v>
      </c>
      <c r="O30" s="222">
        <f>ROUND(data!AE69,0)</f>
        <v>77390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77390</v>
      </c>
      <c r="AD30" s="222">
        <f>ROUND(data!AE84,0)</f>
        <v>1815</v>
      </c>
      <c r="AE30" s="222">
        <f>ROUND(data!AE89,0)</f>
        <v>23031716</v>
      </c>
      <c r="AF30" s="222">
        <f>ROUND(data!AE87,0)</f>
        <v>6525048</v>
      </c>
      <c r="AG30" s="222">
        <f>IF(data!AE90&gt;0,ROUND(data!AE90,0),0)</f>
        <v>11297</v>
      </c>
      <c r="AH30" s="222">
        <f>IF(data!AE91&gt;0,ROUND(data!AE91,0),0)</f>
        <v>0</v>
      </c>
      <c r="AI30" s="222">
        <f>IF(data!AE92&gt;0,ROUND(data!AE92,0),0)</f>
        <v>2246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014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137.16</v>
      </c>
      <c r="G31" s="222">
        <f>ROUND(data!AF61,0)</f>
        <v>14627118</v>
      </c>
      <c r="H31" s="222">
        <f>ROUND(data!AF62,0)</f>
        <v>0</v>
      </c>
      <c r="I31" s="222">
        <f>ROUND(data!AF63,0)</f>
        <v>0</v>
      </c>
      <c r="J31" s="222">
        <f>ROUND(data!AF64,0)</f>
        <v>148246</v>
      </c>
      <c r="K31" s="222">
        <f>ROUND(data!AF65,0)</f>
        <v>22796</v>
      </c>
      <c r="L31" s="222">
        <f>ROUND(data!AF66,0)</f>
        <v>2224026</v>
      </c>
      <c r="M31" s="66">
        <f>ROUND(data!AF67,0)</f>
        <v>0</v>
      </c>
      <c r="N31" s="222">
        <f>ROUND(data!AF68,0)</f>
        <v>880857</v>
      </c>
      <c r="O31" s="222">
        <f>ROUND(data!AF69,0)</f>
        <v>783223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783223</v>
      </c>
      <c r="AD31" s="222">
        <f>ROUND(data!AF84,0)</f>
        <v>1374728</v>
      </c>
      <c r="AE31" s="222">
        <f>ROUND(data!AF89,0)</f>
        <v>11552298</v>
      </c>
      <c r="AF31" s="222">
        <f>ROUND(data!AF87,0)</f>
        <v>2015151</v>
      </c>
      <c r="AG31" s="222">
        <f>IF(data!AF90&gt;0,ROUND(data!AF90,0),0)</f>
        <v>10764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15.34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014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59</v>
      </c>
      <c r="F32" s="212">
        <f>ROUND(data!AG60,2)</f>
        <v>136.21</v>
      </c>
      <c r="G32" s="222">
        <f>ROUND(data!AG61,0)</f>
        <v>13095584</v>
      </c>
      <c r="H32" s="222">
        <f>ROUND(data!AG62,0)</f>
        <v>0</v>
      </c>
      <c r="I32" s="222">
        <f>ROUND(data!AG63,0)</f>
        <v>0</v>
      </c>
      <c r="J32" s="222">
        <f>ROUND(data!AG64,0)</f>
        <v>1838384</v>
      </c>
      <c r="K32" s="222">
        <f>ROUND(data!AG65,0)</f>
        <v>0</v>
      </c>
      <c r="L32" s="222">
        <f>ROUND(data!AG66,0)</f>
        <v>7404240</v>
      </c>
      <c r="M32" s="66">
        <f>ROUND(data!AG67,0)</f>
        <v>0</v>
      </c>
      <c r="N32" s="222">
        <f>ROUND(data!AG68,0)</f>
        <v>0</v>
      </c>
      <c r="O32" s="222">
        <f>ROUND(data!AG69,0)</f>
        <v>69515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69515</v>
      </c>
      <c r="AD32" s="222">
        <f>ROUND(data!AG84,0)</f>
        <v>354605</v>
      </c>
      <c r="AE32" s="222">
        <f>ROUND(data!AG89,0)</f>
        <v>130032454</v>
      </c>
      <c r="AF32" s="222">
        <f>ROUND(data!AG87,0)</f>
        <v>28002137</v>
      </c>
      <c r="AG32" s="222">
        <f>IF(data!AG90&gt;0,ROUND(data!AG90,0),0)</f>
        <v>33303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85116</v>
      </c>
      <c r="AK32" s="212">
        <f>IF(data!AG94&gt;0,ROUND(data!AG94,2),0)</f>
        <v>61.73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014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31.53</v>
      </c>
      <c r="G33" s="222">
        <f>ROUND(data!AH61,0)</f>
        <v>4455615</v>
      </c>
      <c r="H33" s="222">
        <f>ROUND(data!AH62,0)</f>
        <v>0</v>
      </c>
      <c r="I33" s="222">
        <f>ROUND(data!AH63,0)</f>
        <v>0</v>
      </c>
      <c r="J33" s="222">
        <f>ROUND(data!AH64,0)</f>
        <v>85655</v>
      </c>
      <c r="K33" s="222">
        <f>ROUND(data!AH65,0)</f>
        <v>0</v>
      </c>
      <c r="L33" s="222">
        <f>ROUND(data!AH66,0)</f>
        <v>628827</v>
      </c>
      <c r="M33" s="66">
        <f>ROUND(data!AH67,0)</f>
        <v>0</v>
      </c>
      <c r="N33" s="222">
        <f>ROUND(data!AH68,0)</f>
        <v>0</v>
      </c>
      <c r="O33" s="222">
        <f>ROUND(data!AH69,0)</f>
        <v>40484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40484</v>
      </c>
      <c r="AD33" s="222">
        <f>ROUND(data!AH84,0)</f>
        <v>389640</v>
      </c>
      <c r="AE33" s="222">
        <f>ROUND(data!AH89,0)</f>
        <v>1783058</v>
      </c>
      <c r="AF33" s="222">
        <f>ROUND(data!AH87,0)</f>
        <v>1075041</v>
      </c>
      <c r="AG33" s="222">
        <f>IF(data!AH90&gt;0,ROUND(data!AH90,0),0)</f>
        <v>213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19.47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014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504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014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1051.56</v>
      </c>
      <c r="G35" s="222">
        <f>ROUND(data!AJ61,0)</f>
        <v>113753150</v>
      </c>
      <c r="H35" s="222">
        <f>ROUND(data!AJ62,0)</f>
        <v>0</v>
      </c>
      <c r="I35" s="222">
        <f>ROUND(data!AJ63,0)</f>
        <v>0</v>
      </c>
      <c r="J35" s="222">
        <f>ROUND(data!AJ64,0)</f>
        <v>4730845</v>
      </c>
      <c r="K35" s="222">
        <f>ROUND(data!AJ65,0)</f>
        <v>123889</v>
      </c>
      <c r="L35" s="222">
        <f>ROUND(data!AJ66,0)</f>
        <v>10706577</v>
      </c>
      <c r="M35" s="66">
        <f>ROUND(data!AJ67,0)</f>
        <v>0</v>
      </c>
      <c r="N35" s="222">
        <f>ROUND(data!AJ68,0)</f>
        <v>1429624</v>
      </c>
      <c r="O35" s="222">
        <f>ROUND(data!AJ69,0)</f>
        <v>2237994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2237994</v>
      </c>
      <c r="AD35" s="222">
        <f>ROUND(data!AJ84,0)</f>
        <v>2875081</v>
      </c>
      <c r="AE35" s="222">
        <f>ROUND(data!AJ89,0)</f>
        <v>150506970</v>
      </c>
      <c r="AF35" s="222">
        <f>ROUND(data!AJ87,0)</f>
        <v>3742149</v>
      </c>
      <c r="AG35" s="222">
        <f>IF(data!AJ90&gt;0,ROUND(data!AJ90,0),0)</f>
        <v>189520</v>
      </c>
      <c r="AH35" s="222">
        <f>IF(data!AJ91&gt;0,ROUND(data!AJ91,0),0)</f>
        <v>0</v>
      </c>
      <c r="AI35" s="222">
        <f>IF(data!AJ92&gt;0,ROUND(data!AJ92,0),0)</f>
        <v>12436</v>
      </c>
      <c r="AJ35" s="222">
        <f>IF(data!AJ93&gt;0,ROUND(data!AJ93,0),0)</f>
        <v>102208</v>
      </c>
      <c r="AK35" s="212">
        <f>IF(data!AJ94&gt;0,ROUND(data!AJ94,2),0)</f>
        <v>355.84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014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27.11</v>
      </c>
      <c r="G36" s="222">
        <f>ROUND(data!AK61,0)</f>
        <v>2836677</v>
      </c>
      <c r="H36" s="222">
        <f>ROUND(data!AK62,0)</f>
        <v>0</v>
      </c>
      <c r="I36" s="222">
        <f>ROUND(data!AK63,0)</f>
        <v>0</v>
      </c>
      <c r="J36" s="222">
        <f>ROUND(data!AK64,0)</f>
        <v>108986</v>
      </c>
      <c r="K36" s="222">
        <f>ROUND(data!AK65,0)</f>
        <v>258</v>
      </c>
      <c r="L36" s="222">
        <f>ROUND(data!AK66,0)</f>
        <v>827</v>
      </c>
      <c r="M36" s="66">
        <f>ROUND(data!AK67,0)</f>
        <v>0</v>
      </c>
      <c r="N36" s="222">
        <f>ROUND(data!AK68,0)</f>
        <v>0</v>
      </c>
      <c r="O36" s="222">
        <f>ROUND(data!AK69,0)</f>
        <v>12463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12463</v>
      </c>
      <c r="AD36" s="222">
        <f>ROUND(data!AK84,0)</f>
        <v>0</v>
      </c>
      <c r="AE36" s="222">
        <f>ROUND(data!AK89,0)</f>
        <v>10007157</v>
      </c>
      <c r="AF36" s="222">
        <f>ROUND(data!AK87,0)</f>
        <v>6830975</v>
      </c>
      <c r="AG36" s="222">
        <f>IF(data!AK90&gt;0,ROUND(data!AK90,0),0)</f>
        <v>3745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014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250992</v>
      </c>
      <c r="F37" s="212">
        <f>ROUND(data!AL60,2)</f>
        <v>19.16</v>
      </c>
      <c r="G37" s="222">
        <f>ROUND(data!AL61,0)</f>
        <v>2081046</v>
      </c>
      <c r="H37" s="222">
        <f>ROUND(data!AL62,0)</f>
        <v>0</v>
      </c>
      <c r="I37" s="222">
        <f>ROUND(data!AL63,0)</f>
        <v>0</v>
      </c>
      <c r="J37" s="222">
        <f>ROUND(data!AL64,0)</f>
        <v>44394</v>
      </c>
      <c r="K37" s="222">
        <f>ROUND(data!AL65,0)</f>
        <v>258</v>
      </c>
      <c r="L37" s="222">
        <f>ROUND(data!AL66,0)</f>
        <v>56872</v>
      </c>
      <c r="M37" s="66">
        <f>ROUND(data!AL67,0)</f>
        <v>0</v>
      </c>
      <c r="N37" s="222">
        <f>ROUND(data!AL68,0)</f>
        <v>0</v>
      </c>
      <c r="O37" s="222">
        <f>ROUND(data!AL69,0)</f>
        <v>11419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11419</v>
      </c>
      <c r="AD37" s="222">
        <f>ROUND(data!AL84,0)</f>
        <v>0</v>
      </c>
      <c r="AE37" s="222">
        <f>ROUND(data!AL89,0)</f>
        <v>8318302</v>
      </c>
      <c r="AF37" s="222">
        <f>ROUND(data!AL87,0)</f>
        <v>3092266</v>
      </c>
      <c r="AG37" s="222">
        <f>IF(data!AL90&gt;0,ROUND(data!AL90,0),0)</f>
        <v>2802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014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29.18</v>
      </c>
      <c r="G38" s="222">
        <f>ROUND(data!AM61,0)</f>
        <v>2182905</v>
      </c>
      <c r="H38" s="222">
        <f>ROUND(data!AM62,0)</f>
        <v>0</v>
      </c>
      <c r="I38" s="222">
        <f>ROUND(data!AM63,0)</f>
        <v>0</v>
      </c>
      <c r="J38" s="222">
        <f>ROUND(data!AM64,0)</f>
        <v>5463</v>
      </c>
      <c r="K38" s="222">
        <f>ROUND(data!AM65,0)</f>
        <v>0</v>
      </c>
      <c r="L38" s="222">
        <f>ROUND(data!AM66,0)</f>
        <v>806</v>
      </c>
      <c r="M38" s="66">
        <f>ROUND(data!AM67,0)</f>
        <v>0</v>
      </c>
      <c r="N38" s="222">
        <f>ROUND(data!AM68,0)</f>
        <v>0</v>
      </c>
      <c r="O38" s="222">
        <f>ROUND(data!AM69,0)</f>
        <v>3589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3589</v>
      </c>
      <c r="AD38" s="222">
        <f>ROUND(data!AM84,0)</f>
        <v>2515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6698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014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014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014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014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014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64.17</v>
      </c>
      <c r="G43" s="222">
        <f>ROUND(data!AR61,0)</f>
        <v>6059273</v>
      </c>
      <c r="H43" s="222">
        <f>ROUND(data!AR62,0)</f>
        <v>0</v>
      </c>
      <c r="I43" s="222">
        <f>ROUND(data!AR63,0)</f>
        <v>0</v>
      </c>
      <c r="J43" s="222">
        <f>ROUND(data!AR64,0)</f>
        <v>9904911</v>
      </c>
      <c r="K43" s="222">
        <f>ROUND(data!AR65,0)</f>
        <v>46884</v>
      </c>
      <c r="L43" s="222">
        <f>ROUND(data!AR66,0)</f>
        <v>884579</v>
      </c>
      <c r="M43" s="66">
        <f>ROUND(data!AR67,0)</f>
        <v>0</v>
      </c>
      <c r="N43" s="222">
        <f>ROUND(data!AR68,0)</f>
        <v>1094969</v>
      </c>
      <c r="O43" s="222">
        <f>ROUND(data!AR69,0)</f>
        <v>301231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301231</v>
      </c>
      <c r="AD43" s="222">
        <f>ROUND(data!AR84,0)</f>
        <v>0</v>
      </c>
      <c r="AE43" s="222">
        <f>ROUND(data!AR89,0)</f>
        <v>75773672</v>
      </c>
      <c r="AF43" s="222">
        <f>ROUND(data!AR87,0)</f>
        <v>827991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5.71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014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014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2.2799999999999998</v>
      </c>
      <c r="G45" s="222">
        <f>ROUND(data!AT61,0)</f>
        <v>380927</v>
      </c>
      <c r="H45" s="222">
        <f>ROUND(data!AT62,0)</f>
        <v>0</v>
      </c>
      <c r="I45" s="222">
        <f>ROUND(data!AT63,0)</f>
        <v>0</v>
      </c>
      <c r="J45" s="222">
        <f>ROUND(data!AT64,0)</f>
        <v>10657</v>
      </c>
      <c r="K45" s="222">
        <f>ROUND(data!AT65,0)</f>
        <v>0</v>
      </c>
      <c r="L45" s="222">
        <f>ROUND(data!AT66,0)</f>
        <v>3445598</v>
      </c>
      <c r="M45" s="66">
        <f>ROUND(data!AT67,0)</f>
        <v>0</v>
      </c>
      <c r="N45" s="222">
        <f>ROUND(data!AT68,0)</f>
        <v>0</v>
      </c>
      <c r="O45" s="222">
        <f>ROUND(data!AT69,0)</f>
        <v>22534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22534</v>
      </c>
      <c r="AD45" s="222">
        <f>ROUND(data!AT84,0)</f>
        <v>201</v>
      </c>
      <c r="AE45" s="222">
        <f>ROUND(data!AT89,0)</f>
        <v>7290500</v>
      </c>
      <c r="AF45" s="222">
        <f>ROUND(data!AT87,0)</f>
        <v>7290500</v>
      </c>
      <c r="AG45" s="222">
        <f>IF(data!AT90&gt;0,ROUND(data!AT90,0),0)</f>
        <v>99</v>
      </c>
      <c r="AH45" s="222">
        <f>IF(data!AT91&gt;0,ROUND(data!AT91,0),0)</f>
        <v>0</v>
      </c>
      <c r="AI45" s="222">
        <f>IF(data!AT92&gt;0,ROUND(data!AT92,0),0)</f>
        <v>987</v>
      </c>
      <c r="AJ45" s="222">
        <f>IF(data!AT93&gt;0,ROUND(data!AT93,0),0)</f>
        <v>0</v>
      </c>
      <c r="AK45" s="212">
        <f>IF(data!AT94&gt;0,ROUND(data!AT94,2),0)</f>
        <v>1.97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014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014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55.32</v>
      </c>
      <c r="G47" s="222">
        <f>ROUND(data!AV61,0)</f>
        <v>5100902</v>
      </c>
      <c r="H47" s="222">
        <f>ROUND(data!AV62,0)</f>
        <v>0</v>
      </c>
      <c r="I47" s="222">
        <f>ROUND(data!AV63,0)</f>
        <v>0</v>
      </c>
      <c r="J47" s="222">
        <f>ROUND(data!AV64,0)</f>
        <v>1022973</v>
      </c>
      <c r="K47" s="222">
        <f>ROUND(data!AV65,0)</f>
        <v>0</v>
      </c>
      <c r="L47" s="222">
        <f>ROUND(data!AV66,0)</f>
        <v>398755</v>
      </c>
      <c r="M47" s="66">
        <f>ROUND(data!AV67,0)</f>
        <v>0</v>
      </c>
      <c r="N47" s="222">
        <f>ROUND(data!AV68,0)</f>
        <v>0</v>
      </c>
      <c r="O47" s="222">
        <f>ROUND(data!AV69,0)</f>
        <v>192260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192260</v>
      </c>
      <c r="AD47" s="222">
        <f>ROUND(data!AV84,0)</f>
        <v>1814265</v>
      </c>
      <c r="AE47" s="222">
        <f>ROUND(data!AV89,0)</f>
        <v>14482565</v>
      </c>
      <c r="AF47" s="222">
        <f>ROUND(data!AV87,0)</f>
        <v>14375514</v>
      </c>
      <c r="AG47" s="222">
        <f>IF(data!AV90&gt;0,ROUND(data!AV90,0),0)</f>
        <v>671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7.99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014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1233.1500000000001</v>
      </c>
      <c r="G48" s="222">
        <f>ROUND(data!AW61,0)</f>
        <v>107782420</v>
      </c>
      <c r="H48" s="222">
        <f>ROUND(data!AW62,0)</f>
        <v>0</v>
      </c>
      <c r="I48" s="222">
        <f>ROUND(data!AW63,0)</f>
        <v>0</v>
      </c>
      <c r="J48" s="222">
        <f>ROUND(data!AW64,0)</f>
        <v>23612690</v>
      </c>
      <c r="K48" s="222">
        <f>ROUND(data!AW65,0)</f>
        <v>3278664</v>
      </c>
      <c r="L48" s="222">
        <f>ROUND(data!AW66,0)</f>
        <v>217889482</v>
      </c>
      <c r="M48" s="66">
        <f>ROUND(data!AW67,0)</f>
        <v>0</v>
      </c>
      <c r="N48" s="222">
        <f>ROUND(data!AW68,0)</f>
        <v>8421019</v>
      </c>
      <c r="O48" s="222">
        <f>ROUND(data!AW69,0)</f>
        <v>40428246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40428246</v>
      </c>
      <c r="AD48" s="222">
        <f>ROUND(data!AW84,0)</f>
        <v>279425678</v>
      </c>
      <c r="AE48" s="222"/>
      <c r="AF48" s="222"/>
      <c r="AG48" s="222">
        <f>IF(data!AW90&gt;0,ROUND(data!AW90,0),0)</f>
        <v>5530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014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971606</v>
      </c>
      <c r="K49" s="222">
        <f>ROUND(data!AX65,0)</f>
        <v>0</v>
      </c>
      <c r="L49" s="222">
        <f>ROUND(data!AX66,0)</f>
        <v>452233</v>
      </c>
      <c r="M49" s="66">
        <f>ROUND(data!AX67,0)</f>
        <v>0</v>
      </c>
      <c r="N49" s="222">
        <f>ROUND(data!AX68,0)</f>
        <v>140652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014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986903</v>
      </c>
      <c r="F50" s="212">
        <f>ROUND(data!AY60,2)</f>
        <v>178.56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3846830</v>
      </c>
      <c r="K50" s="222">
        <f>ROUND(data!AY65,0)</f>
        <v>0</v>
      </c>
      <c r="L50" s="222">
        <f>ROUND(data!AY66,0)</f>
        <v>164481</v>
      </c>
      <c r="M50" s="66">
        <f>ROUND(data!AY67,0)</f>
        <v>0</v>
      </c>
      <c r="N50" s="222">
        <f>ROUND(data!AY68,0)</f>
        <v>0</v>
      </c>
      <c r="O50" s="222">
        <f>ROUND(data!AY69,0)</f>
        <v>181167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181167</v>
      </c>
      <c r="AD50" s="222">
        <f>ROUND(data!AY84,0)</f>
        <v>3875603</v>
      </c>
      <c r="AE50" s="222"/>
      <c r="AF50" s="222"/>
      <c r="AG50" s="222">
        <f>IF(data!AY90&gt;0,ROUND(data!AY90,0),0)</f>
        <v>34829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014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2.0499999999999998</v>
      </c>
      <c r="G51" s="222">
        <f>ROUND(data!AZ61,0)</f>
        <v>109036</v>
      </c>
      <c r="H51" s="222">
        <f>ROUND(data!AZ62,0)</f>
        <v>0</v>
      </c>
      <c r="I51" s="222">
        <f>ROUND(data!AZ63,0)</f>
        <v>0</v>
      </c>
      <c r="J51" s="222">
        <f>ROUND(data!AZ64,0)</f>
        <v>97139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5620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5620</v>
      </c>
      <c r="AD51" s="222">
        <f>ROUND(data!AZ84,0)</f>
        <v>211030</v>
      </c>
      <c r="AE51" s="222"/>
      <c r="AF51" s="222"/>
      <c r="AG51" s="222">
        <f>IF(data!AZ90&gt;0,ROUND(data!AZ90,0),0)</f>
        <v>7974</v>
      </c>
      <c r="AH51" s="222">
        <f>IFERROR(IF(data!AZ$91&gt;0,ROUND(data!AZ$91,0),0),0)</f>
        <v>1092269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014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5.31</v>
      </c>
      <c r="G52" s="222">
        <f>ROUND(data!BA61,0)</f>
        <v>275597</v>
      </c>
      <c r="H52" s="222">
        <f>ROUND(data!BA62,0)</f>
        <v>0</v>
      </c>
      <c r="I52" s="222">
        <f>ROUND(data!BA63,0)</f>
        <v>0</v>
      </c>
      <c r="J52" s="222">
        <f>ROUND(data!BA64,0)</f>
        <v>20491</v>
      </c>
      <c r="K52" s="222">
        <f>ROUND(data!BA65,0)</f>
        <v>0</v>
      </c>
      <c r="L52" s="222">
        <f>ROUND(data!BA66,0)</f>
        <v>3505380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014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145.44</v>
      </c>
      <c r="G53" s="222">
        <f>ROUND(data!BB61,0)</f>
        <v>13501740</v>
      </c>
      <c r="H53" s="222">
        <f>ROUND(data!BB62,0)</f>
        <v>0</v>
      </c>
      <c r="I53" s="222">
        <f>ROUND(data!BB63,0)</f>
        <v>0</v>
      </c>
      <c r="J53" s="222">
        <f>ROUND(data!BB64,0)</f>
        <v>259054</v>
      </c>
      <c r="K53" s="222">
        <f>ROUND(data!BB65,0)</f>
        <v>0</v>
      </c>
      <c r="L53" s="222">
        <f>ROUND(data!BB66,0)</f>
        <v>5255907</v>
      </c>
      <c r="M53" s="66">
        <f>ROUND(data!BB67,0)</f>
        <v>0</v>
      </c>
      <c r="N53" s="222">
        <f>ROUND(data!BB68,0)</f>
        <v>0</v>
      </c>
      <c r="O53" s="222">
        <f>ROUND(data!BB69,0)</f>
        <v>375606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375606</v>
      </c>
      <c r="AD53" s="222">
        <f>ROUND(data!BB84,0)</f>
        <v>-12233</v>
      </c>
      <c r="AE53" s="222"/>
      <c r="AF53" s="222"/>
      <c r="AG53" s="222">
        <f>IF(data!BB90&gt;0,ROUND(data!BB90,0),0)</f>
        <v>13182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014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5.75</v>
      </c>
      <c r="G54" s="222">
        <f>ROUND(data!BC61,0)</f>
        <v>292401</v>
      </c>
      <c r="H54" s="222">
        <f>ROUND(data!BC62,0)</f>
        <v>0</v>
      </c>
      <c r="I54" s="222">
        <f>ROUND(data!BC63,0)</f>
        <v>0</v>
      </c>
      <c r="J54" s="222">
        <f>ROUND(data!BC64,0)</f>
        <v>21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014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31.4</v>
      </c>
      <c r="G55" s="222">
        <f>ROUND(data!BD61,0)</f>
        <v>2714108</v>
      </c>
      <c r="H55" s="222">
        <f>ROUND(data!BD62,0)</f>
        <v>0</v>
      </c>
      <c r="I55" s="222">
        <f>ROUND(data!BD63,0)</f>
        <v>0</v>
      </c>
      <c r="J55" s="222">
        <f>ROUND(data!BD64,0)</f>
        <v>445725</v>
      </c>
      <c r="K55" s="222">
        <f>ROUND(data!BD65,0)</f>
        <v>0</v>
      </c>
      <c r="L55" s="222">
        <f>ROUND(data!BD66,0)</f>
        <v>407819</v>
      </c>
      <c r="M55" s="66">
        <f>ROUND(data!BD67,0)</f>
        <v>0</v>
      </c>
      <c r="N55" s="222">
        <f>ROUND(data!BD68,0)</f>
        <v>709</v>
      </c>
      <c r="O55" s="222">
        <f>ROUND(data!BD69,0)</f>
        <v>133564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133564</v>
      </c>
      <c r="AD55" s="222">
        <f>ROUND(data!BD84,0)</f>
        <v>0</v>
      </c>
      <c r="AE55" s="222"/>
      <c r="AF55" s="222"/>
      <c r="AG55" s="222">
        <f>IF(data!BD90&gt;0,ROUND(data!BD90,0),0)</f>
        <v>6035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014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2116017</v>
      </c>
      <c r="F56" s="212">
        <f>ROUND(data!BE60,2)</f>
        <v>253.57</v>
      </c>
      <c r="G56" s="222">
        <f>ROUND(data!BE61,0)</f>
        <v>21058788</v>
      </c>
      <c r="H56" s="222">
        <f>ROUND(data!BE62,0)</f>
        <v>0</v>
      </c>
      <c r="I56" s="222">
        <f>ROUND(data!BE63,0)</f>
        <v>0</v>
      </c>
      <c r="J56" s="222">
        <f>ROUND(data!BE64,0)</f>
        <v>1327561</v>
      </c>
      <c r="K56" s="222">
        <f>ROUND(data!BE65,0)</f>
        <v>8283103</v>
      </c>
      <c r="L56" s="222">
        <f>ROUND(data!BE66,0)</f>
        <v>8739212</v>
      </c>
      <c r="M56" s="66">
        <f>ROUND(data!BE67,0)</f>
        <v>0</v>
      </c>
      <c r="N56" s="222">
        <f>ROUND(data!BE68,0)</f>
        <v>232525</v>
      </c>
      <c r="O56" s="222">
        <f>ROUND(data!BE69,0)</f>
        <v>13309716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13309716</v>
      </c>
      <c r="AD56" s="222">
        <f>ROUND(data!BE84,0)</f>
        <v>-87693</v>
      </c>
      <c r="AE56" s="222"/>
      <c r="AF56" s="222"/>
      <c r="AG56" s="222">
        <f>IF(data!BE90&gt;0,ROUND(data!BE90,0),0)</f>
        <v>151600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014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171.48</v>
      </c>
      <c r="G57" s="222">
        <f>ROUND(data!BF61,0)</f>
        <v>10108729</v>
      </c>
      <c r="H57" s="222">
        <f>ROUND(data!BF62,0)</f>
        <v>0</v>
      </c>
      <c r="I57" s="222">
        <f>ROUND(data!BF63,0)</f>
        <v>0</v>
      </c>
      <c r="J57" s="222">
        <f>ROUND(data!BF64,0)</f>
        <v>1266858</v>
      </c>
      <c r="K57" s="222">
        <f>ROUND(data!BF65,0)</f>
        <v>1543511</v>
      </c>
      <c r="L57" s="222">
        <f>ROUND(data!BF66,0)</f>
        <v>799126</v>
      </c>
      <c r="M57" s="66">
        <f>ROUND(data!BF67,0)</f>
        <v>0</v>
      </c>
      <c r="N57" s="222">
        <f>ROUND(data!BF68,0)</f>
        <v>410</v>
      </c>
      <c r="O57" s="222">
        <f>ROUND(data!BF69,0)</f>
        <v>49332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49332</v>
      </c>
      <c r="AD57" s="222">
        <f>ROUND(data!BF84,0)</f>
        <v>0</v>
      </c>
      <c r="AE57" s="222"/>
      <c r="AF57" s="222"/>
      <c r="AG57" s="222">
        <f>IF(data!BF90&gt;0,ROUND(data!BF90,0),0)</f>
        <v>6369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014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23.97</v>
      </c>
      <c r="G58" s="222">
        <f>ROUND(data!BG61,0)</f>
        <v>2202585</v>
      </c>
      <c r="H58" s="222">
        <f>ROUND(data!BG62,0)</f>
        <v>0</v>
      </c>
      <c r="I58" s="222">
        <f>ROUND(data!BG63,0)</f>
        <v>0</v>
      </c>
      <c r="J58" s="222">
        <f>ROUND(data!BG64,0)</f>
        <v>-3139</v>
      </c>
      <c r="K58" s="222">
        <f>ROUND(data!BG65,0)</f>
        <v>1315337</v>
      </c>
      <c r="L58" s="222">
        <f>ROUND(data!BG66,0)</f>
        <v>2370913</v>
      </c>
      <c r="M58" s="66">
        <f>ROUND(data!BG67,0)</f>
        <v>0</v>
      </c>
      <c r="N58" s="222">
        <f>ROUND(data!BG68,0)</f>
        <v>636</v>
      </c>
      <c r="O58" s="222">
        <f>ROUND(data!BG69,0)</f>
        <v>260600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260600</v>
      </c>
      <c r="AD58" s="222">
        <f>ROUND(data!BG84,0)</f>
        <v>0</v>
      </c>
      <c r="AE58" s="222"/>
      <c r="AF58" s="222"/>
      <c r="AG58" s="222">
        <f>IF(data!BG90&gt;0,ROUND(data!BG90,0),0)</f>
        <v>1369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014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291.3</v>
      </c>
      <c r="G59" s="222">
        <f>ROUND(data!BH61,0)</f>
        <v>37402016</v>
      </c>
      <c r="H59" s="222">
        <f>ROUND(data!BH62,0)</f>
        <v>0</v>
      </c>
      <c r="I59" s="222">
        <f>ROUND(data!BH63,0)</f>
        <v>0</v>
      </c>
      <c r="J59" s="222">
        <f>ROUND(data!BH64,0)</f>
        <v>562018</v>
      </c>
      <c r="K59" s="222">
        <f>ROUND(data!BH65,0)</f>
        <v>1835847</v>
      </c>
      <c r="L59" s="222">
        <f>ROUND(data!BH66,0)</f>
        <v>45737956</v>
      </c>
      <c r="M59" s="66">
        <f>ROUND(data!BH67,0)</f>
        <v>0</v>
      </c>
      <c r="N59" s="222">
        <f>ROUND(data!BH68,0)</f>
        <v>895952</v>
      </c>
      <c r="O59" s="222">
        <f>ROUND(data!BH69,0)</f>
        <v>4783313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4783313</v>
      </c>
      <c r="AD59" s="222">
        <f>ROUND(data!BH84,0)</f>
        <v>0</v>
      </c>
      <c r="AE59" s="222"/>
      <c r="AF59" s="222"/>
      <c r="AG59" s="222">
        <f>IF(data!BH90&gt;0,ROUND(data!BH90,0),0)</f>
        <v>49237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014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39.29</v>
      </c>
      <c r="G60" s="222">
        <f>ROUND(data!BI61,0)</f>
        <v>3802962</v>
      </c>
      <c r="H60" s="222">
        <f>ROUND(data!BI62,0)</f>
        <v>0</v>
      </c>
      <c r="I60" s="222">
        <f>ROUND(data!BI63,0)</f>
        <v>0</v>
      </c>
      <c r="J60" s="222">
        <f>ROUND(data!BI64,0)</f>
        <v>273606</v>
      </c>
      <c r="K60" s="222">
        <f>ROUND(data!BI65,0)</f>
        <v>230888</v>
      </c>
      <c r="L60" s="222">
        <f>ROUND(data!BI66,0)</f>
        <v>3497684</v>
      </c>
      <c r="M60" s="66">
        <f>ROUND(data!BI67,0)</f>
        <v>0</v>
      </c>
      <c r="N60" s="222">
        <f>ROUND(data!BI68,0)</f>
        <v>1743213</v>
      </c>
      <c r="O60" s="222">
        <f>ROUND(data!BI69,0)</f>
        <v>18763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18763</v>
      </c>
      <c r="AD60" s="222">
        <f>ROUND(data!BI84,0)</f>
        <v>1006885</v>
      </c>
      <c r="AE60" s="222"/>
      <c r="AF60" s="222"/>
      <c r="AG60" s="222">
        <f>IF(data!BI90&gt;0,ROUND(data!BI90,0),0)</f>
        <v>1157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8415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014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51.62</v>
      </c>
      <c r="G61" s="222">
        <f>ROUND(data!BJ61,0)</f>
        <v>5961829</v>
      </c>
      <c r="H61" s="222">
        <f>ROUND(data!BJ62,0)</f>
        <v>0</v>
      </c>
      <c r="I61" s="222">
        <f>ROUND(data!BJ63,0)</f>
        <v>0</v>
      </c>
      <c r="J61" s="222">
        <f>ROUND(data!BJ64,0)</f>
        <v>27573</v>
      </c>
      <c r="K61" s="222">
        <f>ROUND(data!BJ65,0)</f>
        <v>0</v>
      </c>
      <c r="L61" s="222">
        <f>ROUND(data!BJ66,0)</f>
        <v>3071576</v>
      </c>
      <c r="M61" s="66">
        <f>ROUND(data!BJ67,0)</f>
        <v>0</v>
      </c>
      <c r="N61" s="222">
        <f>ROUND(data!BJ68,0)</f>
        <v>0</v>
      </c>
      <c r="O61" s="222">
        <f>ROUND(data!BJ69,0)</f>
        <v>-531917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-531917</v>
      </c>
      <c r="AD61" s="222">
        <f>ROUND(data!BJ84,0)</f>
        <v>0</v>
      </c>
      <c r="AE61" s="222"/>
      <c r="AF61" s="222"/>
      <c r="AG61" s="222">
        <f>IF(data!BJ90&gt;0,ROUND(data!BJ90,0),0)</f>
        <v>221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014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208.29</v>
      </c>
      <c r="G62" s="222">
        <f>ROUND(data!BK61,0)</f>
        <v>16571172</v>
      </c>
      <c r="H62" s="222">
        <f>ROUND(data!BK62,0)</f>
        <v>0</v>
      </c>
      <c r="I62" s="222">
        <f>ROUND(data!BK63,0)</f>
        <v>0</v>
      </c>
      <c r="J62" s="222">
        <f>ROUND(data!BK64,0)</f>
        <v>131337</v>
      </c>
      <c r="K62" s="222">
        <f>ROUND(data!BK65,0)</f>
        <v>0</v>
      </c>
      <c r="L62" s="222">
        <f>ROUND(data!BK66,0)</f>
        <v>1763553</v>
      </c>
      <c r="M62" s="66">
        <f>ROUND(data!BK67,0)</f>
        <v>0</v>
      </c>
      <c r="N62" s="222">
        <f>ROUND(data!BK68,0)</f>
        <v>0</v>
      </c>
      <c r="O62" s="222">
        <f>ROUND(data!BK69,0)</f>
        <v>1054188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1054188</v>
      </c>
      <c r="AD62" s="222">
        <f>ROUND(data!BK84,0)</f>
        <v>8016732</v>
      </c>
      <c r="AE62" s="222"/>
      <c r="AF62" s="222"/>
      <c r="AG62" s="222">
        <f>IF(data!BK90&gt;0,ROUND(data!BK90,0),0)</f>
        <v>385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014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114.22</v>
      </c>
      <c r="G63" s="222">
        <f>ROUND(data!BL61,0)</f>
        <v>7057150</v>
      </c>
      <c r="H63" s="222">
        <f>ROUND(data!BL62,0)</f>
        <v>0</v>
      </c>
      <c r="I63" s="222">
        <f>ROUND(data!BL63,0)</f>
        <v>0</v>
      </c>
      <c r="J63" s="222">
        <f>ROUND(data!BL64,0)</f>
        <v>28782</v>
      </c>
      <c r="K63" s="222">
        <f>ROUND(data!BL65,0)</f>
        <v>0</v>
      </c>
      <c r="L63" s="222">
        <f>ROUND(data!BL66,0)</f>
        <v>36401</v>
      </c>
      <c r="M63" s="66">
        <f>ROUND(data!BL67,0)</f>
        <v>0</v>
      </c>
      <c r="N63" s="222">
        <f>ROUND(data!BL68,0)</f>
        <v>0</v>
      </c>
      <c r="O63" s="222">
        <f>ROUND(data!BL69,0)</f>
        <v>390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390</v>
      </c>
      <c r="AD63" s="222">
        <f>ROUND(data!BL84,0)</f>
        <v>0</v>
      </c>
      <c r="AE63" s="222"/>
      <c r="AF63" s="222"/>
      <c r="AG63" s="222">
        <f>IF(data!BL90&gt;0,ROUND(data!BL90,0),0)</f>
        <v>1133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014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014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88.42</v>
      </c>
      <c r="G65" s="222">
        <f>ROUND(data!BN61,0)</f>
        <v>19558250</v>
      </c>
      <c r="H65" s="222">
        <f>ROUND(data!BN62,0)</f>
        <v>0</v>
      </c>
      <c r="I65" s="222">
        <f>ROUND(data!BN63,0)</f>
        <v>0</v>
      </c>
      <c r="J65" s="222">
        <f>ROUND(data!BN64,0)</f>
        <v>126870</v>
      </c>
      <c r="K65" s="222">
        <f>ROUND(data!BN65,0)</f>
        <v>0</v>
      </c>
      <c r="L65" s="222">
        <f>ROUND(data!BN66,0)</f>
        <v>10321613</v>
      </c>
      <c r="M65" s="66">
        <f>ROUND(data!BN67,0)</f>
        <v>0</v>
      </c>
      <c r="N65" s="222">
        <f>ROUND(data!BN68,0)</f>
        <v>0</v>
      </c>
      <c r="O65" s="222">
        <f>ROUND(data!BN69,0)</f>
        <v>3594087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3594087</v>
      </c>
      <c r="AD65" s="222">
        <f>ROUND(data!BN84,0)</f>
        <v>5746424</v>
      </c>
      <c r="AE65" s="222"/>
      <c r="AF65" s="222"/>
      <c r="AG65" s="222">
        <f>IF(data!BN90&gt;0,ROUND(data!BN90,0),0)</f>
        <v>54950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014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16.510000000000002</v>
      </c>
      <c r="G66" s="222">
        <f>ROUND(data!BO61,0)</f>
        <v>1621362</v>
      </c>
      <c r="H66" s="222">
        <f>ROUND(data!BO62,0)</f>
        <v>0</v>
      </c>
      <c r="I66" s="222">
        <f>ROUND(data!BO63,0)</f>
        <v>0</v>
      </c>
      <c r="J66" s="222">
        <f>ROUND(data!BO64,0)</f>
        <v>362625</v>
      </c>
      <c r="K66" s="222">
        <f>ROUND(data!BO65,0)</f>
        <v>0</v>
      </c>
      <c r="L66" s="222">
        <f>ROUND(data!BO66,0)</f>
        <v>100486</v>
      </c>
      <c r="M66" s="66">
        <f>ROUND(data!BO67,0)</f>
        <v>0</v>
      </c>
      <c r="N66" s="222">
        <f>ROUND(data!BO68,0)</f>
        <v>0</v>
      </c>
      <c r="O66" s="222">
        <f>ROUND(data!BO69,0)</f>
        <v>36137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36137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014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44.04</v>
      </c>
      <c r="G67" s="222">
        <f>ROUND(data!BP61,0)</f>
        <v>4642452</v>
      </c>
      <c r="H67" s="222">
        <f>ROUND(data!BP62,0)</f>
        <v>0</v>
      </c>
      <c r="I67" s="222">
        <f>ROUND(data!BP63,0)</f>
        <v>0</v>
      </c>
      <c r="J67" s="222">
        <f>ROUND(data!BP64,0)</f>
        <v>97958</v>
      </c>
      <c r="K67" s="222">
        <f>ROUND(data!BP65,0)</f>
        <v>0</v>
      </c>
      <c r="L67" s="222">
        <f>ROUND(data!BP66,0)</f>
        <v>5594261</v>
      </c>
      <c r="M67" s="66">
        <f>ROUND(data!BP67,0)</f>
        <v>0</v>
      </c>
      <c r="N67" s="222">
        <f>ROUND(data!BP68,0)</f>
        <v>0</v>
      </c>
      <c r="O67" s="222">
        <f>ROUND(data!BP69,0)</f>
        <v>884387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884387</v>
      </c>
      <c r="AD67" s="222">
        <f>ROUND(data!BP84,0)</f>
        <v>38590</v>
      </c>
      <c r="AE67" s="222"/>
      <c r="AF67" s="222"/>
      <c r="AG67" s="222">
        <f>IF(data!BP90&gt;0,ROUND(data!BP90,0),0)</f>
        <v>7988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014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49.67</v>
      </c>
      <c r="G68" s="222">
        <f>ROUND(data!BQ61,0)</f>
        <v>6386916</v>
      </c>
      <c r="H68" s="222">
        <f>ROUND(data!BQ62,0)</f>
        <v>0</v>
      </c>
      <c r="I68" s="222">
        <f>ROUND(data!BQ63,0)</f>
        <v>0</v>
      </c>
      <c r="J68" s="222">
        <f>ROUND(data!BQ64,0)</f>
        <v>8348</v>
      </c>
      <c r="K68" s="222">
        <f>ROUND(data!BQ65,0)</f>
        <v>0</v>
      </c>
      <c r="L68" s="222">
        <f>ROUND(data!BQ66,0)</f>
        <v>4059752</v>
      </c>
      <c r="M68" s="66">
        <f>ROUND(data!BQ67,0)</f>
        <v>0</v>
      </c>
      <c r="N68" s="222">
        <f>ROUND(data!BQ68,0)</f>
        <v>0</v>
      </c>
      <c r="O68" s="222">
        <f>ROUND(data!BQ69,0)</f>
        <v>22743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22743</v>
      </c>
      <c r="AD68" s="222">
        <f>ROUND(data!BQ84,0)</f>
        <v>5045</v>
      </c>
      <c r="AE68" s="222"/>
      <c r="AF68" s="222"/>
      <c r="AG68" s="222">
        <f>IF(data!BQ90&gt;0,ROUND(data!BQ90,0),0)</f>
        <v>3427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014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105.08</v>
      </c>
      <c r="G69" s="222">
        <f>ROUND(data!BR61,0)</f>
        <v>13064390</v>
      </c>
      <c r="H69" s="222">
        <f>ROUND(data!BR62,0)</f>
        <v>0</v>
      </c>
      <c r="I69" s="222">
        <f>ROUND(data!BR63,0)</f>
        <v>0</v>
      </c>
      <c r="J69" s="222">
        <f>ROUND(data!BR64,0)</f>
        <v>131200</v>
      </c>
      <c r="K69" s="222">
        <f>ROUND(data!BR65,0)</f>
        <v>0</v>
      </c>
      <c r="L69" s="222">
        <f>ROUND(data!BR66,0)</f>
        <v>5332610</v>
      </c>
      <c r="M69" s="66">
        <f>ROUND(data!BR67,0)</f>
        <v>0</v>
      </c>
      <c r="N69" s="222">
        <f>ROUND(data!BR68,0)</f>
        <v>0</v>
      </c>
      <c r="O69" s="222">
        <f>ROUND(data!BR69,0)</f>
        <v>2375788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2375788</v>
      </c>
      <c r="AD69" s="222">
        <f>ROUND(data!BR84,0)</f>
        <v>0</v>
      </c>
      <c r="AE69" s="222"/>
      <c r="AF69" s="222"/>
      <c r="AG69" s="222">
        <f>IF(data!BR90&gt;0,ROUND(data!BR90,0),0)</f>
        <v>13009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014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-0.12</v>
      </c>
      <c r="G70" s="222">
        <f>ROUND(data!BS61,0)</f>
        <v>-7688</v>
      </c>
      <c r="H70" s="222">
        <f>ROUND(data!BS62,0)</f>
        <v>0</v>
      </c>
      <c r="I70" s="222">
        <f>ROUND(data!BS63,0)</f>
        <v>0</v>
      </c>
      <c r="J70" s="222">
        <f>ROUND(data!BS64,0)</f>
        <v>157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-100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-100</v>
      </c>
      <c r="AD70" s="222">
        <f>ROUND(data!BS84,0)</f>
        <v>0</v>
      </c>
      <c r="AE70" s="222"/>
      <c r="AF70" s="222"/>
      <c r="AG70" s="222">
        <f>IF(data!BS90&gt;0,ROUND(data!BS90,0),0)</f>
        <v>2853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014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6.47</v>
      </c>
      <c r="G71" s="222">
        <f>ROUND(data!BT61,0)</f>
        <v>643753</v>
      </c>
      <c r="H71" s="222">
        <f>ROUND(data!BT62,0)</f>
        <v>0</v>
      </c>
      <c r="I71" s="222">
        <f>ROUND(data!BT63,0)</f>
        <v>0</v>
      </c>
      <c r="J71" s="222">
        <f>ROUND(data!BT64,0)</f>
        <v>11958</v>
      </c>
      <c r="K71" s="222">
        <f>ROUND(data!BT65,0)</f>
        <v>0</v>
      </c>
      <c r="L71" s="222">
        <f>ROUND(data!BT66,0)</f>
        <v>513051</v>
      </c>
      <c r="M71" s="66">
        <f>ROUND(data!BT67,0)</f>
        <v>0</v>
      </c>
      <c r="N71" s="222">
        <f>ROUND(data!BT68,0)</f>
        <v>0</v>
      </c>
      <c r="O71" s="222">
        <f>ROUND(data!BT69,0)</f>
        <v>11744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11744</v>
      </c>
      <c r="AD71" s="222">
        <f>ROUND(data!BT84,0)</f>
        <v>0</v>
      </c>
      <c r="AE71" s="222"/>
      <c r="AF71" s="222"/>
      <c r="AG71" s="222">
        <f>IF(data!BT90&gt;0,ROUND(data!BT90,0),0)</f>
        <v>1636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014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2.38</v>
      </c>
      <c r="G72" s="222">
        <f>ROUND(data!BU61,0)</f>
        <v>229470</v>
      </c>
      <c r="H72" s="222">
        <f>ROUND(data!BU62,0)</f>
        <v>0</v>
      </c>
      <c r="I72" s="222">
        <f>ROUND(data!BU63,0)</f>
        <v>0</v>
      </c>
      <c r="J72" s="222">
        <f>ROUND(data!BU64,0)</f>
        <v>152</v>
      </c>
      <c r="K72" s="222">
        <f>ROUND(data!BU65,0)</f>
        <v>0</v>
      </c>
      <c r="L72" s="222">
        <f>ROUND(data!BU66,0)</f>
        <v>4746</v>
      </c>
      <c r="M72" s="66">
        <f>ROUND(data!BU67,0)</f>
        <v>0</v>
      </c>
      <c r="N72" s="222">
        <f>ROUND(data!BU68,0)</f>
        <v>0</v>
      </c>
      <c r="O72" s="222">
        <f>ROUND(data!BU69,0)</f>
        <v>852020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852020</v>
      </c>
      <c r="AD72" s="222">
        <f>ROUND(data!BU84,0)</f>
        <v>0</v>
      </c>
      <c r="AE72" s="222"/>
      <c r="AF72" s="222"/>
      <c r="AG72" s="222">
        <f>IF(data!BU90&gt;0,ROUND(data!BU90,0),0)</f>
        <v>4109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014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33.75</v>
      </c>
      <c r="G73" s="222">
        <f>ROUND(data!BV61,0)</f>
        <v>2364972</v>
      </c>
      <c r="H73" s="222">
        <f>ROUND(data!BV62,0)</f>
        <v>0</v>
      </c>
      <c r="I73" s="222">
        <f>ROUND(data!BV63,0)</f>
        <v>0</v>
      </c>
      <c r="J73" s="222">
        <f>ROUND(data!BV64,0)</f>
        <v>29127</v>
      </c>
      <c r="K73" s="222">
        <f>ROUND(data!BV65,0)</f>
        <v>0</v>
      </c>
      <c r="L73" s="222">
        <f>ROUND(data!BV66,0)</f>
        <v>594611</v>
      </c>
      <c r="M73" s="66">
        <f>ROUND(data!BV67,0)</f>
        <v>0</v>
      </c>
      <c r="N73" s="222">
        <f>ROUND(data!BV68,0)</f>
        <v>0</v>
      </c>
      <c r="O73" s="222">
        <f>ROUND(data!BV69,0)</f>
        <v>9919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9919</v>
      </c>
      <c r="AD73" s="222">
        <f>ROUND(data!BV84,0)</f>
        <v>48763</v>
      </c>
      <c r="AE73" s="222"/>
      <c r="AF73" s="222"/>
      <c r="AG73" s="222">
        <f>IF(data!BV90&gt;0,ROUND(data!BV90,0),0)</f>
        <v>14229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014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28.78</v>
      </c>
      <c r="G74" s="222">
        <f>ROUND(data!BW61,0)</f>
        <v>2456986</v>
      </c>
      <c r="H74" s="222">
        <f>ROUND(data!BW62,0)</f>
        <v>0</v>
      </c>
      <c r="I74" s="222">
        <f>ROUND(data!BW63,0)</f>
        <v>0</v>
      </c>
      <c r="J74" s="222">
        <f>ROUND(data!BW64,0)</f>
        <v>642477</v>
      </c>
      <c r="K74" s="222">
        <f>ROUND(data!BW65,0)</f>
        <v>0</v>
      </c>
      <c r="L74" s="222">
        <f>ROUND(data!BW66,0)</f>
        <v>31392608</v>
      </c>
      <c r="M74" s="66">
        <f>ROUND(data!BW67,0)</f>
        <v>0</v>
      </c>
      <c r="N74" s="222">
        <f>ROUND(data!BW68,0)</f>
        <v>0</v>
      </c>
      <c r="O74" s="222">
        <f>ROUND(data!BW69,0)</f>
        <v>437034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437034</v>
      </c>
      <c r="AD74" s="222">
        <f>ROUND(data!BW84,0)</f>
        <v>150600</v>
      </c>
      <c r="AE74" s="222"/>
      <c r="AF74" s="222"/>
      <c r="AG74" s="222">
        <f>IF(data!BW90&gt;0,ROUND(data!BW90,0),0)</f>
        <v>43517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22139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014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102.65</v>
      </c>
      <c r="G75" s="222">
        <f>ROUND(data!BX61,0)</f>
        <v>12321118</v>
      </c>
      <c r="H75" s="222">
        <f>ROUND(data!BX62,0)</f>
        <v>0</v>
      </c>
      <c r="I75" s="222">
        <f>ROUND(data!BX63,0)</f>
        <v>0</v>
      </c>
      <c r="J75" s="222">
        <f>ROUND(data!BX64,0)</f>
        <v>18855</v>
      </c>
      <c r="K75" s="222">
        <f>ROUND(data!BX65,0)</f>
        <v>0</v>
      </c>
      <c r="L75" s="222">
        <f>ROUND(data!BX66,0)</f>
        <v>1634991</v>
      </c>
      <c r="M75" s="66">
        <f>ROUND(data!BX67,0)</f>
        <v>0</v>
      </c>
      <c r="N75" s="222">
        <f>ROUND(data!BX68,0)</f>
        <v>0</v>
      </c>
      <c r="O75" s="222">
        <f>ROUND(data!BX69,0)</f>
        <v>349332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349332</v>
      </c>
      <c r="AD75" s="222">
        <f>ROUND(data!BX84,0)</f>
        <v>41264</v>
      </c>
      <c r="AE75" s="222"/>
      <c r="AF75" s="222"/>
      <c r="AG75" s="222">
        <f>IF(data!BX90&gt;0,ROUND(data!BX90,0),0)</f>
        <v>3691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014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78.58</v>
      </c>
      <c r="G76" s="222">
        <f>ROUND(data!BY61,0)</f>
        <v>9088747</v>
      </c>
      <c r="H76" s="222">
        <f>ROUND(data!BY62,0)</f>
        <v>0</v>
      </c>
      <c r="I76" s="222">
        <f>ROUND(data!BY63,0)</f>
        <v>0</v>
      </c>
      <c r="J76" s="222">
        <f>ROUND(data!BY64,0)</f>
        <v>61373</v>
      </c>
      <c r="K76" s="222">
        <f>ROUND(data!BY65,0)</f>
        <v>0</v>
      </c>
      <c r="L76" s="222">
        <f>ROUND(data!BY66,0)</f>
        <v>609105</v>
      </c>
      <c r="M76" s="66">
        <f>ROUND(data!BY67,0)</f>
        <v>0</v>
      </c>
      <c r="N76" s="222">
        <f>ROUND(data!BY68,0)</f>
        <v>0</v>
      </c>
      <c r="O76" s="222">
        <f>ROUND(data!BY69,0)</f>
        <v>342598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342598</v>
      </c>
      <c r="AD76" s="222">
        <f>ROUND(data!BY84,0)</f>
        <v>-52876</v>
      </c>
      <c r="AE76" s="222"/>
      <c r="AF76" s="222"/>
      <c r="AG76" s="222">
        <f>IF(data!BY90&gt;0,ROUND(data!BY90,0),0)</f>
        <v>4977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014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72.23</v>
      </c>
      <c r="G77" s="222">
        <f>ROUND(data!BZ61,0)</f>
        <v>6053975</v>
      </c>
      <c r="H77" s="222">
        <f>ROUND(data!BZ62,0)</f>
        <v>0</v>
      </c>
      <c r="I77" s="222">
        <f>ROUND(data!BZ63,0)</f>
        <v>0</v>
      </c>
      <c r="J77" s="222">
        <f>ROUND(data!BZ64,0)</f>
        <v>3894</v>
      </c>
      <c r="K77" s="222">
        <f>ROUND(data!BZ65,0)</f>
        <v>0</v>
      </c>
      <c r="L77" s="222">
        <f>ROUND(data!BZ66,0)</f>
        <v>99203</v>
      </c>
      <c r="M77" s="66">
        <f>ROUND(data!BZ67,0)</f>
        <v>0</v>
      </c>
      <c r="N77" s="222">
        <f>ROUND(data!BZ68,0)</f>
        <v>0</v>
      </c>
      <c r="O77" s="222">
        <f>ROUND(data!BZ69,0)</f>
        <v>8177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8177</v>
      </c>
      <c r="AD77" s="222">
        <f>ROUND(data!BZ84,0)</f>
        <v>0</v>
      </c>
      <c r="AE77" s="222"/>
      <c r="AF77" s="222"/>
      <c r="AG77" s="222">
        <f>IF(data!BZ90&gt;0,ROUND(data!BZ90,0),0)</f>
        <v>2393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014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014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014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387.4</v>
      </c>
      <c r="G80" s="222">
        <f>ROUND(data!CC61,0)</f>
        <v>63763063</v>
      </c>
      <c r="H80" s="222">
        <f>ROUND(data!CC62,0)</f>
        <v>0</v>
      </c>
      <c r="I80" s="222">
        <f>ROUND(data!CC63,0)</f>
        <v>0</v>
      </c>
      <c r="J80" s="222">
        <f>ROUND(data!CC64,0)</f>
        <v>516033</v>
      </c>
      <c r="K80" s="222">
        <f>ROUND(data!CC65,0)</f>
        <v>125996</v>
      </c>
      <c r="L80" s="222">
        <f>ROUND(data!CC66,0)</f>
        <v>27089900</v>
      </c>
      <c r="M80" s="66">
        <f>ROUND(data!CC67,0)</f>
        <v>0</v>
      </c>
      <c r="N80" s="222">
        <f>ROUND(data!CC68,0)</f>
        <v>15134075</v>
      </c>
      <c r="O80" s="222">
        <f>ROUND(data!CC69,0)</f>
        <v>59225459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59225459</v>
      </c>
      <c r="AD80" s="222">
        <f>ROUND(data!CC84,0)</f>
        <v>58999430</v>
      </c>
      <c r="AE80" s="222"/>
      <c r="AF80" s="222"/>
      <c r="AG80" s="222">
        <f>IF(data!CC90&gt;0,ROUND(data!CC90,0),0)</f>
        <v>765365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Seattle Children's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H-014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PO Box 5371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Seattle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09/30/2022.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B22" zoomScaleNormal="100" workbookViewId="0">
      <selection activeCell="G15" sqref="G1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014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73382758.389999986</v>
      </c>
      <c r="C15" s="275">
        <f>data!C85</f>
        <v>73536939.359999999</v>
      </c>
      <c r="D15" s="275">
        <f>'Prior Year'!C60</f>
        <v>26326.987700000001</v>
      </c>
      <c r="E15" s="1">
        <f>data!C59</f>
        <v>0</v>
      </c>
      <c r="F15" s="238">
        <f t="shared" ref="F15:F59" si="0">IF(B15=0,"",IF(D15=0,"",B15/D15))</f>
        <v>2787.3587068223524</v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1699263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91088844.069999993</v>
      </c>
      <c r="C17" s="275">
        <f>data!E85</f>
        <v>77062836.810000017</v>
      </c>
      <c r="D17" s="275">
        <f>'Prior Year'!E60</f>
        <v>60204.707649999997</v>
      </c>
      <c r="E17" s="1">
        <f>data!E59</f>
        <v>1125810</v>
      </c>
      <c r="F17" s="238">
        <f t="shared" si="0"/>
        <v>1512.9854063829175</v>
      </c>
      <c r="G17" s="238">
        <f t="shared" si="1"/>
        <v>68.451014656114282</v>
      </c>
      <c r="H17" s="6">
        <f t="shared" si="2"/>
        <v>-0.95475765042588245</v>
      </c>
      <c r="I17" s="275" t="str">
        <f t="shared" si="3"/>
        <v/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2121880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5829437.2000000002</v>
      </c>
      <c r="C19" s="275">
        <f>data!G85</f>
        <v>4607708.2999999989</v>
      </c>
      <c r="D19" s="275">
        <f>'Prior Year'!G60</f>
        <v>3527.1320000000001</v>
      </c>
      <c r="E19" s="1">
        <f>data!G59</f>
        <v>0</v>
      </c>
      <c r="F19" s="238">
        <f t="shared" si="0"/>
        <v>1652.7414341170106</v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20706289.709999997</v>
      </c>
      <c r="C20" s="275">
        <f>data!H85</f>
        <v>18761100.629999999</v>
      </c>
      <c r="D20" s="275">
        <f>'Prior Year'!H60</f>
        <v>12713.080700000002</v>
      </c>
      <c r="E20" s="1">
        <f>data!H59</f>
        <v>1330727</v>
      </c>
      <c r="F20" s="238">
        <f t="shared" si="0"/>
        <v>1628.7389499541205</v>
      </c>
      <c r="G20" s="238">
        <f t="shared" si="1"/>
        <v>14.098384289189292</v>
      </c>
      <c r="H20" s="6">
        <f t="shared" si="2"/>
        <v>-0.99134398775839039</v>
      </c>
      <c r="I20" s="275" t="str">
        <f t="shared" si="3"/>
        <v/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41686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12571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9453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118434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1292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1463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583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66079380.780000001</v>
      </c>
      <c r="C28" s="275">
        <f>data!P85</f>
        <v>60453440.729999997</v>
      </c>
      <c r="D28" s="275">
        <f>'Prior Year'!P60</f>
        <v>1657457</v>
      </c>
      <c r="E28" s="1">
        <f>data!P59</f>
        <v>0</v>
      </c>
      <c r="F28" s="238">
        <f t="shared" si="0"/>
        <v>39.867930679347943</v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14016486</v>
      </c>
      <c r="C29" s="275">
        <f>data!Q85</f>
        <v>13919651.440000001</v>
      </c>
      <c r="D29" s="275">
        <f>'Prior Year'!Q60</f>
        <v>1053680</v>
      </c>
      <c r="E29" s="1">
        <f>data!Q59</f>
        <v>10315</v>
      </c>
      <c r="F29" s="238">
        <f t="shared" si="0"/>
        <v>13.302412497152837</v>
      </c>
      <c r="G29" s="238">
        <f t="shared" si="1"/>
        <v>1349.4572409112943</v>
      </c>
      <c r="H29" s="6">
        <f t="shared" si="2"/>
        <v>100.44454934021356</v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6558204.6899999995</v>
      </c>
      <c r="C30" s="275">
        <f>data!R85</f>
        <v>7177712.7599999988</v>
      </c>
      <c r="D30" s="275">
        <f>'Prior Year'!R60</f>
        <v>2080160</v>
      </c>
      <c r="E30" s="1">
        <f>data!R59</f>
        <v>173247</v>
      </c>
      <c r="F30" s="238">
        <f t="shared" si="0"/>
        <v>3.1527405055380351</v>
      </c>
      <c r="G30" s="238">
        <f>IFERROR(IF(C30=0,"",IF(E30=0,"",C30/E30)),"")</f>
        <v>41.430516892067388</v>
      </c>
      <c r="H30" s="6">
        <f t="shared" si="2"/>
        <v>12.141112254336013</v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13907992.960000001</v>
      </c>
      <c r="C31" s="275">
        <f>data!S85</f>
        <v>12606817.809999999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2121000.0500000003</v>
      </c>
      <c r="C32" s="275">
        <f>data!T85</f>
        <v>1882066.2599999998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50055990.329999998</v>
      </c>
      <c r="C33" s="275">
        <f>data!U85</f>
        <v>49343273.150000006</v>
      </c>
      <c r="D33" s="275">
        <f>'Prior Year'!U60</f>
        <v>1225608</v>
      </c>
      <c r="E33" s="1">
        <f>data!U59</f>
        <v>0</v>
      </c>
      <c r="F33" s="238">
        <f t="shared" si="0"/>
        <v>40.841762072375502</v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8881658.209999999</v>
      </c>
      <c r="C34" s="275">
        <f>data!V85</f>
        <v>8364804.3600000003</v>
      </c>
      <c r="D34" s="275">
        <f>'Prior Year'!V60</f>
        <v>40476</v>
      </c>
      <c r="E34" s="1">
        <f>data!V59</f>
        <v>0</v>
      </c>
      <c r="F34" s="238">
        <f t="shared" si="0"/>
        <v>219.4302354481668</v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1903179.5799999996</v>
      </c>
      <c r="C35" s="275">
        <f>data!W85</f>
        <v>1956255.2500000005</v>
      </c>
      <c r="D35" s="275">
        <f>'Prior Year'!W60</f>
        <v>11862</v>
      </c>
      <c r="E35" s="1">
        <f>data!W59</f>
        <v>0</v>
      </c>
      <c r="F35" s="238">
        <f t="shared" si="0"/>
        <v>160.44339740347326</v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2300647.65</v>
      </c>
      <c r="C36" s="275">
        <f>data!X85</f>
        <v>1849199.0699999998</v>
      </c>
      <c r="D36" s="275">
        <f>'Prior Year'!X60</f>
        <v>7976</v>
      </c>
      <c r="E36" s="1">
        <f>data!X59</f>
        <v>72872</v>
      </c>
      <c r="F36" s="238">
        <f t="shared" si="0"/>
        <v>288.44629513540622</v>
      </c>
      <c r="G36" s="238">
        <f t="shared" si="5"/>
        <v>25.375988994401141</v>
      </c>
      <c r="H36" s="6">
        <f t="shared" si="2"/>
        <v>-0.9120252559233295</v>
      </c>
      <c r="I36" s="275" t="str">
        <f t="shared" si="3"/>
        <v/>
      </c>
      <c r="M36" s="7"/>
    </row>
    <row r="37" spans="1:13" x14ac:dyDescent="0.35">
      <c r="A37" s="1" t="s">
        <v>731</v>
      </c>
      <c r="B37" s="275">
        <f>'Prior Year'!Y86</f>
        <v>27907868.660000004</v>
      </c>
      <c r="C37" s="275">
        <f>data!Y85</f>
        <v>22258154.440000001</v>
      </c>
      <c r="D37" s="275">
        <f>'Prior Year'!Y60</f>
        <v>107868</v>
      </c>
      <c r="E37" s="1">
        <f>data!Y59</f>
        <v>52189</v>
      </c>
      <c r="F37" s="238">
        <f t="shared" si="0"/>
        <v>258.72240757221795</v>
      </c>
      <c r="G37" s="238">
        <f t="shared" si="5"/>
        <v>426.49129969917033</v>
      </c>
      <c r="H37" s="6">
        <f t="shared" si="2"/>
        <v>0.64845134096134505</v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1879679.19</v>
      </c>
      <c r="C38" s="275">
        <f>data!Z85</f>
        <v>2571939.81</v>
      </c>
      <c r="D38" s="275">
        <f>'Prior Year'!Z60</f>
        <v>852</v>
      </c>
      <c r="E38" s="1">
        <f>data!Z59</f>
        <v>0</v>
      </c>
      <c r="F38" s="238">
        <f t="shared" si="0"/>
        <v>2206.1962323943662</v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1724550.31</v>
      </c>
      <c r="C39" s="275">
        <f>data!AA85</f>
        <v>1471445.3099999996</v>
      </c>
      <c r="D39" s="275">
        <f>'Prior Year'!AA60</f>
        <v>1201</v>
      </c>
      <c r="E39" s="1">
        <f>data!AA59</f>
        <v>0</v>
      </c>
      <c r="F39" s="238">
        <f t="shared" si="0"/>
        <v>1435.9286511240634</v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105827433.56000002</v>
      </c>
      <c r="C40" s="275">
        <f>data!AB85</f>
        <v>108739367.27000001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18831307.129999999</v>
      </c>
      <c r="C41" s="275">
        <f>data!AC85</f>
        <v>20250770.029999997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6193414.7699999986</v>
      </c>
      <c r="C42" s="275">
        <f>data!AD85</f>
        <v>5572284.9700000007</v>
      </c>
      <c r="D42" s="275">
        <f>'Prior Year'!AD60</f>
        <v>9961</v>
      </c>
      <c r="E42" s="1">
        <f>data!AD59</f>
        <v>0</v>
      </c>
      <c r="F42" s="238">
        <f t="shared" si="0"/>
        <v>621.76636582672404</v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12518873.41</v>
      </c>
      <c r="C43" s="275">
        <f>data!AE85</f>
        <v>11385815.869999997</v>
      </c>
      <c r="D43" s="275">
        <f>'Prior Year'!AE60</f>
        <v>171647</v>
      </c>
      <c r="E43" s="1">
        <f>data!AE59</f>
        <v>0</v>
      </c>
      <c r="F43" s="238">
        <f t="shared" si="0"/>
        <v>72.933831701107508</v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17194636.020000003</v>
      </c>
      <c r="C44" s="275">
        <f>data!AF85</f>
        <v>17311538.779999994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20178972.110000003</v>
      </c>
      <c r="C45" s="275">
        <f>data!AG85</f>
        <v>22053119.16</v>
      </c>
      <c r="D45" s="275">
        <f>'Prior Year'!AG60</f>
        <v>76472</v>
      </c>
      <c r="E45" s="1">
        <f>data!AG59</f>
        <v>59</v>
      </c>
      <c r="F45" s="238">
        <f t="shared" si="0"/>
        <v>263.8739945339471</v>
      </c>
      <c r="G45" s="238">
        <f t="shared" si="5"/>
        <v>373781.6806779661</v>
      </c>
      <c r="H45" s="6">
        <f t="shared" si="2"/>
        <v>1415.515793222206</v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5454741.6599999992</v>
      </c>
      <c r="C46" s="275">
        <f>data!AH85</f>
        <v>4820940.68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504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147959453.86000001</v>
      </c>
      <c r="C48" s="275">
        <f>data!AJ85</f>
        <v>130106997.36999999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3426562.3000000003</v>
      </c>
      <c r="C49" s="275">
        <f>data!AK85</f>
        <v>2959211.1699999995</v>
      </c>
      <c r="D49" s="275">
        <f>'Prior Year'!AK60</f>
        <v>69704</v>
      </c>
      <c r="E49" s="1">
        <f>data!AK59</f>
        <v>0</v>
      </c>
      <c r="F49" s="238">
        <f t="shared" si="0"/>
        <v>49.15876133363939</v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2844077.6100000003</v>
      </c>
      <c r="C50" s="275">
        <f>data!AL85</f>
        <v>2193989.0299999998</v>
      </c>
      <c r="D50" s="275">
        <f>'Prior Year'!AL60</f>
        <v>50438</v>
      </c>
      <c r="E50" s="1">
        <f>data!AL59</f>
        <v>250992</v>
      </c>
      <c r="F50" s="238">
        <f t="shared" si="0"/>
        <v>56.387596851580163</v>
      </c>
      <c r="G50" s="238">
        <f t="shared" si="5"/>
        <v>8.7412707576337088</v>
      </c>
      <c r="H50" s="6">
        <f t="shared" si="2"/>
        <v>-0.84497883850872513</v>
      </c>
      <c r="I50" s="275" t="str">
        <f t="shared" si="6"/>
        <v/>
      </c>
      <c r="M50" s="7"/>
    </row>
    <row r="51" spans="1:13" x14ac:dyDescent="0.35">
      <c r="A51" s="1" t="s">
        <v>745</v>
      </c>
      <c r="B51" s="275">
        <f>'Prior Year'!AM86</f>
        <v>3210026.36</v>
      </c>
      <c r="C51" s="275">
        <f>data!AM85</f>
        <v>2190247.98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861.29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16257710.719999997</v>
      </c>
      <c r="C56" s="275">
        <f>data!AR85</f>
        <v>18291846.640000004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4401783.4700000007</v>
      </c>
      <c r="C58" s="275">
        <f>data!AT85</f>
        <v>3859514.93</v>
      </c>
      <c r="D58" s="275">
        <f>'Prior Year'!AT60</f>
        <v>61</v>
      </c>
      <c r="E58" s="1">
        <f>data!AT59</f>
        <v>0</v>
      </c>
      <c r="F58" s="238">
        <f t="shared" si="0"/>
        <v>72160.38475409837</v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5434606.0499999998</v>
      </c>
      <c r="C60" s="275">
        <f>data!AV85</f>
        <v>4900625.51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126365334.35000005</v>
      </c>
      <c r="C61" s="275">
        <f>data!AW85</f>
        <v>121986841.96000004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902478.97</v>
      </c>
      <c r="C62" s="275">
        <f>data!AX85</f>
        <v>1564490.01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19621567.039999999</v>
      </c>
      <c r="C63" s="275">
        <f>data!AY85</f>
        <v>316875.24999999907</v>
      </c>
      <c r="D63" s="275">
        <f>'Prior Year'!AY60</f>
        <v>819337</v>
      </c>
      <c r="E63" s="1">
        <f>data!AY59</f>
        <v>986903</v>
      </c>
      <c r="F63" s="238">
        <f>IF(B63=0,"",IF(D63=0,"",B63/D63))</f>
        <v>23.948103210278553</v>
      </c>
      <c r="G63" s="238">
        <f t="shared" si="5"/>
        <v>0.32108044052961543</v>
      </c>
      <c r="H63" s="6">
        <f>IF(B63=0,"",IF(C63=0,"",IF(D63=0,"",IF(E63=0,"",IF(G63/F63-1&lt;-0.25,G63/F63-1,IF(G63/F63-1&gt;0.25,G63/F63-1,""))))))</f>
        <v>-0.98659265672482122</v>
      </c>
      <c r="I63" s="275" t="str">
        <f t="shared" si="6"/>
        <v/>
      </c>
      <c r="M63" s="7"/>
    </row>
    <row r="64" spans="1:13" x14ac:dyDescent="0.35">
      <c r="A64" s="1" t="s">
        <v>758</v>
      </c>
      <c r="B64" s="275">
        <f>'Prior Year'!AZ86</f>
        <v>929478.79000000015</v>
      </c>
      <c r="C64" s="275">
        <f>data!AZ85</f>
        <v>764.65999999997439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3161479.35</v>
      </c>
      <c r="C65" s="275">
        <f>data!BA85</f>
        <v>3801467.5999999996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18221359.330000002</v>
      </c>
      <c r="C66" s="275">
        <f>data!BB85</f>
        <v>19404538.969999999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337085.57</v>
      </c>
      <c r="C67" s="275">
        <f>data!BC85</f>
        <v>292421.15000000002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3877500.06</v>
      </c>
      <c r="C68" s="275">
        <f>data!BD85</f>
        <v>3701925.7300000009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72010618.319999993</v>
      </c>
      <c r="C69" s="275">
        <f>data!BE85</f>
        <v>53038598.100000001</v>
      </c>
      <c r="D69" s="275">
        <f>'Prior Year'!BE60</f>
        <v>1234085</v>
      </c>
      <c r="E69" s="1">
        <f>data!BE59</f>
        <v>2116017</v>
      </c>
      <c r="F69" s="238">
        <f>IF(B69=0,"",IF(D69=0,"",B69/D69))</f>
        <v>58.351424999088387</v>
      </c>
      <c r="G69" s="238">
        <f t="shared" si="5"/>
        <v>25.065298671986096</v>
      </c>
      <c r="H69" s="6">
        <f>IF(B69=0,"",IF(C69=0,"",IF(D69=0,"",IF(E69=0,"",IF(G69/F69-1&lt;-0.25,G69/F69-1,IF(G69/F69-1&gt;0.25,G69/F69-1,""))))))</f>
        <v>-0.57044238984090478</v>
      </c>
      <c r="I69" s="275" t="str">
        <f t="shared" si="6"/>
        <v/>
      </c>
      <c r="M69" s="7"/>
    </row>
    <row r="70" spans="1:13" x14ac:dyDescent="0.35">
      <c r="A70" s="1" t="s">
        <v>764</v>
      </c>
      <c r="B70" s="275">
        <f>'Prior Year'!BF86</f>
        <v>14545440.310000001</v>
      </c>
      <c r="C70" s="275">
        <f>data!BF85</f>
        <v>13767965.749999998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5945855.5899999999</v>
      </c>
      <c r="C71" s="275">
        <f>data!BG85</f>
        <v>6146931.6899999995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95431288.489999995</v>
      </c>
      <c r="C72" s="275">
        <f>data!BH85</f>
        <v>91217103.200000003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6473231.1799999997</v>
      </c>
      <c r="C73" s="275">
        <f>data!BI85</f>
        <v>8560230.4699999988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9279519.9499999993</v>
      </c>
      <c r="C74" s="275">
        <f>data!BJ85</f>
        <v>8529062.160000002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13998595.250000004</v>
      </c>
      <c r="C75" s="275">
        <f>data!BK85</f>
        <v>11503518.1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7934045.9400000004</v>
      </c>
      <c r="C76" s="275">
        <f>data!BL85</f>
        <v>7122723.1200000001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36927469.980000004</v>
      </c>
      <c r="C78" s="275">
        <f>data!BN85</f>
        <v>27854397.450000003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1528862.0700000003</v>
      </c>
      <c r="C79" s="275">
        <f>data!BO85</f>
        <v>2120611.1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11168524.180000002</v>
      </c>
      <c r="C80" s="275">
        <f>data!BP85</f>
        <v>11180467.920000002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9181707.5900000017</v>
      </c>
      <c r="C81" s="275">
        <f>data!BQ85</f>
        <v>10472713.959999999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18928188.340000004</v>
      </c>
      <c r="C82" s="275">
        <f>data!BR85</f>
        <v>20903987.849999998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756365.98</v>
      </c>
      <c r="C83" s="275">
        <f>data!BS85</f>
        <v>-7630.7600000000011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744763.60999999987</v>
      </c>
      <c r="C84" s="275">
        <f>data!BT85</f>
        <v>1180506.51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1402252.51</v>
      </c>
      <c r="C85" s="275">
        <f>data!BU85</f>
        <v>1086387.7000000002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5118494.29</v>
      </c>
      <c r="C86" s="275">
        <f>data!BV85</f>
        <v>2949866.38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37044661.530000001</v>
      </c>
      <c r="C87" s="275">
        <f>data!BW85</f>
        <v>34778504.43999999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14909917.26</v>
      </c>
      <c r="C88" s="275">
        <f>data!BX85</f>
        <v>14283032.279999999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10532584.859999999</v>
      </c>
      <c r="C89" s="275">
        <f>data!BY85</f>
        <v>10154699.210000001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6611705.0499999998</v>
      </c>
      <c r="C90" s="275">
        <f>data!BZ85</f>
        <v>6165249.0500000007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185816518.83999997</v>
      </c>
      <c r="C93" s="275">
        <f>data!CC85</f>
        <v>106855096.61000003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topLeftCell="A13"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2" t="s">
        <v>1348</v>
      </c>
    </row>
    <row r="3" spans="1:4" x14ac:dyDescent="0.35">
      <c r="A3" s="11" t="s">
        <v>789</v>
      </c>
    </row>
    <row r="4" spans="1:4" x14ac:dyDescent="0.35">
      <c r="A4" s="320" t="s">
        <v>1346</v>
      </c>
    </row>
    <row r="5" spans="1:4" x14ac:dyDescent="0.35">
      <c r="A5" s="321" t="s">
        <v>1344</v>
      </c>
    </row>
    <row r="6" spans="1:4" x14ac:dyDescent="0.35">
      <c r="A6" s="319"/>
    </row>
    <row r="7" spans="1:4" x14ac:dyDescent="0.35">
      <c r="A7" s="320" t="s">
        <v>1347</v>
      </c>
    </row>
    <row r="8" spans="1:4" x14ac:dyDescent="0.35">
      <c r="A8" s="321" t="s">
        <v>1345</v>
      </c>
    </row>
    <row r="11" spans="1:4" x14ac:dyDescent="0.35">
      <c r="A11" s="13" t="s">
        <v>790</v>
      </c>
      <c r="D11" s="276">
        <f>data!C380</f>
        <v>365503258.74000001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60077198.200000048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09/30/2022</v>
      </c>
      <c r="C4" s="78"/>
      <c r="D4" s="79"/>
      <c r="E4" s="80"/>
      <c r="F4" s="78" t="str">
        <f>"License Number:  "&amp;"H-"&amp;FIXED(data!C97,0)</f>
        <v>License Number:  H-14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Seattle Children's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98145-5005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Dr. Jeff Sperring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Suzanne Beitel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206-987-2000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14862</v>
      </c>
      <c r="G23" s="81">
        <f>data!D127</f>
        <v>107555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96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199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348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12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41</v>
      </c>
      <c r="E36" s="78" t="s">
        <v>325</v>
      </c>
      <c r="F36" s="81"/>
      <c r="G36" s="81">
        <f>data!C144</f>
        <v>407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Seattle Children's Hospital</v>
      </c>
      <c r="G2" s="4" t="s">
        <v>824</v>
      </c>
    </row>
    <row r="3" spans="1:7" ht="20.149999999999999" customHeight="1" x14ac:dyDescent="0.35">
      <c r="G3" s="4" t="str">
        <f>"FYE: "&amp;data!C96</f>
        <v>FYE: 09/30/2022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128</v>
      </c>
      <c r="C7" s="141">
        <f>data!B155</f>
        <v>710</v>
      </c>
      <c r="D7" s="141">
        <f>data!B156</f>
        <v>4839</v>
      </c>
      <c r="E7" s="141">
        <f>data!B157</f>
        <v>17947521</v>
      </c>
      <c r="F7" s="141">
        <f>data!B158</f>
        <v>18179014</v>
      </c>
      <c r="G7" s="141">
        <f>data!B157+data!B158</f>
        <v>36126535</v>
      </c>
    </row>
    <row r="8" spans="1:7" ht="20.149999999999999" customHeight="1" x14ac:dyDescent="0.35">
      <c r="A8" s="77" t="s">
        <v>331</v>
      </c>
      <c r="B8" s="141">
        <f>data!C154</f>
        <v>7099</v>
      </c>
      <c r="C8" s="141">
        <f>data!C155</f>
        <v>56668</v>
      </c>
      <c r="D8" s="141">
        <f>data!C156</f>
        <v>284197</v>
      </c>
      <c r="E8" s="141">
        <f>data!C157</f>
        <v>1065058519</v>
      </c>
      <c r="F8" s="141">
        <f>data!C158</f>
        <v>571241966</v>
      </c>
      <c r="G8" s="141">
        <f>data!C157+data!C158</f>
        <v>1636300485</v>
      </c>
    </row>
    <row r="9" spans="1:7" ht="20.149999999999999" customHeight="1" x14ac:dyDescent="0.35">
      <c r="A9" s="77" t="s">
        <v>829</v>
      </c>
      <c r="B9" s="141">
        <f>data!D154</f>
        <v>7635</v>
      </c>
      <c r="C9" s="141">
        <f>data!D155</f>
        <v>50177</v>
      </c>
      <c r="D9" s="141">
        <f>data!D156</f>
        <v>455772</v>
      </c>
      <c r="E9" s="141">
        <f>data!D157</f>
        <v>979456846</v>
      </c>
      <c r="F9" s="141">
        <f>data!D158</f>
        <v>707510887</v>
      </c>
      <c r="G9" s="141">
        <f>data!D157+data!D158</f>
        <v>1686967733</v>
      </c>
    </row>
    <row r="10" spans="1:7" ht="20.149999999999999" customHeight="1" x14ac:dyDescent="0.35">
      <c r="A10" s="92" t="s">
        <v>215</v>
      </c>
      <c r="B10" s="141">
        <f>data!E154</f>
        <v>14862</v>
      </c>
      <c r="C10" s="141">
        <f>data!E155</f>
        <v>107555</v>
      </c>
      <c r="D10" s="141">
        <f>data!E156</f>
        <v>744808</v>
      </c>
      <c r="E10" s="141">
        <f>data!E157</f>
        <v>2062462886</v>
      </c>
      <c r="F10" s="141">
        <f>data!E158</f>
        <v>1296931867</v>
      </c>
      <c r="G10" s="141">
        <f>E10+F10</f>
        <v>3359394753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Seattle Children's Hospital</v>
      </c>
      <c r="B3" s="83"/>
      <c r="C3" s="156" t="str">
        <f>"FYE: "&amp;data!C96</f>
        <v>FYE: 09/30/2022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58413705.509999998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237085.8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4446100.7300000004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103203612.34999999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41197769.350000001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4296481.9000000004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211794755.63999999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30185571.440000001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1367034.94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31552606.380000003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8341234.54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3842382.44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12183616.98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47253196.82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47253196.82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20873637.460000001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20873637.460000001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Seattle Children's Hospital</v>
      </c>
      <c r="F3" s="156" t="str">
        <f>"FYE: "&amp;data!C96</f>
        <v>FYE: 09/30/2022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221166313.39999998</v>
      </c>
      <c r="D7" s="81">
        <f>data!C211</f>
        <v>0</v>
      </c>
      <c r="E7" s="81">
        <f>data!D211</f>
        <v>0</v>
      </c>
      <c r="F7" s="81">
        <f>data!E211</f>
        <v>221166313.39999998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14811592.639999999</v>
      </c>
      <c r="D8" s="81">
        <f>data!C212</f>
        <v>133388.47000000067</v>
      </c>
      <c r="E8" s="81">
        <f>data!D212</f>
        <v>0</v>
      </c>
      <c r="F8" s="81">
        <f>data!E212</f>
        <v>14944981.109999999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1386576879.8700001</v>
      </c>
      <c r="D9" s="81">
        <f>data!C213</f>
        <v>486054773.52999997</v>
      </c>
      <c r="E9" s="81">
        <f>data!D213</f>
        <v>1997429.19</v>
      </c>
      <c r="F9" s="81">
        <f>data!E213</f>
        <v>1870634224.21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68511892.11999999</v>
      </c>
      <c r="D11" s="81">
        <f>data!C215</f>
        <v>3134946.349999994</v>
      </c>
      <c r="E11" s="81">
        <f>data!D215</f>
        <v>19638.849999999999</v>
      </c>
      <c r="F11" s="81">
        <f>data!E215</f>
        <v>71627199.61999999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665969735.93000019</v>
      </c>
      <c r="D12" s="81">
        <f>data!C216</f>
        <v>94308694.529999852</v>
      </c>
      <c r="E12" s="81">
        <f>data!D216</f>
        <v>51884660.16999986</v>
      </c>
      <c r="F12" s="81">
        <f>data!E216</f>
        <v>708393770.2900002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100089771.22</v>
      </c>
      <c r="D14" s="81">
        <f>data!C218</f>
        <v>3564609.4800000042</v>
      </c>
      <c r="E14" s="81">
        <f>data!D218</f>
        <v>2918452.8599999994</v>
      </c>
      <c r="F14" s="81">
        <f>data!E218</f>
        <v>100735927.84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502682426.27000004</v>
      </c>
      <c r="D15" s="81">
        <f>data!C219</f>
        <v>230257925.94999617</v>
      </c>
      <c r="E15" s="81">
        <f>data!D219</f>
        <v>579135167.48000014</v>
      </c>
      <c r="F15" s="81">
        <f>data!E219</f>
        <v>153805184.73999608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2959808611.4499998</v>
      </c>
      <c r="D16" s="81">
        <f>data!C220</f>
        <v>817454338.30999613</v>
      </c>
      <c r="E16" s="81">
        <f>data!D220</f>
        <v>635955348.54999995</v>
      </c>
      <c r="F16" s="81">
        <f>data!E220</f>
        <v>3141307601.2099962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9791794.2600000016</v>
      </c>
      <c r="D24" s="81">
        <f>data!C225</f>
        <v>771530.20999999717</v>
      </c>
      <c r="E24" s="81">
        <f>data!D225</f>
        <v>0</v>
      </c>
      <c r="F24" s="81">
        <f>data!E225</f>
        <v>10563324.469999999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509703135.82999998</v>
      </c>
      <c r="D25" s="81">
        <f>data!C226</f>
        <v>58460548.869999945</v>
      </c>
      <c r="E25" s="81">
        <f>data!D226</f>
        <v>1693937.3</v>
      </c>
      <c r="F25" s="81">
        <f>data!E226</f>
        <v>566469747.39999998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34597764.509999998</v>
      </c>
      <c r="D27" s="81">
        <f>data!C228</f>
        <v>3977349.9200000018</v>
      </c>
      <c r="E27" s="81">
        <f>data!D228</f>
        <v>19638.849999999999</v>
      </c>
      <c r="F27" s="81">
        <f>data!E228</f>
        <v>38555475.579999998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414132413.18000007</v>
      </c>
      <c r="D28" s="81">
        <f>data!C229</f>
        <v>66812456.789999723</v>
      </c>
      <c r="E28" s="81">
        <f>data!D229</f>
        <v>51505491.139999814</v>
      </c>
      <c r="F28" s="81">
        <f>data!E229</f>
        <v>429439378.82999998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32995681.090000004</v>
      </c>
      <c r="D30" s="81">
        <f>data!C231</f>
        <v>9080796.8999999985</v>
      </c>
      <c r="E30" s="81">
        <f>data!D231</f>
        <v>2918452.8599999994</v>
      </c>
      <c r="F30" s="81">
        <f>data!E231</f>
        <v>39158025.130000003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1001220788.8700001</v>
      </c>
      <c r="D32" s="81">
        <f>data!C233</f>
        <v>139102682.68999967</v>
      </c>
      <c r="E32" s="81">
        <f>data!D233</f>
        <v>56137520.149999812</v>
      </c>
      <c r="F32" s="81">
        <f>data!E233</f>
        <v>1084185951.4100001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Seattle Children's Hospital</v>
      </c>
      <c r="B2" s="83"/>
      <c r="C2" s="83"/>
      <c r="D2" s="156" t="str">
        <f>"FYE: "&amp;data!C96</f>
        <v>FYE: 09/30/2022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2273538.08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25822205.23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1131640136.8399999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63641154.920000002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377213803.99000001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1598317300.98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7575308.1200000001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19145207.219999999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26720515.34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29640371.489999998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29640371.489999998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