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C1209344-519B-4D95-A412-5C8C135CBE50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414" i="24"/>
  <c r="D30" i="17"/>
  <c r="C390" i="24"/>
  <c r="C389" i="24"/>
  <c r="D33" i="17" l="1"/>
  <c r="C411" i="24"/>
  <c r="C408" i="24"/>
  <c r="S88" i="24" l="1"/>
  <c r="S87" i="24"/>
  <c r="B48" i="24" l="1"/>
  <c r="C255" i="24" l="1"/>
  <c r="C254" i="24"/>
  <c r="C242" i="24"/>
  <c r="C243" i="24"/>
  <c r="C244" i="24"/>
  <c r="C240" i="24"/>
  <c r="C239" i="24"/>
  <c r="C247" i="24"/>
  <c r="C363" i="24"/>
  <c r="C364" i="24"/>
  <c r="C250" i="24"/>
  <c r="C249" i="24"/>
  <c r="C365" i="24"/>
  <c r="C398" i="24"/>
  <c r="C396" i="24"/>
  <c r="C380" i="24"/>
  <c r="C379" i="24"/>
  <c r="C317" i="24"/>
  <c r="C316" i="24"/>
  <c r="C315" i="24"/>
  <c r="C292" i="24"/>
  <c r="C283" i="24"/>
  <c r="C268" i="24"/>
  <c r="B229" i="24"/>
  <c r="D157" i="24"/>
  <c r="D158" i="24"/>
  <c r="C158" i="24"/>
  <c r="C157" i="24"/>
  <c r="B158" i="24"/>
  <c r="C188" i="24"/>
  <c r="C187" i="24"/>
  <c r="C186" i="24"/>
  <c r="C184" i="24"/>
  <c r="D156" i="24"/>
  <c r="D154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AV52" i="24" l="1"/>
  <c r="AV67" i="24" s="1"/>
  <c r="BX52" i="24"/>
  <c r="BX67" i="24" s="1"/>
  <c r="F337" i="32" s="1"/>
  <c r="X52" i="24"/>
  <c r="X67" i="24" s="1"/>
  <c r="M23" i="31" s="1"/>
  <c r="L52" i="24"/>
  <c r="L67" i="24" s="1"/>
  <c r="L85" i="24" s="1"/>
  <c r="H8" i="31"/>
  <c r="E76" i="32"/>
  <c r="G76" i="32"/>
  <c r="H39" i="31"/>
  <c r="D76" i="32"/>
  <c r="H12" i="31"/>
  <c r="G204" i="32"/>
  <c r="H23" i="31"/>
  <c r="H65" i="31"/>
  <c r="H71" i="31"/>
  <c r="G332" i="32"/>
  <c r="H73" i="31"/>
  <c r="I172" i="32"/>
  <c r="D44" i="32"/>
  <c r="G268" i="32"/>
  <c r="C44" i="32"/>
  <c r="G236" i="32"/>
  <c r="H2" i="31"/>
  <c r="H74" i="31"/>
  <c r="H268" i="32"/>
  <c r="H45" i="31"/>
  <c r="H66" i="31"/>
  <c r="E236" i="32"/>
  <c r="I76" i="32"/>
  <c r="F300" i="32"/>
  <c r="E12" i="32"/>
  <c r="H140" i="32"/>
  <c r="H37" i="31"/>
  <c r="BZ53" i="25"/>
  <c r="BZ68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L53" i="25"/>
  <c r="AL68" i="25" s="1"/>
  <c r="AL86" i="25" s="1"/>
  <c r="C704" i="25" s="1"/>
  <c r="AD53" i="25"/>
  <c r="AD68" i="25" s="1"/>
  <c r="AD86" i="25" s="1"/>
  <c r="B42" i="15" s="1"/>
  <c r="V53" i="25"/>
  <c r="V68" i="25" s="1"/>
  <c r="V86" i="25" s="1"/>
  <c r="N53" i="25"/>
  <c r="N68" i="25" s="1"/>
  <c r="N86" i="25" s="1"/>
  <c r="F53" i="25"/>
  <c r="F68" i="25" s="1"/>
  <c r="F86" i="25" s="1"/>
  <c r="H53" i="25"/>
  <c r="H68" i="25" s="1"/>
  <c r="H86" i="25" s="1"/>
  <c r="BC53" i="25"/>
  <c r="BC68" i="25" s="1"/>
  <c r="BC86" i="25" s="1"/>
  <c r="C634" i="25" s="1"/>
  <c r="AU53" i="25"/>
  <c r="AU68" i="25" s="1"/>
  <c r="O53" i="25"/>
  <c r="O68" i="25" s="1"/>
  <c r="O86" i="25" s="1"/>
  <c r="BY53" i="25"/>
  <c r="BY68" i="25" s="1"/>
  <c r="BQ53" i="25"/>
  <c r="BQ68" i="25" s="1"/>
  <c r="BQ86" i="25" s="1"/>
  <c r="C624" i="25" s="1"/>
  <c r="BI53" i="25"/>
  <c r="BI68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U53" i="25"/>
  <c r="U68" i="25" s="1"/>
  <c r="U86" i="25" s="1"/>
  <c r="C687" i="25" s="1"/>
  <c r="M53" i="25"/>
  <c r="M68" i="25" s="1"/>
  <c r="M86" i="25" s="1"/>
  <c r="C679" i="25" s="1"/>
  <c r="E53" i="25"/>
  <c r="E68" i="25" s="1"/>
  <c r="E86" i="25" s="1"/>
  <c r="AF53" i="25"/>
  <c r="AF68" i="25" s="1"/>
  <c r="AF86" i="25" s="1"/>
  <c r="BK53" i="25"/>
  <c r="BK68" i="25" s="1"/>
  <c r="BK86" i="25" s="1"/>
  <c r="AE53" i="25"/>
  <c r="AE68" i="25" s="1"/>
  <c r="AE86" i="25" s="1"/>
  <c r="C697" i="25" s="1"/>
  <c r="BX53" i="25"/>
  <c r="BX68" i="25" s="1"/>
  <c r="BX86" i="25" s="1"/>
  <c r="C645" i="25" s="1"/>
  <c r="BP53" i="25"/>
  <c r="BP68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L53" i="25"/>
  <c r="L68" i="25" s="1"/>
  <c r="L86" i="25" s="1"/>
  <c r="D53" i="25"/>
  <c r="D68" i="25" s="1"/>
  <c r="P53" i="25"/>
  <c r="P68" i="25" s="1"/>
  <c r="P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S53" i="25"/>
  <c r="S68" i="25" s="1"/>
  <c r="S86" i="25" s="1"/>
  <c r="K53" i="25"/>
  <c r="K68" i="25" s="1"/>
  <c r="K86" i="25" s="1"/>
  <c r="C53" i="25"/>
  <c r="X53" i="25"/>
  <c r="X68" i="25" s="1"/>
  <c r="X86" i="25" s="1"/>
  <c r="BS53" i="25"/>
  <c r="BS68" i="25" s="1"/>
  <c r="BS86" i="25" s="1"/>
  <c r="C640" i="25" s="1"/>
  <c r="AM53" i="25"/>
  <c r="AM68" i="25" s="1"/>
  <c r="AM86" i="25" s="1"/>
  <c r="G53" i="25"/>
  <c r="G68" i="25" s="1"/>
  <c r="G86" i="25" s="1"/>
  <c r="CD53" i="25"/>
  <c r="BV53" i="25"/>
  <c r="BV68" i="25" s="1"/>
  <c r="BN53" i="25"/>
  <c r="BN68" i="25" s="1"/>
  <c r="BF53" i="25"/>
  <c r="BF68" i="25" s="1"/>
  <c r="BF86" i="25" s="1"/>
  <c r="AX53" i="25"/>
  <c r="AX68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AN53" i="25"/>
  <c r="AN68" i="25" s="1"/>
  <c r="AN86" i="25" s="1"/>
  <c r="C70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C615" i="25" s="1"/>
  <c r="AW53" i="25"/>
  <c r="AW68" i="25" s="1"/>
  <c r="AW86" i="25" s="1"/>
  <c r="AO53" i="25"/>
  <c r="AO68" i="25" s="1"/>
  <c r="AG53" i="25"/>
  <c r="AG68" i="25" s="1"/>
  <c r="AG86" i="25" s="1"/>
  <c r="Y53" i="25"/>
  <c r="Y68" i="25" s="1"/>
  <c r="Q53" i="25"/>
  <c r="Q68" i="25" s="1"/>
  <c r="Q86" i="25" s="1"/>
  <c r="I53" i="25"/>
  <c r="I68" i="25" s="1"/>
  <c r="I86" i="25" s="1"/>
  <c r="AV53" i="25"/>
  <c r="AV68" i="25" s="1"/>
  <c r="CA53" i="25"/>
  <c r="CA68" i="25" s="1"/>
  <c r="CA86" i="25" s="1"/>
  <c r="B91" i="15" s="1"/>
  <c r="W53" i="25"/>
  <c r="W68" i="25" s="1"/>
  <c r="W86" i="25" s="1"/>
  <c r="CB53" i="25"/>
  <c r="CB68" i="25" s="1"/>
  <c r="BT53" i="25"/>
  <c r="BT68" i="25" s="1"/>
  <c r="BT86" i="25" s="1"/>
  <c r="BL53" i="25"/>
  <c r="BL68" i="25" s="1"/>
  <c r="BL86" i="25" s="1"/>
  <c r="B76" i="15" s="1"/>
  <c r="BD53" i="25"/>
  <c r="BD68" i="25" s="1"/>
  <c r="BD86" i="25" s="1"/>
  <c r="BZ86" i="25"/>
  <c r="B90" i="15" s="1"/>
  <c r="AV86" i="25"/>
  <c r="C714" i="25" s="1"/>
  <c r="T86" i="25"/>
  <c r="C686" i="25" s="1"/>
  <c r="Y86" i="25"/>
  <c r="C691" i="25" s="1"/>
  <c r="AT86" i="25"/>
  <c r="C712" i="25" s="1"/>
  <c r="CB86" i="25"/>
  <c r="AX86" i="25"/>
  <c r="BI86" i="25"/>
  <c r="B73" i="15" s="1"/>
  <c r="AC86" i="25"/>
  <c r="C695" i="25" s="1"/>
  <c r="AO86" i="25"/>
  <c r="C707" i="25" s="1"/>
  <c r="D86" i="25"/>
  <c r="C670" i="25" s="1"/>
  <c r="BP86" i="25"/>
  <c r="B80" i="15" s="1"/>
  <c r="BV86" i="25"/>
  <c r="C643" i="25" s="1"/>
  <c r="BN86" i="25"/>
  <c r="C620" i="25" s="1"/>
  <c r="BY86" i="25"/>
  <c r="C646" i="25" s="1"/>
  <c r="AA86" i="25"/>
  <c r="C693" i="25" s="1"/>
  <c r="AU86" i="25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5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B86" i="15"/>
  <c r="M75" i="3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B41" i="15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17" i="25"/>
  <c r="B6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B78" i="15"/>
  <c r="Y52" i="24"/>
  <c r="Y67" i="24" s="1"/>
  <c r="BN52" i="24"/>
  <c r="BN67" i="24" s="1"/>
  <c r="BX85" i="24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713" i="25"/>
  <c r="B59" i="15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S85" i="24" l="1"/>
  <c r="E85" i="24"/>
  <c r="E49" i="32"/>
  <c r="E17" i="32"/>
  <c r="C113" i="32"/>
  <c r="M11" i="31"/>
  <c r="M61" i="31"/>
  <c r="C683" i="25"/>
  <c r="B29" i="15"/>
  <c r="C677" i="25"/>
  <c r="B23" i="15"/>
  <c r="B53" i="15"/>
  <c r="C710" i="25"/>
  <c r="B56" i="15"/>
  <c r="F56" i="15" s="1"/>
  <c r="C644" i="25"/>
  <c r="B87" i="15"/>
  <c r="H87" i="15" s="1"/>
  <c r="I87" i="15" s="1"/>
  <c r="C700" i="25"/>
  <c r="B46" i="15"/>
  <c r="H46" i="15" s="1"/>
  <c r="I46" i="15" s="1"/>
  <c r="B51" i="15"/>
  <c r="F51" i="15" s="1"/>
  <c r="C705" i="25"/>
  <c r="C711" i="25"/>
  <c r="B57" i="15"/>
  <c r="F57" i="15" s="1"/>
  <c r="B20" i="15"/>
  <c r="H20" i="15" s="1"/>
  <c r="I20" i="15" s="1"/>
  <c r="C674" i="25"/>
  <c r="C618" i="25"/>
  <c r="B74" i="15"/>
  <c r="H74" i="15" s="1"/>
  <c r="I74" i="15" s="1"/>
  <c r="C621" i="25"/>
  <c r="B93" i="15"/>
  <c r="F93" i="15" s="1"/>
  <c r="B34" i="15"/>
  <c r="C688" i="25"/>
  <c r="C629" i="25"/>
  <c r="B64" i="15"/>
  <c r="B66" i="15"/>
  <c r="C633" i="25"/>
  <c r="C639" i="25"/>
  <c r="B77" i="15"/>
  <c r="F77" i="15" s="1"/>
  <c r="C694" i="25"/>
  <c r="B40" i="15"/>
  <c r="F40" i="15" s="1"/>
  <c r="C675" i="25"/>
  <c r="B21" i="15"/>
  <c r="F21" i="15" s="1"/>
  <c r="C690" i="25"/>
  <c r="B36" i="15"/>
  <c r="F36" i="15" s="1"/>
  <c r="H36" i="15" s="1"/>
  <c r="I36" i="15" s="1"/>
  <c r="B71" i="15"/>
  <c r="H71" i="15" s="1"/>
  <c r="I71" i="15" s="1"/>
  <c r="C619" i="25"/>
  <c r="C698" i="25"/>
  <c r="B44" i="15"/>
  <c r="F44" i="15" s="1"/>
  <c r="C680" i="25"/>
  <c r="B26" i="15"/>
  <c r="F26" i="15" s="1"/>
  <c r="B25" i="15"/>
  <c r="H25" i="15" s="1"/>
  <c r="I25" i="15" s="1"/>
  <c r="B37" i="15"/>
  <c r="F37" i="15" s="1"/>
  <c r="C647" i="25"/>
  <c r="C635" i="25"/>
  <c r="B79" i="15"/>
  <c r="C622" i="25"/>
  <c r="B81" i="15"/>
  <c r="F81" i="15" s="1"/>
  <c r="C696" i="25"/>
  <c r="B88" i="15"/>
  <c r="B32" i="15"/>
  <c r="F32" i="15" s="1"/>
  <c r="C638" i="25"/>
  <c r="B16" i="15"/>
  <c r="H16" i="15" s="1"/>
  <c r="I16" i="15" s="1"/>
  <c r="B89" i="15"/>
  <c r="B67" i="15"/>
  <c r="B54" i="15"/>
  <c r="F54" i="15" s="1"/>
  <c r="C648" i="25"/>
  <c r="B52" i="15"/>
  <c r="C632" i="25"/>
  <c r="B61" i="15"/>
  <c r="C692" i="25"/>
  <c r="B38" i="15"/>
  <c r="B19" i="15"/>
  <c r="H19" i="15" s="1"/>
  <c r="I19" i="15" s="1"/>
  <c r="C673" i="25"/>
  <c r="C701" i="25"/>
  <c r="B47" i="15"/>
  <c r="F47" i="15" s="1"/>
  <c r="C678" i="25"/>
  <c r="B24" i="15"/>
  <c r="F24" i="15" s="1"/>
  <c r="B49" i="15"/>
  <c r="F49" i="15" s="1"/>
  <c r="C703" i="25"/>
  <c r="C709" i="25"/>
  <c r="B55" i="15"/>
  <c r="F55" i="15" s="1"/>
  <c r="C642" i="25"/>
  <c r="B85" i="15"/>
  <c r="F85" i="15" s="1"/>
  <c r="C702" i="25"/>
  <c r="B48" i="15"/>
  <c r="F48" i="15" s="1"/>
  <c r="B30" i="15"/>
  <c r="F30" i="15" s="1"/>
  <c r="C684" i="25"/>
  <c r="C636" i="25"/>
  <c r="B75" i="15"/>
  <c r="F75" i="15" s="1"/>
  <c r="C672" i="25"/>
  <c r="B18" i="15"/>
  <c r="F18" i="15" s="1"/>
  <c r="C625" i="25"/>
  <c r="B68" i="15"/>
  <c r="C630" i="25"/>
  <c r="B70" i="15"/>
  <c r="C671" i="25"/>
  <c r="B17" i="15"/>
  <c r="F17" i="15" s="1"/>
  <c r="C689" i="25"/>
  <c r="B35" i="15"/>
  <c r="F35" i="15" s="1"/>
  <c r="C627" i="25"/>
  <c r="B82" i="15"/>
  <c r="F82" i="15" s="1"/>
  <c r="C626" i="25"/>
  <c r="B63" i="15"/>
  <c r="C631" i="25"/>
  <c r="B65" i="15"/>
  <c r="F65" i="15" s="1"/>
  <c r="B84" i="15"/>
  <c r="H84" i="15" s="1"/>
  <c r="I84" i="15" s="1"/>
  <c r="C641" i="25"/>
  <c r="C699" i="25"/>
  <c r="B45" i="15"/>
  <c r="F45" i="15" s="1"/>
  <c r="C676" i="25"/>
  <c r="B22" i="15"/>
  <c r="C685" i="25"/>
  <c r="B31" i="15"/>
  <c r="F31" i="15" s="1"/>
  <c r="C682" i="25"/>
  <c r="B28" i="15"/>
  <c r="F28" i="15" s="1"/>
  <c r="C637" i="25"/>
  <c r="B72" i="15"/>
  <c r="H72" i="15" s="1"/>
  <c r="I72" i="15" s="1"/>
  <c r="B27" i="15"/>
  <c r="H27" i="15" s="1"/>
  <c r="I27" i="15" s="1"/>
  <c r="C681" i="25"/>
  <c r="B50" i="15"/>
  <c r="F50" i="15" s="1"/>
  <c r="B69" i="15"/>
  <c r="F69" i="15" s="1"/>
  <c r="B39" i="15"/>
  <c r="F39" i="15" s="1"/>
  <c r="B43" i="15"/>
  <c r="F43" i="15" s="1"/>
  <c r="B83" i="15"/>
  <c r="H83" i="15" s="1"/>
  <c r="I83" i="15" s="1"/>
  <c r="B33" i="15"/>
  <c r="F33" i="15" s="1"/>
  <c r="C68" i="25"/>
  <c r="CE68" i="25" s="1"/>
  <c r="CE53" i="25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74" i="15"/>
  <c r="M80" i="31"/>
  <c r="D369" i="32"/>
  <c r="CC85" i="24"/>
  <c r="E53" i="32"/>
  <c r="C24" i="15"/>
  <c r="G24" i="15" s="1"/>
  <c r="C677" i="24"/>
  <c r="M21" i="31"/>
  <c r="H81" i="32"/>
  <c r="V85" i="24"/>
  <c r="F63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H23" i="15"/>
  <c r="I23" i="15" s="1"/>
  <c r="F23" i="15"/>
  <c r="M59" i="31"/>
  <c r="D273" i="32"/>
  <c r="BH85" i="24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H26" i="15"/>
  <c r="I26" i="15" s="1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F42" i="15"/>
  <c r="M17" i="31"/>
  <c r="D81" i="32"/>
  <c r="R85" i="24"/>
  <c r="H22" i="15"/>
  <c r="I22" i="15" s="1"/>
  <c r="F22" i="15"/>
  <c r="F78" i="15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F88" i="15"/>
  <c r="M66" i="31"/>
  <c r="D305" i="32"/>
  <c r="BO85" i="24"/>
  <c r="F59" i="15"/>
  <c r="M53" i="31"/>
  <c r="E241" i="32"/>
  <c r="BB85" i="24"/>
  <c r="F53" i="15"/>
  <c r="H53" i="15"/>
  <c r="I53" i="15" s="1"/>
  <c r="C67" i="24"/>
  <c r="CE52" i="24"/>
  <c r="E85" i="32"/>
  <c r="C31" i="15"/>
  <c r="G31" i="15" s="1"/>
  <c r="C684" i="24"/>
  <c r="F70" i="15"/>
  <c r="M62" i="31"/>
  <c r="G273" i="32"/>
  <c r="BK85" i="24"/>
  <c r="M50" i="31"/>
  <c r="I209" i="32"/>
  <c r="AY85" i="24"/>
  <c r="F29" i="15"/>
  <c r="H94" i="15"/>
  <c r="I94" i="15" s="1"/>
  <c r="G94" i="15"/>
  <c r="F4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H51" i="15"/>
  <c r="I51" i="15" s="1"/>
  <c r="M26" i="31"/>
  <c r="F113" i="32"/>
  <c r="AA85" i="24"/>
  <c r="M25" i="31"/>
  <c r="E113" i="32"/>
  <c r="Z85" i="24"/>
  <c r="F34" i="15"/>
  <c r="H24" i="15"/>
  <c r="I24" i="15" s="1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4" i="15"/>
  <c r="M72" i="31"/>
  <c r="C337" i="32"/>
  <c r="BU85" i="24"/>
  <c r="F92" i="15"/>
  <c r="F89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F91" i="15"/>
  <c r="H91" i="15" s="1"/>
  <c r="I91" i="15" s="1"/>
  <c r="C92" i="15"/>
  <c r="G92" i="15" s="1"/>
  <c r="C373" i="32"/>
  <c r="C622" i="24"/>
  <c r="F87" i="15" l="1"/>
  <c r="F84" i="15"/>
  <c r="F20" i="15"/>
  <c r="H21" i="15"/>
  <c r="I21" i="15" s="1"/>
  <c r="C42" i="15"/>
  <c r="G42" i="15" s="1"/>
  <c r="H59" i="15"/>
  <c r="I59" i="15" s="1"/>
  <c r="H277" i="32"/>
  <c r="I117" i="32"/>
  <c r="C74" i="15"/>
  <c r="G74" i="15" s="1"/>
  <c r="H55" i="15"/>
  <c r="I55" i="15" s="1"/>
  <c r="H81" i="15"/>
  <c r="I81" i="15" s="1"/>
  <c r="H57" i="15"/>
  <c r="I57" i="15" s="1"/>
  <c r="F19" i="15"/>
  <c r="H44" i="15"/>
  <c r="I44" i="15" s="1"/>
  <c r="H54" i="15"/>
  <c r="I54" i="15" s="1"/>
  <c r="C86" i="25"/>
  <c r="CE86" i="25" s="1"/>
  <c r="C717" i="25" s="1"/>
  <c r="F72" i="15"/>
  <c r="F71" i="15"/>
  <c r="H77" i="15"/>
  <c r="I77" i="15" s="1"/>
  <c r="F46" i="15"/>
  <c r="F16" i="15"/>
  <c r="H18" i="15"/>
  <c r="I18" i="15" s="1"/>
  <c r="F25" i="15"/>
  <c r="F83" i="15"/>
  <c r="C649" i="25"/>
  <c r="M717" i="25" s="1"/>
  <c r="F27" i="15"/>
  <c r="H85" i="15"/>
  <c r="I85" i="15" s="1"/>
  <c r="H47" i="15"/>
  <c r="I47" i="15" s="1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B15" i="15" l="1"/>
  <c r="H30" i="15"/>
  <c r="I30" i="15" s="1"/>
  <c r="H69" i="15"/>
  <c r="I69" i="15" s="1"/>
  <c r="C669" i="25"/>
  <c r="C716" i="2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<sst xmlns="http://schemas.openxmlformats.org/spreadsheetml/2006/main" count="5779" uniqueCount="1389">
  <si>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</si>
  <si>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</si>
  <si>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</si>
  <si>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</si>
  <si>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</si>
  <si>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</si>
  <si>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</si>
  <si>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</si>
  <si>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</si>
  <si>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</si>
  <si>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</si>
  <si>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</si>
  <si>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</si>
  <si>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</si>
  <si>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</si>
  <si>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</si>
  <si>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</si>
  <si>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</si>
  <si>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</si>
  <si>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</si>
  <si>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</si>
  <si>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</si>
  <si>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</si>
  <si>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</si>
  <si>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</si>
  <si>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</si>
  <si>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</si>
  <si>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</si>
  <si>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</si>
  <si>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</si>
  <si>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</si>
  <si>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</si>
  <si>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</si>
  <si>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</si>
  <si>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</si>
  <si>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</si>
  <si>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</si>
  <si>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</si>
  <si>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</si>
  <si>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</si>
  <si>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</si>
  <si>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</si>
  <si>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</si>
  <si>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</si>
  <si>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</si>
  <si>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</si>
  <si>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</si>
  <si>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</si>
  <si>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</si>
  <si>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</si>
  <si>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</si>
  <si>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</si>
  <si>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</si>
  <si>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</si>
  <si>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</si>
  <si>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</si>
  <si>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</si>
  <si>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</si>
  <si>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</si>
  <si>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</si>
  <si>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</si>
  <si>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</si>
  <si>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</si>
  <si>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</si>
  <si>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</si>
  <si>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</si>
  <si>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</si>
  <si>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</si>
  <si>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</si>
  <si>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</si>
  <si>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</si>
  <si>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</si>
  <si>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</si>
  <si>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</si>
  <si>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</si>
  <si>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</si>
  <si>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</si>
  <si>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</si>
  <si>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</si>
  <si>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</si>
  <si>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</si>
  <si>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</si>
  <si>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</si>
  <si>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</si>
  <si>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</si>
  <si>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</si>
  <si>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</si>
  <si>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</si>
  <si>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</si>
  <si>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</si>
  <si>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</si>
  <si>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</si>
  <si>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</si>
  <si>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</si>
  <si>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</si>
  <si>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</si>
  <si>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</si>
  <si>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</si>
  <si>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</si>
  <si>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</si>
  <si>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</si>
  <si>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</si>
  <si>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</si>
  <si>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</si>
  <si>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</si>
  <si>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</si>
  <si>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</si>
  <si>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</si>
  <si>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</si>
  <si>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</si>
  <si>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</si>
  <si>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</si>
  <si>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</si>
  <si>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</si>
  <si>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</si>
  <si>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</si>
  <si>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</si>
  <si>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</si>
  <si>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</si>
  <si>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</si>
  <si>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</si>
  <si>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</si>
  <si>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</si>
  <si>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</si>
  <si>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</si>
  <si>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</si>
  <si>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</si>
  <si>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</si>
  <si>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</si>
  <si>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</si>
  <si>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</si>
  <si>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</si>
  <si>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</si>
  <si>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</si>
  <si>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</si>
  <si>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</si>
  <si>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</si>
  <si>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</si>
  <si>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</si>
  <si>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</si>
  <si>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</si>
  <si>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</si>
  <si>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</si>
  <si>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</si>
  <si>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</si>
  <si>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</si>
  <si>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</si>
  <si>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</si>
  <si>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</si>
  <si>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</si>
  <si>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</si>
  <si>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</si>
  <si>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</si>
  <si>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</si>
  <si>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</si>
  <si>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</si>
  <si>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</si>
  <si>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</si>
  <si>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</si>
  <si>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</si>
  <si>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</si>
  <si>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</si>
  <si>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</si>
  <si>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</si>
  <si>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</si>
  <si>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</si>
  <si>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</si>
  <si>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</si>
  <si>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</si>
  <si>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</si>
  <si>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</si>
  <si>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</si>
  <si>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</si>
  <si>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</si>
  <si>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</si>
  <si>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</si>
  <si>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</si>
  <si>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</si>
  <si>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</si>
  <si>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</si>
  <si>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</si>
  <si>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</si>
  <si>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</si>
  <si>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</si>
  <si>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</si>
  <si>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</si>
  <si>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</si>
  <si>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</si>
  <si>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</si>
  <si>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</si>
  <si>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</si>
  <si>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</si>
  <si>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</si>
  <si>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</si>
  <si>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</si>
  <si>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</si>
  <si>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</si>
  <si>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</si>
  <si>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</si>
  <si>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</si>
  <si>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</si>
  <si>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</si>
  <si>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</si>
  <si>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</si>
  <si>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</si>
  <si>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</si>
  <si>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</si>
  <si>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</si>
  <si>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</si>
  <si>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</si>
  <si>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</si>
  <si>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</si>
  <si>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</si>
  <si>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</si>
  <si>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</si>
  <si>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</si>
  <si>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</si>
  <si>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</si>
  <si>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</si>
  <si>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</si>
  <si>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</si>
  <si>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</si>
  <si>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</si>
  <si>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</si>
  <si>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</si>
  <si>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</si>
  <si>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</si>
  <si>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</si>
  <si>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</si>
  <si>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</si>
  <si>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</si>
  <si>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</si>
  <si>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</si>
  <si>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</si>
  <si>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</si>
  <si>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</si>
  <si>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</si>
  <si>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</si>
  <si>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</si>
  <si>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</si>
  <si>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</si>
  <si>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</si>
  <si>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</si>
  <si>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</si>
  <si>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</si>
  <si>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</si>
  <si>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</si>
  <si>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</si>
  <si>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</si>
  <si>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</si>
  <si>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</si>
  <si>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</si>
  <si>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</si>
  <si>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</si>
  <si>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</si>
  <si>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</si>
  <si>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</si>
  <si>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</si>
  <si>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</si>
  <si>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</si>
  <si>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</si>
  <si>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</si>
  <si>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</si>
  <si>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</si>
  <si>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</si>
  <si>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</si>
  <si>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</si>
  <si>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</si>
  <si>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</si>
  <si>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</si>
  <si>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</si>
  <si>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</si>
  <si>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</si>
  <si>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</si>
  <si>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</si>
  <si>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</si>
  <si>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</si>
  <si>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</si>
  <si>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</si>
  <si>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</si>
  <si>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</si>
  <si>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</si>
  <si>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</si>
  <si>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</si>
  <si>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</si>
  <si>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</si>
  <si>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</si>
  <si>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</si>
  <si>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</si>
  <si>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</si>
  <si>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</si>
  <si>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</si>
  <si>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</si>
  <si>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</si>
  <si>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</si>
  <si>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</si>
  <si>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</si>
  <si>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</si>
  <si>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</si>
  <si>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</si>
  <si>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</si>
  <si>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</si>
  <si>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</si>
  <si>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</si>
  <si>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</si>
  <si>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</si>
  <si>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</si>
  <si>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</si>
  <si>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</si>
  <si>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</si>
  <si>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</si>
  <si>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</si>
  <si>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</si>
  <si>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</si>
  <si>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</si>
  <si>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</si>
  <si>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</si>
  <si>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</si>
  <si>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</si>
  <si>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</si>
  <si>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</si>
  <si>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</si>
  <si>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</si>
  <si>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</si>
  <si>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</si>
  <si>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</si>
  <si>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</si>
  <si>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</si>
  <si>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</si>
  <si>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</si>
  <si>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</si>
  <si>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</si>
  <si>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</si>
  <si>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</si>
  <si>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</si>
  <si>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</si>
  <si>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</si>
  <si>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</si>
  <si>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</si>
  <si>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</si>
  <si>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</si>
  <si>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</si>
  <si>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</si>
  <si>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</si>
  <si>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</si>
  <si>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</si>
  <si>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</si>
  <si>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</si>
  <si>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</si>
  <si>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</si>
  <si>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</si>
  <si>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</si>
  <si>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</si>
  <si>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</si>
  <si>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</si>
  <si>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</si>
  <si>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</si>
  <si>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</si>
  <si>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</si>
  <si>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</si>
  <si>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</si>
  <si>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</si>
  <si>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</si>
  <si>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</si>
  <si>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</si>
  <si>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</si>
  <si>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</si>
  <si>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</si>
  <si>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</si>
  <si>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</si>
  <si>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</si>
  <si>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</si>
  <si>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</si>
  <si>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</si>
  <si>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</si>
  <si>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</si>
  <si>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</si>
  <si>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</si>
  <si>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</si>
  <si>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</si>
  <si>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</si>
  <si>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</si>
  <si>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</si>
  <si>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</si>
  <si>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</si>
  <si>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</si>
  <si>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</si>
  <si>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</si>
  <si>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</si>
  <si>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</si>
  <si>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</si>
  <si>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</si>
  <si>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</si>
  <si>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</si>
  <si>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</si>
  <si>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</si>
  <si>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</si>
  <si>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</si>
  <si>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</si>
  <si>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</si>
  <si>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</si>
  <si>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</si>
  <si>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</si>
  <si>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</si>
  <si>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</si>
  <si>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</si>
  <si>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</si>
  <si>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</si>
  <si>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</si>
  <si>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</si>
  <si>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</si>
  <si>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</si>
  <si>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</si>
  <si>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</si>
  <si>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</si>
  <si>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</si>
  <si>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</si>
  <si>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</si>
  <si>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</si>
  <si>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</si>
  <si>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</si>
  <si>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</si>
  <si>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</si>
  <si>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</si>
  <si>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</si>
  <si>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</si>
  <si>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</si>
  <si>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</si>
  <si>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</si>
  <si>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</si>
  <si>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</si>
  <si>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</si>
  <si>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</si>
  <si>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</si>
  <si>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</si>
  <si>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</si>
  <si>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</si>
  <si>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</si>
  <si>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</si>
  <si>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</si>
  <si>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</si>
  <si>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</si>
  <si>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</si>
  <si>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</si>
  <si>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</si>
  <si>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</si>
  <si>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</si>
  <si>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</si>
  <si>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</si>
  <si>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</si>
  <si>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</si>
  <si>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</si>
  <si>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</si>
  <si>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</si>
  <si>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</si>
  <si>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</si>
  <si>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</si>
  <si>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</si>
  <si>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</si>
  <si>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</si>
  <si>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</si>
  <si>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</si>
  <si>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</si>
  <si>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</si>
  <si>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</si>
  <si>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</si>
  <si>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</si>
  <si>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</si>
  <si>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</si>
  <si>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</si>
  <si>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</si>
  <si>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</si>
  <si>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</si>
  <si>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</si>
  <si>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</si>
  <si>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</si>
  <si>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</si>
  <si>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</si>
  <si>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</si>
  <si>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</si>
  <si>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</si>
  <si>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</si>
  <si>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</si>
  <si>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</si>
  <si>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</si>
  <si>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</si>
  <si>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</si>
  <si>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</si>
  <si>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</si>
  <si>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</si>
  <si>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</si>
  <si>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</si>
  <si>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</si>
  <si>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</si>
  <si>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</si>
  <si>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</si>
  <si>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</si>
  <si>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</si>
  <si>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</si>
  <si>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</si>
  <si>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</si>
  <si>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</si>
  <si>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</si>
  <si>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</si>
  <si>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</si>
  <si>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</si>
  <si>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</si>
  <si>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</si>
  <si>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</si>
  <si>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</si>
  <si>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</si>
  <si>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</si>
  <si>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</si>
  <si>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</si>
  <si>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</si>
  <si>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</si>
  <si>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</si>
  <si>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</si>
  <si>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</si>
  <si>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</si>
  <si>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</si>
  <si>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</si>
  <si>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</si>
  <si>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</si>
  <si>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</si>
  <si>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</si>
  <si>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</si>
  <si>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</si>
  <si>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</si>
  <si>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</si>
  <si>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</si>
  <si>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</si>
  <si>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</si>
  <si>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</si>
  <si>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</si>
  <si>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</si>
  <si>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</si>
  <si>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</si>
  <si>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</si>
  <si>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</si>
  <si>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</si>
  <si>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</si>
  <si>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</si>
  <si>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</si>
  <si>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</si>
  <si>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</si>
  <si>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</si>
  <si>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</si>
  <si>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</si>
  <si>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</si>
  <si>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</si>
  <si>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</si>
  <si>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</si>
  <si>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</si>
  <si>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</si>
  <si>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</si>
  <si>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</si>
  <si>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</si>
  <si>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</si>
  <si>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</si>
  <si>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</si>
  <si>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</si>
  <si>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</si>
  <si>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</si>
  <si>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</si>
  <si>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</si>
  <si>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</si>
  <si>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</si>
  <si>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</si>
  <si>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</si>
  <si>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</si>
  <si>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</si>
  <si>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</si>
  <si>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</si>
  <si>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</si>
  <si>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</si>
  <si>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</si>
  <si>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</si>
  <si>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</si>
  <si>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</si>
  <si>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</si>
  <si>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</si>
  <si>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</si>
  <si>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</si>
  <si>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</si>
  <si>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</si>
  <si>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</si>
  <si>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</si>
  <si>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</si>
  <si>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</si>
  <si>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</si>
  <si>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</si>
  <si>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</si>
  <si>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</si>
  <si>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</si>
  <si>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</si>
  <si>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</si>
  <si>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</si>
  <si>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</si>
  <si>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</si>
  <si>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</si>
  <si>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</si>
  <si>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</si>
  <si>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</si>
  <si>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</si>
  <si>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</si>
  <si>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</si>
  <si>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</si>
  <si>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</si>
  <si>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</si>
  <si>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</si>
  <si>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</si>
  <si>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</si>
  <si>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</si>
  <si>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</si>
  <si>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</si>
  <si>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</si>
  <si>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</si>
  <si>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</si>
  <si>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</si>
  <si>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</si>
  <si>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</si>
  <si>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</si>
  <si>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</si>
  <si>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</si>
  <si>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</si>
  <si>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</si>
  <si>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</si>
  <si>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</si>
  <si>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</si>
  <si>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</si>
  <si>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</si>
  <si>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</si>
  <si>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</si>
  <si>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</si>
  <si>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</si>
  <si>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</si>
  <si>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</si>
  <si>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</si>
  <si>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</si>
  <si>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</si>
  <si>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</si>
  <si>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</si>
  <si>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</si>
  <si>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</si>
  <si>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</si>
  <si>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</si>
  <si>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</si>
  <si>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</si>
  <si>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</si>
  <si>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</si>
  <si>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</si>
  <si>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</si>
  <si>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</si>
  <si>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</si>
  <si>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</si>
  <si>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</si>
  <si>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</si>
  <si>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</si>
  <si>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</si>
  <si>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</si>
  <si>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</si>
  <si>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</si>
  <si>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</si>
  <si>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</si>
  <si>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</si>
  <si>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</si>
  <si>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</si>
  <si>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</si>
  <si>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</si>
  <si>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</si>
  <si>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</si>
  <si>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</si>
  <si>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</si>
  <si>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</si>
  <si>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</si>
  <si>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</si>
  <si>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</si>
  <si>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</si>
  <si>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</si>
  <si>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</si>
  <si>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</si>
  <si>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</si>
  <si>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</si>
  <si>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</si>
  <si>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</si>
  <si>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</si>
  <si>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</si>
  <si>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</si>
  <si>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</si>
  <si>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</si>
  <si>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</si>
  <si>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</si>
  <si>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</si>
  <si>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</si>
  <si>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</si>
  <si>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</si>
  <si>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</si>
  <si>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</si>
  <si>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</si>
  <si>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</si>
  <si>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</si>
  <si>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</si>
  <si>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</si>
  <si>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</si>
  <si>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</si>
  <si>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</si>
  <si>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</si>
  <si>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</si>
  <si>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</si>
  <si>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</si>
  <si>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</si>
  <si>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</si>
  <si>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</si>
  <si>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</si>
  <si>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</si>
  <si>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</si>
  <si>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</si>
  <si>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</si>
  <si>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</si>
  <si>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</si>
  <si>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</si>
  <si>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</si>
  <si>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</si>
  <si>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</si>
  <si>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</si>
  <si>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</si>
  <si>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</si>
  <si>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</si>
  <si>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</si>
  <si>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</si>
  <si>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</si>
  <si>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</si>
  <si>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</si>
  <si>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</si>
  <si>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</si>
  <si>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</si>
  <si>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</si>
  <si>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</si>
  <si>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</si>
  <si>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</si>
  <si>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</si>
  <si>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</si>
  <si>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</si>
  <si>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</si>
  <si>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</si>
  <si>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</si>
  <si>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</si>
  <si>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</si>
  <si>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</si>
  <si>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</si>
  <si>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</si>
  <si>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</si>
  <si>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</si>
  <si>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</si>
  <si>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</si>
  <si>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</si>
  <si>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</si>
  <si>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</si>
  <si>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</si>
  <si>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</si>
  <si>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</si>
  <si>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</si>
  <si>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</si>
  <si>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</si>
  <si>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</si>
  <si>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</si>
  <si>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</si>
  <si>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</si>
  <si>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</si>
  <si>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</si>
  <si>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</si>
  <si>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</si>
  <si>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</si>
  <si>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</si>
  <si>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</si>
  <si>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</si>
  <si>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</si>
  <si>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</si>
  <si>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</si>
  <si>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</si>
  <si>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</si>
  <si>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</si>
  <si>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</si>
  <si>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</si>
  <si>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</si>
  <si>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</si>
  <si>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</si>
  <si>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</si>
  <si>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</si>
  <si>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</si>
  <si>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</si>
  <si>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</si>
  <si>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</si>
  <si>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</si>
  <si>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</si>
  <si>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</si>
  <si>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</si>
  <si>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</si>
  <si>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</si>
  <si>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</si>
  <si>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</si>
  <si>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</si>
  <si>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</si>
  <si>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</si>
  <si>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</si>
  <si>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</si>
  <si>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</si>
  <si>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</si>
  <si>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</si>
  <si>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</si>
  <si>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</si>
  <si>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</si>
  <si>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</si>
  <si>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</si>
  <si>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</si>
  <si>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</si>
  <si>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</si>
  <si>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</si>
  <si>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</si>
  <si>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</si>
  <si>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</si>
  <si>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</si>
  <si>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</si>
  <si>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</si>
  <si>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</si>
  <si>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</si>
  <si>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</si>
  <si>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</si>
  <si>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</si>
  <si>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</si>
  <si>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</si>
  <si>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</si>
  <si>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</si>
  <si>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</si>
  <si>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</si>
  <si>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</si>
  <si>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</si>
  <si>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</si>
  <si>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</si>
  <si>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</si>
  <si>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</si>
  <si>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</si>
  <si>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</si>
  <si>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</si>
  <si>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</si>
  <si>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</si>
  <si>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</si>
  <si>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</si>
  <si>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</si>
  <si>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</si>
  <si>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</si>
  <si>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</si>
  <si>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</si>
  <si>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</si>
  <si>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</si>
  <si>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</si>
  <si>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</si>
  <si>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</si>
  <si>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</si>
  <si>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</si>
  <si>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</si>
  <si>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</si>
  <si>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</si>
  <si>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</si>
  <si>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</si>
  <si>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</si>
  <si>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</si>
  <si>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</si>
  <si>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</si>
  <si>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</si>
  <si>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</si>
  <si>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</si>
  <si>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</si>
  <si>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</si>
  <si>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</si>
  <si>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</si>
  <si>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</si>
  <si>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</si>
  <si>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</si>
  <si>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</si>
  <si>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</si>
  <si>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</si>
  <si>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</si>
  <si>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</si>
  <si>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</si>
  <si>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</si>
  <si>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</si>
  <si>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</si>
  <si>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</si>
  <si>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</si>
  <si>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</si>
  <si>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</si>
  <si>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</si>
  <si>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</si>
  <si>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</si>
  <si>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</si>
  <si>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</si>
  <si>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</si>
  <si>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</si>
  <si>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</si>
  <si>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</si>
  <si>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</si>
  <si>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</si>
  <si>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</si>
  <si>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</si>
  <si>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</si>
  <si>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</si>
  <si>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</si>
  <si>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</si>
  <si>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</si>
  <si>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</si>
  <si>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</si>
  <si>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</si>
  <si>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</si>
  <si>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</si>
  <si>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</si>
  <si>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</si>
  <si>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</si>
  <si>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</si>
  <si>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</si>
  <si>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</si>
  <si>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</si>
  <si>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</si>
  <si>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</si>
  <si>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</si>
  <si>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</si>
  <si>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</si>
  <si>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</si>
  <si>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</si>
  <si>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</si>
  <si>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</si>
  <si>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</si>
  <si>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</si>
  <si>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</si>
  <si>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</si>
  <si>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</si>
  <si>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</si>
  <si>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</si>
  <si>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</si>
  <si>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</si>
  <si>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</si>
  <si>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</si>
  <si>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</si>
  <si>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</si>
  <si>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</si>
  <si>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</si>
  <si>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</si>
  <si>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</si>
  <si>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</si>
  <si>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</si>
  <si>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</si>
  <si>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</si>
  <si>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</si>
  <si>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</si>
  <si>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</si>
  <si>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</si>
  <si>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</si>
  <si>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</si>
  <si>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</si>
  <si>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</si>
  <si>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</si>
  <si>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</si>
  <si>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</si>
  <si>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</si>
  <si>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</si>
  <si>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</si>
  <si>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</si>
  <si>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</si>
  <si>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</si>
  <si>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</si>
  <si>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</si>
  <si>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</si>
  <si>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</si>
  <si>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</si>
  <si>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</si>
  <si>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</si>
  <si>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</si>
  <si>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</si>
  <si>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</si>
  <si>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</si>
  <si>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</si>
  <si>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</si>
  <si>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</si>
  <si>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</si>
  <si>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</si>
  <si>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</si>
  <si>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</si>
  <si>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</si>
  <si>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</si>
  <si>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</si>
  <si>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</si>
  <si>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</si>
  <si>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</si>
  <si>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</si>
  <si>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</si>
  <si>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</si>
  <si>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</si>
  <si>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</si>
  <si>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</si>
  <si>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</si>
  <si>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</si>
  <si>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</si>
  <si>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</si>
  <si>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</si>
  <si>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</si>
  <si>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</si>
  <si>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</si>
  <si>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</si>
  <si>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</si>
  <si>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</si>
  <si>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</si>
  <si>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</si>
  <si>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</si>
  <si>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</si>
  <si>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</si>
  <si>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</si>
  <si>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</si>
  <si>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</si>
  <si>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</si>
  <si>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</si>
  <si>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</si>
  <si>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</si>
  <si>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</si>
  <si>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</si>
  <si>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</si>
  <si>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</si>
  <si>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</si>
  <si>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</si>
  <si>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</si>
  <si>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</si>
  <si>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</si>
  <si>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</si>
  <si>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</si>
  <si>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</si>
  <si>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</si>
  <si>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</si>
  <si>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</si>
  <si>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</si>
  <si>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</si>
  <si>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</si>
  <si>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</si>
  <si>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</si>
  <si>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</si>
  <si>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</si>
  <si>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</si>
  <si>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</si>
  <si>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</si>
  <si>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</si>
  <si>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</si>
  <si>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</si>
  <si>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</si>
  <si>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</si>
  <si>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</si>
  <si>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</si>
  <si>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</si>
  <si>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</si>
  <si>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</si>
  <si>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</si>
  <si>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</si>
  <si>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</si>
  <si>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</si>
  <si>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</si>
  <si>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</si>
  <si>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</si>
  <si>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</si>
  <si>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</si>
  <si>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</si>
  <si>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</si>
  <si>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</si>
  <si>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</si>
  <si>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</si>
  <si>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</si>
  <si>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</si>
  <si>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</si>
  <si>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</si>
  <si>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</si>
  <si>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</si>
  <si>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</si>
  <si>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</si>
  <si>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</si>
  <si>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</si>
  <si>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</si>
  <si>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</si>
  <si>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</si>
  <si>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</si>
  <si>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</si>
  <si>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</si>
  <si>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</si>
  <si>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</si>
  <si>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</si>
  <si>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</si>
  <si>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</si>
  <si>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</si>
  <si>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</si>
  <si>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</si>
  <si>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</si>
  <si>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</si>
  <si>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</si>
  <si>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</si>
  <si>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</si>
  <si>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</si>
  <si>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</si>
  <si>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</si>
  <si>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</si>
  <si>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</si>
  <si>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</si>
  <si>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</si>
  <si>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</si>
  <si>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</si>
  <si>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</si>
  <si>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</si>
  <si>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</si>
  <si>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</si>
  <si>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</si>
  <si>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</si>
  <si>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</si>
  <si>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</si>
  <si>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</si>
  <si>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</si>
  <si>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</si>
  <si>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</si>
  <si>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</si>
  <si>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</si>
  <si>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</si>
  <si>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</si>
  <si>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</si>
  <si>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</si>
  <si>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</si>
  <si>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</si>
  <si>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</si>
  <si>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</si>
  <si>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</si>
  <si>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</si>
  <si>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</si>
  <si>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</si>
  <si>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</si>
  <si>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</si>
  <si>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</si>
  <si>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</si>
  <si>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</si>
  <si>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</si>
  <si>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</si>
  <si>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</si>
  <si>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</si>
  <si>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</si>
  <si>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</si>
  <si>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</si>
  <si>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</si>
  <si>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</si>
  <si>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</si>
  <si>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</si>
  <si>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</si>
  <si>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</si>
  <si>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</si>
  <si>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</si>
  <si>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</si>
  <si>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</si>
  <si>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</si>
  <si>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</si>
  <si>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</si>
  <si>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</si>
  <si>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</si>
  <si>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</si>
  <si>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</si>
  <si>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</si>
  <si>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</si>
  <si>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</si>
  <si>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</si>
  <si>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</si>
  <si>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</si>
  <si>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</si>
  <si>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</si>
  <si>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</si>
  <si>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</si>
  <si>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</si>
  <si>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</si>
  <si>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</si>
  <si>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</si>
  <si>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</si>
  <si>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</si>
  <si>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</si>
  <si>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</si>
  <si>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</si>
  <si>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</si>
  <si>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</si>
  <si>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</si>
  <si>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</si>
  <si>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</si>
  <si>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</si>
  <si>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</si>
  <si>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</si>
  <si>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</si>
  <si>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</si>
  <si>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</si>
  <si>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</si>
  <si>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</si>
  <si>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</si>
  <si>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</si>
  <si>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</si>
  <si>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</si>
  <si>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</si>
  <si>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</si>
  <si>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</si>
  <si>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</si>
  <si>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</si>
  <si>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</si>
  <si>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</si>
  <si>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</si>
  <si>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</si>
  <si>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</si>
  <si>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</si>
  <si>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</si>
  <si>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</si>
  <si>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</si>
  <si>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</si>
  <si>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</si>
  <si>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</si>
  <si>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</si>
  <si>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</si>
  <si>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</si>
  <si>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</si>
  <si>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</si>
  <si>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</si>
  <si>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</si>
  <si>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</si>
  <si>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</si>
  <si>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</si>
  <si>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</si>
  <si>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</si>
  <si>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</si>
  <si>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</si>
  <si>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</si>
  <si>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</si>
  <si>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</si>
  <si>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</si>
  <si>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</si>
  <si>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</si>
  <si>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</si>
  <si>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</si>
  <si>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</si>
  <si>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</si>
  <si>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</si>
  <si>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</si>
  <si>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</si>
  <si>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</si>
  <si>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</si>
  <si>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</si>
  <si>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</si>
  <si>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</si>
  <si>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</si>
  <si>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</si>
  <si>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</si>
  <si>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</si>
  <si>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</si>
  <si>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</si>
  <si>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</si>
  <si>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</si>
  <si>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</si>
  <si>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</si>
  <si>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</si>
  <si>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</si>
  <si>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</si>
  <si>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</si>
  <si>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</si>
  <si>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</si>
  <si>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</si>
  <si>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</si>
  <si>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</si>
  <si>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</si>
  <si>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</si>
  <si>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</si>
  <si>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</si>
  <si>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</si>
  <si>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</si>
  <si>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</si>
  <si>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</si>
  <si>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</si>
  <si>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</si>
  <si>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</si>
  <si>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</si>
  <si>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</si>
  <si>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</si>
  <si>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</si>
  <si>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</si>
  <si>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</si>
  <si>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</si>
  <si>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</si>
  <si>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</si>
  <si>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</si>
  <si>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</si>
  <si>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</si>
  <si>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</si>
  <si>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</si>
  <si>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</si>
  <si>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</si>
  <si>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</si>
  <si>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</si>
  <si>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</si>
  <si>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</si>
  <si>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</si>
  <si>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</si>
  <si>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</si>
  <si>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</si>
  <si>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</si>
  <si>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</si>
  <si>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</si>
  <si>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</si>
  <si>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</si>
  <si>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</si>
  <si>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</si>
  <si>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</si>
  <si>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</si>
  <si>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</si>
  <si>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</si>
  <si>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</si>
  <si>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</si>
  <si>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</si>
  <si>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</si>
  <si>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</si>
  <si>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</si>
  <si>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</si>
  <si>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</si>
  <si>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</si>
  <si>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</si>
  <si>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</si>
  <si>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</si>
  <si>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</si>
  <si>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</si>
  <si>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</si>
  <si>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</si>
  <si>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</si>
  <si>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</si>
  <si>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</si>
  <si>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</si>
  <si>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</si>
  <si>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</si>
  <si>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</si>
  <si>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</si>
  <si>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</si>
  <si>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</si>
  <si>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</si>
  <si>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</si>
  <si>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</si>
  <si>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</si>
  <si>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</si>
  <si>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</si>
  <si>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</si>
  <si>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</si>
  <si>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</si>
  <si>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</si>
  <si>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</si>
  <si>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</si>
  <si>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</si>
  <si>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</si>
  <si>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</si>
  <si>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</si>
  <si>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</si>
  <si>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</si>
  <si>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</si>
  <si>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</si>
  <si>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</si>
  <si>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</si>
  <si>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042</t>
  </si>
  <si>
    <t>Shriners Hospitals for Children - Spokane</t>
  </si>
  <si>
    <t>911 W. 5th Avenue</t>
  </si>
  <si>
    <t>Spokane</t>
  </si>
  <si>
    <t>WA</t>
  </si>
  <si>
    <t>John McCabe</t>
  </si>
  <si>
    <t>Sharon Russell</t>
  </si>
  <si>
    <t>Von Chimienti</t>
  </si>
  <si>
    <t>813-281-8610</t>
  </si>
  <si>
    <t>813-281-7155</t>
  </si>
  <si>
    <t>12/31/2022</t>
  </si>
  <si>
    <t>911 W 5th Avenue Spokane Washington 99204</t>
  </si>
  <si>
    <t>Washington</t>
  </si>
  <si>
    <t>Sharon L Russell</t>
  </si>
  <si>
    <t>99204</t>
  </si>
  <si>
    <t>Douglas Beal</t>
  </si>
  <si>
    <t>dbeal@shrinenet.org</t>
  </si>
  <si>
    <t>Patient &amp; Family Support</t>
  </si>
  <si>
    <t>Repairs and Minor Equipment</t>
  </si>
  <si>
    <t>Advertising</t>
  </si>
  <si>
    <t>Books &amp; Subcriptions</t>
  </si>
  <si>
    <t>Computer Software</t>
  </si>
  <si>
    <t>Postage</t>
  </si>
  <si>
    <t>Other miscellaneous</t>
  </si>
  <si>
    <t>03-13-2023</t>
  </si>
  <si>
    <t>Sharon L Russell, Vice President Finance/CFO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</si>
</sst>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0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23" fillId="4" borderId="14" xfId="0" quotePrefix="1" applyNumberFormat="1" applyFont="1" applyFill="1" applyBorder="1" applyProtection="1">
      <protection locked="0"/>
    </xf>
    <xf numFmtId="38" fontId="23" fillId="4" borderId="14" xfId="0" quotePrefix="1" applyNumberFormat="1" applyFont="1" applyFill="1" applyBorder="1" applyAlignment="1" applyProtection="1">
      <alignment horizontal="left"/>
      <protection locked="0"/>
    </xf>
    <xf numFmtId="49" fontId="2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1" fillId="12" borderId="0" xfId="0" applyFont="1" applyFill="1"/>
    <xf numFmtId="37" fontId="11" fillId="12" borderId="12" xfId="0" applyFont="1" applyFill="1" applyBorder="1"/>
    <xf numFmtId="37" fontId="11" fillId="0" borderId="8" xfId="0" quotePrefix="1" applyFont="1" applyBorder="1"/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beal@shrinenet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05" transitionEvaluation="1" transitionEntry="1" codeName="Sheet1">
    <tabColor rgb="FF92D050"/>
    <pageSetUpPr autoPageBreaks="0" fitToPage="1"/>
  </sheetPr>
  <dimension ref="A1:CF716"/>
  <sheetViews>
    <sheetView tabSelected="1" topLeftCell="A205" zoomScale="90" zoomScaleNormal="90" workbookViewId="0">
      <selection activeCell="C415" sqref="C41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1" t="s">
        <v>1349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35">
      <c r="A37" s="335" t="s">
        <v>1341</v>
      </c>
      <c r="B37" s="336"/>
      <c r="C37" s="334"/>
      <c r="D37" s="333"/>
      <c r="E37" s="333"/>
      <c r="F37" s="333"/>
      <c r="G37" s="333"/>
    </row>
    <row r="38" spans="1:83" x14ac:dyDescent="0.35">
      <c r="A38" s="339" t="s">
        <v>1360</v>
      </c>
      <c r="B38" s="336"/>
      <c r="C38" s="334"/>
      <c r="D38" s="333"/>
      <c r="E38" s="333"/>
      <c r="F38" s="333"/>
      <c r="G38" s="333"/>
    </row>
    <row r="39" spans="1:83" x14ac:dyDescent="0.35">
      <c r="A39" s="338" t="s">
        <v>1342</v>
      </c>
      <c r="B39" s="333"/>
      <c r="C39" s="334"/>
      <c r="D39" s="333"/>
      <c r="E39" s="333"/>
      <c r="F39" s="333"/>
      <c r="G39" s="333"/>
    </row>
    <row r="40" spans="1:83" x14ac:dyDescent="0.35">
      <c r="A40" s="339" t="s">
        <v>1361</v>
      </c>
      <c r="B40" s="333"/>
      <c r="C40" s="334"/>
      <c r="D40" s="333"/>
      <c r="E40" s="333"/>
      <c r="F40" s="333"/>
      <c r="G40" s="33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0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f>3651348+874513</f>
        <v>4525861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994867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1092320</v>
      </c>
      <c r="Q48" s="32">
        <f t="shared" si="0"/>
        <v>92754</v>
      </c>
      <c r="R48" s="32">
        <f t="shared" si="0"/>
        <v>30640</v>
      </c>
      <c r="S48" s="32">
        <f t="shared" si="0"/>
        <v>62505</v>
      </c>
      <c r="T48" s="32">
        <f t="shared" si="0"/>
        <v>0</v>
      </c>
      <c r="U48" s="32">
        <f t="shared" si="0"/>
        <v>48275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179626</v>
      </c>
      <c r="Z48" s="32">
        <f t="shared" si="0"/>
        <v>0</v>
      </c>
      <c r="AA48" s="32">
        <f t="shared" si="0"/>
        <v>0</v>
      </c>
      <c r="AB48" s="32">
        <f t="shared" si="0"/>
        <v>131334</v>
      </c>
      <c r="AC48" s="32">
        <f t="shared" si="0"/>
        <v>190216</v>
      </c>
      <c r="AD48" s="32">
        <f t="shared" si="0"/>
        <v>0</v>
      </c>
      <c r="AE48" s="32">
        <f t="shared" si="0"/>
        <v>310908</v>
      </c>
      <c r="AF48" s="32">
        <f t="shared" si="0"/>
        <v>0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441350</v>
      </c>
      <c r="AK48" s="32">
        <f t="shared" si="0"/>
        <v>361696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114685</v>
      </c>
      <c r="AZ48" s="32">
        <f t="shared" si="0"/>
        <v>0</v>
      </c>
      <c r="BA48" s="32">
        <f t="shared" si="0"/>
        <v>0</v>
      </c>
      <c r="BB48" s="32">
        <f t="shared" si="0"/>
        <v>283715</v>
      </c>
      <c r="BC48" s="32">
        <f t="shared" si="0"/>
        <v>0</v>
      </c>
      <c r="BD48" s="32">
        <f t="shared" si="0"/>
        <v>0</v>
      </c>
      <c r="BE48" s="32">
        <f t="shared" si="0"/>
        <v>0</v>
      </c>
      <c r="BF48" s="32">
        <f t="shared" si="0"/>
        <v>190970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0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0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4525861</v>
      </c>
    </row>
    <row r="49" spans="1:83" x14ac:dyDescent="0.35">
      <c r="A49" s="20" t="s">
        <v>218</v>
      </c>
      <c r="B49" s="32">
        <f>B47+B48</f>
        <v>4525861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0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1246678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240218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57851</v>
      </c>
      <c r="Q52" s="32">
        <f t="shared" si="2"/>
        <v>20883</v>
      </c>
      <c r="R52" s="32">
        <f t="shared" si="2"/>
        <v>7835</v>
      </c>
      <c r="S52" s="32">
        <f t="shared" si="2"/>
        <v>0</v>
      </c>
      <c r="T52" s="32">
        <f t="shared" si="2"/>
        <v>0</v>
      </c>
      <c r="U52" s="32">
        <f t="shared" si="2"/>
        <v>6828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45321</v>
      </c>
      <c r="Z52" s="32">
        <f t="shared" si="2"/>
        <v>0</v>
      </c>
      <c r="AA52" s="32">
        <f t="shared" si="2"/>
        <v>0</v>
      </c>
      <c r="AB52" s="32">
        <f t="shared" si="2"/>
        <v>4443</v>
      </c>
      <c r="AC52" s="32">
        <f t="shared" si="2"/>
        <v>1526</v>
      </c>
      <c r="AD52" s="32">
        <f t="shared" si="2"/>
        <v>0</v>
      </c>
      <c r="AE52" s="32">
        <f t="shared" si="2"/>
        <v>109556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131476</v>
      </c>
      <c r="AK52" s="32">
        <f t="shared" si="2"/>
        <v>92361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71344</v>
      </c>
      <c r="AZ52" s="32">
        <f t="shared" si="2"/>
        <v>21313</v>
      </c>
      <c r="BA52" s="32">
        <f t="shared" si="2"/>
        <v>23905</v>
      </c>
      <c r="BB52" s="32">
        <f t="shared" si="2"/>
        <v>27178</v>
      </c>
      <c r="BC52" s="32">
        <f t="shared" si="2"/>
        <v>0</v>
      </c>
      <c r="BD52" s="32">
        <f t="shared" si="2"/>
        <v>3629</v>
      </c>
      <c r="BE52" s="32">
        <f t="shared" si="2"/>
        <v>60547</v>
      </c>
      <c r="BF52" s="32">
        <f t="shared" si="2"/>
        <v>10693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182870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5421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15714</v>
      </c>
      <c r="BW52" s="32">
        <f t="shared" si="3"/>
        <v>0</v>
      </c>
      <c r="BX52" s="32">
        <f t="shared" si="3"/>
        <v>0</v>
      </c>
      <c r="BY52" s="32">
        <f t="shared" si="3"/>
        <v>18765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86999</v>
      </c>
      <c r="CD52" s="32">
        <f t="shared" si="3"/>
        <v>0</v>
      </c>
      <c r="CE52" s="32">
        <f>SUM(C52:CD52)</f>
        <v>1246676</v>
      </c>
    </row>
    <row r="53" spans="1:83" x14ac:dyDescent="0.35">
      <c r="A53" s="20" t="s">
        <v>218</v>
      </c>
      <c r="B53" s="32">
        <f>B51+B52</f>
        <v>1246678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594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>
        <v>18139</v>
      </c>
      <c r="AZ59" s="30"/>
      <c r="BA59" s="314"/>
      <c r="BB59" s="314"/>
      <c r="BC59" s="314"/>
      <c r="BD59" s="314"/>
      <c r="BE59" s="30">
        <v>84173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>
        <v>17.79</v>
      </c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>
        <v>8.4</v>
      </c>
      <c r="Q60" s="316">
        <v>1.78</v>
      </c>
      <c r="R60" s="316">
        <v>5.04</v>
      </c>
      <c r="S60" s="317">
        <v>1.98</v>
      </c>
      <c r="T60" s="317"/>
      <c r="U60" s="318">
        <v>1.46</v>
      </c>
      <c r="V60" s="316"/>
      <c r="W60" s="316"/>
      <c r="X60" s="316"/>
      <c r="Y60" s="316">
        <v>5.0199999999999996</v>
      </c>
      <c r="Z60" s="316"/>
      <c r="AA60" s="316"/>
      <c r="AB60" s="317">
        <v>1.69</v>
      </c>
      <c r="AC60" s="316">
        <v>4.43</v>
      </c>
      <c r="AD60" s="316"/>
      <c r="AE60" s="316">
        <v>8.1</v>
      </c>
      <c r="AF60" s="316"/>
      <c r="AG60" s="316"/>
      <c r="AH60" s="316"/>
      <c r="AI60" s="316"/>
      <c r="AJ60" s="316">
        <v>10.14</v>
      </c>
      <c r="AK60" s="316">
        <v>8.6300000000000008</v>
      </c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7"/>
      <c r="AW60" s="317"/>
      <c r="AX60" s="317"/>
      <c r="AY60" s="316">
        <v>4.45</v>
      </c>
      <c r="AZ60" s="316"/>
      <c r="BA60" s="317"/>
      <c r="BB60" s="317">
        <v>7.09</v>
      </c>
      <c r="BC60" s="317"/>
      <c r="BD60" s="317"/>
      <c r="BE60" s="316">
        <v>4.6900000000000004</v>
      </c>
      <c r="BF60" s="317">
        <v>8.57</v>
      </c>
      <c r="BG60" s="317"/>
      <c r="BH60" s="317"/>
      <c r="BI60" s="317"/>
      <c r="BJ60" s="317"/>
      <c r="BK60" s="317"/>
      <c r="BL60" s="317"/>
      <c r="BM60" s="317"/>
      <c r="BN60" s="317">
        <v>28.01</v>
      </c>
      <c r="BO60" s="317"/>
      <c r="BP60" s="317"/>
      <c r="BQ60" s="317"/>
      <c r="BR60" s="317">
        <v>2.35</v>
      </c>
      <c r="BS60" s="317"/>
      <c r="BT60" s="317"/>
      <c r="BU60" s="317"/>
      <c r="BV60" s="317">
        <v>2.39</v>
      </c>
      <c r="BW60" s="317"/>
      <c r="BX60" s="317"/>
      <c r="BY60" s="317">
        <v>4.59</v>
      </c>
      <c r="BZ60" s="317"/>
      <c r="CA60" s="317"/>
      <c r="CB60" s="317"/>
      <c r="CC60" s="317"/>
      <c r="CD60" s="247" t="s">
        <v>233</v>
      </c>
      <c r="CE60" s="268">
        <f t="shared" ref="CE60:CE68" si="4">SUM(C60:CD60)</f>
        <v>136.6</v>
      </c>
    </row>
    <row r="61" spans="1:83" x14ac:dyDescent="0.35">
      <c r="A61" s="39" t="s">
        <v>248</v>
      </c>
      <c r="B61" s="20"/>
      <c r="C61" s="24"/>
      <c r="D61" s="24"/>
      <c r="E61" s="24">
        <v>2051136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0">
        <v>2252057</v>
      </c>
      <c r="Q61" s="30">
        <v>191232</v>
      </c>
      <c r="R61" s="30">
        <v>63172</v>
      </c>
      <c r="S61" s="319">
        <v>128867</v>
      </c>
      <c r="T61" s="319"/>
      <c r="U61" s="31">
        <v>99529</v>
      </c>
      <c r="V61" s="30"/>
      <c r="W61" s="30"/>
      <c r="X61" s="30"/>
      <c r="Y61" s="30">
        <v>370339</v>
      </c>
      <c r="Z61" s="30"/>
      <c r="AA61" s="30"/>
      <c r="AB61" s="320">
        <v>270774</v>
      </c>
      <c r="AC61" s="30">
        <v>392171</v>
      </c>
      <c r="AD61" s="30"/>
      <c r="AE61" s="30">
        <v>641004</v>
      </c>
      <c r="AF61" s="30"/>
      <c r="AG61" s="30"/>
      <c r="AH61" s="30"/>
      <c r="AI61" s="30"/>
      <c r="AJ61" s="30">
        <v>909939</v>
      </c>
      <c r="AK61" s="30">
        <v>745715</v>
      </c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9"/>
      <c r="AW61" s="319"/>
      <c r="AX61" s="319"/>
      <c r="AY61" s="30">
        <v>236448</v>
      </c>
      <c r="AZ61" s="30"/>
      <c r="BA61" s="319"/>
      <c r="BB61" s="319">
        <v>584941</v>
      </c>
      <c r="BC61" s="319"/>
      <c r="BD61" s="319"/>
      <c r="BE61" s="30"/>
      <c r="BF61" s="319">
        <v>393726</v>
      </c>
      <c r="BG61" s="319"/>
      <c r="BH61" s="319"/>
      <c r="BI61" s="319"/>
      <c r="BJ61" s="319"/>
      <c r="BK61" s="319"/>
      <c r="BL61" s="319"/>
      <c r="BM61" s="319"/>
      <c r="BN61" s="319"/>
      <c r="BO61" s="319"/>
      <c r="BP61" s="319"/>
      <c r="BQ61" s="319"/>
      <c r="BR61" s="319"/>
      <c r="BS61" s="319"/>
      <c r="BT61" s="319"/>
      <c r="BU61" s="319"/>
      <c r="BV61" s="319"/>
      <c r="BW61" s="319"/>
      <c r="BX61" s="319"/>
      <c r="BY61" s="319"/>
      <c r="BZ61" s="319"/>
      <c r="CA61" s="319"/>
      <c r="CB61" s="319"/>
      <c r="CC61" s="319"/>
      <c r="CD61" s="29" t="s">
        <v>233</v>
      </c>
      <c r="CE61" s="32">
        <f t="shared" si="4"/>
        <v>9331050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994867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1092320</v>
      </c>
      <c r="Q62" s="32">
        <f t="shared" si="5"/>
        <v>92754</v>
      </c>
      <c r="R62" s="32">
        <f t="shared" si="5"/>
        <v>30640</v>
      </c>
      <c r="S62" s="32">
        <f t="shared" si="5"/>
        <v>62505</v>
      </c>
      <c r="T62" s="32">
        <f t="shared" si="5"/>
        <v>0</v>
      </c>
      <c r="U62" s="32">
        <f t="shared" si="5"/>
        <v>48275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179626</v>
      </c>
      <c r="Z62" s="32">
        <f t="shared" si="5"/>
        <v>0</v>
      </c>
      <c r="AA62" s="32">
        <f t="shared" si="5"/>
        <v>0</v>
      </c>
      <c r="AB62" s="32">
        <f t="shared" si="5"/>
        <v>131334</v>
      </c>
      <c r="AC62" s="32">
        <f t="shared" si="5"/>
        <v>190216</v>
      </c>
      <c r="AD62" s="32">
        <f t="shared" si="5"/>
        <v>0</v>
      </c>
      <c r="AE62" s="32">
        <f t="shared" si="5"/>
        <v>310908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441350</v>
      </c>
      <c r="AK62" s="32">
        <f t="shared" si="5"/>
        <v>361696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114685</v>
      </c>
      <c r="AZ62" s="32">
        <f t="shared" si="5"/>
        <v>0</v>
      </c>
      <c r="BA62" s="32">
        <f t="shared" si="5"/>
        <v>0</v>
      </c>
      <c r="BB62" s="32">
        <f t="shared" si="5"/>
        <v>283715</v>
      </c>
      <c r="BC62" s="32">
        <f t="shared" si="5"/>
        <v>0</v>
      </c>
      <c r="BD62" s="32">
        <f t="shared" si="5"/>
        <v>0</v>
      </c>
      <c r="BE62" s="32">
        <f t="shared" si="5"/>
        <v>0</v>
      </c>
      <c r="BF62" s="32">
        <f t="shared" si="5"/>
        <v>190970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0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4525861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0</v>
      </c>
    </row>
    <row r="64" spans="1:83" x14ac:dyDescent="0.35">
      <c r="A64" s="39" t="s">
        <v>250</v>
      </c>
      <c r="B64" s="20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/>
      <c r="V64" s="30"/>
      <c r="W64" s="30"/>
      <c r="X64" s="30"/>
      <c r="Y64" s="30"/>
      <c r="Z64" s="30"/>
      <c r="AA64" s="30"/>
      <c r="AB64" s="32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/>
      <c r="AZ64" s="30"/>
      <c r="BA64" s="319"/>
      <c r="BB64" s="319"/>
      <c r="BC64" s="319"/>
      <c r="BD64" s="319"/>
      <c r="BE64" s="30"/>
      <c r="BF64" s="319"/>
      <c r="BG64" s="319"/>
      <c r="BH64" s="319"/>
      <c r="BI64" s="319"/>
      <c r="BJ64" s="319"/>
      <c r="BK64" s="319"/>
      <c r="BL64" s="319"/>
      <c r="BM64" s="319"/>
      <c r="BN64" s="319"/>
      <c r="BO64" s="319"/>
      <c r="BP64" s="319"/>
      <c r="BQ64" s="319"/>
      <c r="BR64" s="319"/>
      <c r="BS64" s="319"/>
      <c r="BT64" s="319"/>
      <c r="BU64" s="319"/>
      <c r="BV64" s="319"/>
      <c r="BW64" s="319"/>
      <c r="BX64" s="319"/>
      <c r="BY64" s="319"/>
      <c r="BZ64" s="319"/>
      <c r="CA64" s="319"/>
      <c r="CB64" s="319"/>
      <c r="CC64" s="319"/>
      <c r="CD64" s="29" t="s">
        <v>233</v>
      </c>
      <c r="CE64" s="32">
        <f t="shared" si="4"/>
        <v>0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/>
      <c r="BF65" s="319"/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0</v>
      </c>
    </row>
    <row r="66" spans="1:83" x14ac:dyDescent="0.35">
      <c r="A66" s="39" t="s">
        <v>252</v>
      </c>
      <c r="B66" s="20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/>
      <c r="V66" s="30"/>
      <c r="W66" s="30"/>
      <c r="X66" s="30"/>
      <c r="Y66" s="30"/>
      <c r="Z66" s="30"/>
      <c r="AA66" s="30"/>
      <c r="AB66" s="32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/>
      <c r="AZ66" s="30"/>
      <c r="BA66" s="319"/>
      <c r="BB66" s="319"/>
      <c r="BC66" s="319"/>
      <c r="BD66" s="319"/>
      <c r="BE66" s="30"/>
      <c r="BF66" s="319"/>
      <c r="BG66" s="319"/>
      <c r="BH66" s="319"/>
      <c r="BI66" s="319"/>
      <c r="BJ66" s="319"/>
      <c r="BK66" s="319"/>
      <c r="BL66" s="319"/>
      <c r="BM66" s="319"/>
      <c r="BN66" s="319"/>
      <c r="BO66" s="319"/>
      <c r="BP66" s="319"/>
      <c r="BQ66" s="319"/>
      <c r="BR66" s="319"/>
      <c r="BS66" s="319"/>
      <c r="BT66" s="319"/>
      <c r="BU66" s="319"/>
      <c r="BV66" s="319"/>
      <c r="BW66" s="319"/>
      <c r="BX66" s="319"/>
      <c r="BY66" s="319"/>
      <c r="BZ66" s="319"/>
      <c r="CA66" s="319"/>
      <c r="CB66" s="319"/>
      <c r="CC66" s="319"/>
      <c r="CD66" s="29" t="s">
        <v>233</v>
      </c>
      <c r="CE66" s="32">
        <f t="shared" si="4"/>
        <v>0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240218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57851</v>
      </c>
      <c r="Q67" s="32">
        <f t="shared" si="7"/>
        <v>20883</v>
      </c>
      <c r="R67" s="32">
        <f t="shared" si="7"/>
        <v>7835</v>
      </c>
      <c r="S67" s="32">
        <f t="shared" si="7"/>
        <v>0</v>
      </c>
      <c r="T67" s="32">
        <f t="shared" si="7"/>
        <v>0</v>
      </c>
      <c r="U67" s="32">
        <f t="shared" si="7"/>
        <v>6828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45321</v>
      </c>
      <c r="Z67" s="32">
        <f t="shared" si="7"/>
        <v>0</v>
      </c>
      <c r="AA67" s="32">
        <f t="shared" si="7"/>
        <v>0</v>
      </c>
      <c r="AB67" s="32">
        <f t="shared" si="7"/>
        <v>4443</v>
      </c>
      <c r="AC67" s="32">
        <f t="shared" si="7"/>
        <v>1526</v>
      </c>
      <c r="AD67" s="32">
        <f t="shared" si="7"/>
        <v>0</v>
      </c>
      <c r="AE67" s="32">
        <f t="shared" si="7"/>
        <v>109556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131476</v>
      </c>
      <c r="AK67" s="32">
        <f t="shared" si="7"/>
        <v>92361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71344</v>
      </c>
      <c r="AZ67" s="32">
        <f t="shared" si="7"/>
        <v>21313</v>
      </c>
      <c r="BA67" s="32">
        <f t="shared" si="7"/>
        <v>23905</v>
      </c>
      <c r="BB67" s="32">
        <f t="shared" si="7"/>
        <v>27178</v>
      </c>
      <c r="BC67" s="32">
        <f t="shared" si="7"/>
        <v>0</v>
      </c>
      <c r="BD67" s="32">
        <f t="shared" si="7"/>
        <v>3629</v>
      </c>
      <c r="BE67" s="32">
        <f t="shared" si="7"/>
        <v>60547</v>
      </c>
      <c r="BF67" s="32">
        <f t="shared" si="7"/>
        <v>10693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182870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5421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15714</v>
      </c>
      <c r="BW67" s="32">
        <f t="shared" si="8"/>
        <v>0</v>
      </c>
      <c r="BX67" s="32">
        <f t="shared" si="8"/>
        <v>0</v>
      </c>
      <c r="BY67" s="32">
        <f t="shared" si="8"/>
        <v>18765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86999</v>
      </c>
      <c r="CD67" s="29" t="s">
        <v>233</v>
      </c>
      <c r="CE67" s="32">
        <f t="shared" si="4"/>
        <v>1246676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0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0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0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0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/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0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3286221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3402228</v>
      </c>
      <c r="Q85" s="32">
        <f t="shared" si="12"/>
        <v>304869</v>
      </c>
      <c r="R85" s="32">
        <f t="shared" si="12"/>
        <v>101647</v>
      </c>
      <c r="S85" s="32">
        <f t="shared" si="12"/>
        <v>191372</v>
      </c>
      <c r="T85" s="32">
        <f t="shared" si="12"/>
        <v>0</v>
      </c>
      <c r="U85" s="32">
        <f t="shared" si="12"/>
        <v>154632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595286</v>
      </c>
      <c r="Z85" s="32">
        <f t="shared" si="12"/>
        <v>0</v>
      </c>
      <c r="AA85" s="32">
        <f t="shared" si="12"/>
        <v>0</v>
      </c>
      <c r="AB85" s="32">
        <f t="shared" si="12"/>
        <v>406551</v>
      </c>
      <c r="AC85" s="32">
        <f t="shared" si="12"/>
        <v>583913</v>
      </c>
      <c r="AD85" s="32">
        <f t="shared" si="12"/>
        <v>0</v>
      </c>
      <c r="AE85" s="32">
        <f t="shared" si="12"/>
        <v>1061468</v>
      </c>
      <c r="AF85" s="32">
        <f t="shared" si="12"/>
        <v>0</v>
      </c>
      <c r="AG85" s="32">
        <f t="shared" si="12"/>
        <v>0</v>
      </c>
      <c r="AH85" s="32">
        <f t="shared" si="12"/>
        <v>0</v>
      </c>
      <c r="AI85" s="32">
        <f t="shared" si="12"/>
        <v>0</v>
      </c>
      <c r="AJ85" s="32">
        <f t="shared" si="12"/>
        <v>1482765</v>
      </c>
      <c r="AK85" s="32">
        <f t="shared" si="12"/>
        <v>1199772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422477</v>
      </c>
      <c r="AZ85" s="32">
        <f t="shared" si="12"/>
        <v>21313</v>
      </c>
      <c r="BA85" s="32">
        <f t="shared" si="12"/>
        <v>23905</v>
      </c>
      <c r="BB85" s="32">
        <f t="shared" si="12"/>
        <v>895834</v>
      </c>
      <c r="BC85" s="32">
        <f t="shared" si="12"/>
        <v>0</v>
      </c>
      <c r="BD85" s="32">
        <f t="shared" si="12"/>
        <v>3629</v>
      </c>
      <c r="BE85" s="32">
        <f t="shared" si="12"/>
        <v>60547</v>
      </c>
      <c r="BF85" s="32">
        <f t="shared" si="12"/>
        <v>595389</v>
      </c>
      <c r="BG85" s="32">
        <f t="shared" si="12"/>
        <v>0</v>
      </c>
      <c r="BH85" s="32">
        <f t="shared" si="12"/>
        <v>0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0</v>
      </c>
      <c r="BM85" s="32">
        <f t="shared" si="12"/>
        <v>0</v>
      </c>
      <c r="BN85" s="32">
        <f t="shared" si="12"/>
        <v>182870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5421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15714</v>
      </c>
      <c r="BW85" s="32">
        <f t="shared" si="13"/>
        <v>0</v>
      </c>
      <c r="BX85" s="32">
        <f t="shared" si="13"/>
        <v>0</v>
      </c>
      <c r="BY85" s="32">
        <f t="shared" si="13"/>
        <v>18765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86999</v>
      </c>
      <c r="CD85" s="32">
        <f t="shared" si="13"/>
        <v>0</v>
      </c>
      <c r="CE85" s="32">
        <f t="shared" si="11"/>
        <v>15103587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>
        <v>1512125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>
        <v>2899695</v>
      </c>
      <c r="Q87" s="24">
        <v>231866</v>
      </c>
      <c r="R87" s="24">
        <v>883517</v>
      </c>
      <c r="S87" s="24">
        <f>236336+3476150</f>
        <v>3712486</v>
      </c>
      <c r="T87" s="24"/>
      <c r="U87" s="24">
        <v>57420</v>
      </c>
      <c r="V87" s="24"/>
      <c r="W87" s="24"/>
      <c r="X87" s="24"/>
      <c r="Y87" s="24">
        <v>144518</v>
      </c>
      <c r="Z87" s="24"/>
      <c r="AA87" s="24"/>
      <c r="AB87" s="24">
        <v>902214</v>
      </c>
      <c r="AC87" s="24">
        <v>266724</v>
      </c>
      <c r="AD87" s="24"/>
      <c r="AE87" s="24">
        <v>89232</v>
      </c>
      <c r="AF87" s="24"/>
      <c r="AG87" s="24"/>
      <c r="AH87" s="24"/>
      <c r="AI87" s="24"/>
      <c r="AJ87" s="24">
        <v>8105</v>
      </c>
      <c r="AK87" s="24">
        <v>0</v>
      </c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10707902</v>
      </c>
    </row>
    <row r="88" spans="1:84" x14ac:dyDescent="0.35">
      <c r="A88" s="26" t="s">
        <v>273</v>
      </c>
      <c r="B88" s="20"/>
      <c r="C88" s="24"/>
      <c r="D88" s="24"/>
      <c r="E88" s="24">
        <v>0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>
        <v>9461914</v>
      </c>
      <c r="Q88" s="24">
        <v>1043113</v>
      </c>
      <c r="R88" s="24">
        <v>3495617</v>
      </c>
      <c r="S88" s="24">
        <f>188986+1131307</f>
        <v>1320293</v>
      </c>
      <c r="T88" s="24"/>
      <c r="U88" s="24">
        <v>176897</v>
      </c>
      <c r="V88" s="24"/>
      <c r="W88" s="24"/>
      <c r="X88" s="24"/>
      <c r="Y88" s="24">
        <v>3772135</v>
      </c>
      <c r="Z88" s="24"/>
      <c r="AA88" s="24"/>
      <c r="AB88" s="24">
        <v>1295967</v>
      </c>
      <c r="AC88" s="24">
        <v>118203</v>
      </c>
      <c r="AD88" s="24"/>
      <c r="AE88" s="24">
        <v>3064440</v>
      </c>
      <c r="AF88" s="24"/>
      <c r="AG88" s="24"/>
      <c r="AH88" s="24"/>
      <c r="AI88" s="24"/>
      <c r="AJ88" s="24">
        <v>4725755</v>
      </c>
      <c r="AK88" s="24">
        <v>382048</v>
      </c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28856382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1512125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12361609</v>
      </c>
      <c r="Q89" s="32">
        <f t="shared" si="15"/>
        <v>1274979</v>
      </c>
      <c r="R89" s="32">
        <f t="shared" si="15"/>
        <v>4379134</v>
      </c>
      <c r="S89" s="32">
        <f t="shared" si="15"/>
        <v>5032779</v>
      </c>
      <c r="T89" s="32">
        <f t="shared" si="15"/>
        <v>0</v>
      </c>
      <c r="U89" s="32">
        <f t="shared" si="15"/>
        <v>234317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3916653</v>
      </c>
      <c r="Z89" s="32">
        <f t="shared" si="15"/>
        <v>0</v>
      </c>
      <c r="AA89" s="32">
        <f t="shared" si="15"/>
        <v>0</v>
      </c>
      <c r="AB89" s="32">
        <f t="shared" si="15"/>
        <v>2198181</v>
      </c>
      <c r="AC89" s="32">
        <f t="shared" si="15"/>
        <v>384927</v>
      </c>
      <c r="AD89" s="32">
        <f t="shared" si="15"/>
        <v>0</v>
      </c>
      <c r="AE89" s="32">
        <f t="shared" si="15"/>
        <v>3153672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4733860</v>
      </c>
      <c r="AK89" s="32">
        <f t="shared" si="15"/>
        <v>382048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39564284</v>
      </c>
    </row>
    <row r="90" spans="1:84" x14ac:dyDescent="0.35">
      <c r="A90" s="39" t="s">
        <v>275</v>
      </c>
      <c r="B90" s="32"/>
      <c r="C90" s="213"/>
      <c r="D90" s="213"/>
      <c r="E90" s="213">
        <v>16219</v>
      </c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>
        <v>3906</v>
      </c>
      <c r="Q90" s="213">
        <v>1410</v>
      </c>
      <c r="R90" s="213">
        <v>529</v>
      </c>
      <c r="S90" s="213"/>
      <c r="T90" s="213"/>
      <c r="U90" s="213">
        <v>461</v>
      </c>
      <c r="V90" s="213"/>
      <c r="W90" s="213"/>
      <c r="X90" s="213"/>
      <c r="Y90" s="213">
        <v>3060</v>
      </c>
      <c r="Z90" s="213"/>
      <c r="AA90" s="213"/>
      <c r="AB90" s="213">
        <v>300</v>
      </c>
      <c r="AC90" s="213">
        <v>103</v>
      </c>
      <c r="AD90" s="213"/>
      <c r="AE90" s="213">
        <v>7397</v>
      </c>
      <c r="AF90" s="213"/>
      <c r="AG90" s="213"/>
      <c r="AH90" s="213"/>
      <c r="AI90" s="213"/>
      <c r="AJ90" s="213">
        <v>8877</v>
      </c>
      <c r="AK90" s="213">
        <v>6236</v>
      </c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>
        <v>4817</v>
      </c>
      <c r="AZ90" s="213">
        <v>1439</v>
      </c>
      <c r="BA90" s="213">
        <v>1614</v>
      </c>
      <c r="BB90" s="213">
        <v>1835</v>
      </c>
      <c r="BC90" s="213"/>
      <c r="BD90" s="213">
        <v>245</v>
      </c>
      <c r="BE90" s="213">
        <v>4088</v>
      </c>
      <c r="BF90" s="213">
        <v>722</v>
      </c>
      <c r="BG90" s="213"/>
      <c r="BH90" s="213"/>
      <c r="BI90" s="213"/>
      <c r="BJ90" s="213"/>
      <c r="BK90" s="213"/>
      <c r="BL90" s="213"/>
      <c r="BM90" s="213"/>
      <c r="BN90" s="213">
        <v>12347</v>
      </c>
      <c r="BO90" s="213"/>
      <c r="BP90" s="213"/>
      <c r="BQ90" s="213"/>
      <c r="BR90" s="213">
        <v>366</v>
      </c>
      <c r="BS90" s="213"/>
      <c r="BT90" s="213"/>
      <c r="BU90" s="213"/>
      <c r="BV90" s="213">
        <v>1061</v>
      </c>
      <c r="BW90" s="213"/>
      <c r="BX90" s="213"/>
      <c r="BY90" s="213">
        <v>1267</v>
      </c>
      <c r="BZ90" s="213"/>
      <c r="CA90" s="213"/>
      <c r="CB90" s="213"/>
      <c r="CC90" s="213">
        <v>5874</v>
      </c>
      <c r="CD90" s="264" t="s">
        <v>233</v>
      </c>
      <c r="CE90" s="32">
        <f t="shared" si="14"/>
        <v>84173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3488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>
        <v>14651</v>
      </c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18139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>
        <v>17819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17819</v>
      </c>
      <c r="CF92" s="20"/>
    </row>
    <row r="93" spans="1:84" x14ac:dyDescent="0.35">
      <c r="A93" s="26" t="s">
        <v>278</v>
      </c>
      <c r="B93" s="20"/>
      <c r="C93" s="24"/>
      <c r="D93" s="24"/>
      <c r="E93" s="24">
        <v>22741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>
        <v>19570</v>
      </c>
      <c r="Q93" s="24"/>
      <c r="R93" s="24"/>
      <c r="S93" s="24"/>
      <c r="T93" s="24"/>
      <c r="U93" s="24"/>
      <c r="V93" s="24"/>
      <c r="W93" s="24"/>
      <c r="X93" s="24"/>
      <c r="Y93" s="24">
        <v>857</v>
      </c>
      <c r="Z93" s="24"/>
      <c r="AA93" s="24"/>
      <c r="AB93" s="24"/>
      <c r="AC93" s="24"/>
      <c r="AD93" s="24"/>
      <c r="AE93" s="24">
        <v>1092</v>
      </c>
      <c r="AF93" s="24"/>
      <c r="AG93" s="24"/>
      <c r="AH93" s="24"/>
      <c r="AI93" s="24"/>
      <c r="AJ93" s="24">
        <v>6161</v>
      </c>
      <c r="AK93" s="24">
        <v>367</v>
      </c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50788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>
        <v>17.79</v>
      </c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>
        <v>8.4</v>
      </c>
      <c r="Q94" s="316">
        <v>1.78</v>
      </c>
      <c r="R94" s="316">
        <v>5.04</v>
      </c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>
        <v>10.14</v>
      </c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43.15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2" t="s">
        <v>1374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343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1375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42" t="s">
        <v>1377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19"/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9" t="s">
        <v>1368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9" t="s">
        <v>1376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1370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4"/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1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156</v>
      </c>
      <c r="D127" s="50">
        <v>594</v>
      </c>
      <c r="E127" s="20"/>
    </row>
    <row r="128" spans="1:5" x14ac:dyDescent="0.35">
      <c r="A128" s="20" t="s">
        <v>311</v>
      </c>
      <c r="B128" s="46" t="s">
        <v>284</v>
      </c>
      <c r="C128" s="47">
        <v>0</v>
      </c>
      <c r="D128" s="50">
        <v>0</v>
      </c>
      <c r="E128" s="20"/>
    </row>
    <row r="129" spans="1:5" x14ac:dyDescent="0.35">
      <c r="A129" s="20" t="s">
        <v>312</v>
      </c>
      <c r="B129" s="46" t="s">
        <v>284</v>
      </c>
      <c r="C129" s="47">
        <v>0</v>
      </c>
      <c r="D129" s="50">
        <v>0</v>
      </c>
      <c r="E129" s="20"/>
    </row>
    <row r="130" spans="1:5" x14ac:dyDescent="0.35">
      <c r="A130" s="20" t="s">
        <v>313</v>
      </c>
      <c r="B130" s="46" t="s">
        <v>284</v>
      </c>
      <c r="C130" s="47">
        <v>0</v>
      </c>
      <c r="D130" s="50">
        <v>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0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0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30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0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30</v>
      </c>
    </row>
    <row r="144" spans="1:5" x14ac:dyDescent="0.35">
      <c r="A144" s="20" t="s">
        <v>325</v>
      </c>
      <c r="B144" s="46" t="s">
        <v>284</v>
      </c>
      <c r="C144" s="47">
        <v>30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0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0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0</v>
      </c>
      <c r="C154" s="50">
        <v>75</v>
      </c>
      <c r="D154" s="50">
        <f>156-75</f>
        <v>81</v>
      </c>
      <c r="E154" s="32">
        <f>SUM(B154:D154)</f>
        <v>156</v>
      </c>
    </row>
    <row r="155" spans="1:6" x14ac:dyDescent="0.35">
      <c r="A155" s="20" t="s">
        <v>227</v>
      </c>
      <c r="B155" s="50">
        <v>0</v>
      </c>
      <c r="C155" s="50"/>
      <c r="D155" s="50"/>
      <c r="E155" s="32">
        <f>SUM(B155:D155)</f>
        <v>0</v>
      </c>
    </row>
    <row r="156" spans="1:6" x14ac:dyDescent="0.35">
      <c r="A156" s="20" t="s">
        <v>332</v>
      </c>
      <c r="B156" s="50">
        <v>18</v>
      </c>
      <c r="C156" s="50">
        <v>9338</v>
      </c>
      <c r="D156" s="50">
        <f>4+16010+829+2957-9338</f>
        <v>10462</v>
      </c>
      <c r="E156" s="32">
        <f>SUM(B156:D156)</f>
        <v>19818</v>
      </c>
    </row>
    <row r="157" spans="1:6" x14ac:dyDescent="0.35">
      <c r="A157" s="20" t="s">
        <v>272</v>
      </c>
      <c r="B157" s="50">
        <v>0</v>
      </c>
      <c r="C157" s="50">
        <f>1035664+3800244+168652+593430</f>
        <v>5597990</v>
      </c>
      <c r="D157" s="50">
        <f>2625766+130319+2050223+1035664+3800244+307811+662937+99201+501724+14899+404509+168652+593430+45064+102728+14696-5597990+252</f>
        <v>6960129</v>
      </c>
      <c r="E157" s="32">
        <f>SUM(B157:D157)</f>
        <v>12558119</v>
      </c>
      <c r="F157" s="18"/>
    </row>
    <row r="158" spans="1:6" x14ac:dyDescent="0.35">
      <c r="A158" s="20" t="s">
        <v>273</v>
      </c>
      <c r="B158" s="50">
        <f>19532+2998</f>
        <v>22530</v>
      </c>
      <c r="C158" s="50">
        <f>1854065+11864608+509418+3447216</f>
        <v>17675307</v>
      </c>
      <c r="D158" s="50">
        <f>7697631+499785+5138863+1854065+11864608+5361+19532+890839+877186+38476-3369+2238399+141601+1485606+509418+3447216+3197+2998+251082+195307+7414-22530-17675307</f>
        <v>19467378</v>
      </c>
      <c r="E158" s="32">
        <f>SUM(B158:D158)</f>
        <v>37165215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 spans="1:5" x14ac:dyDescent="0.35">
      <c r="A161" s="20" t="s">
        <v>227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 spans="1:5" x14ac:dyDescent="0.35">
      <c r="A162" s="20" t="s">
        <v>332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 spans="1:5" x14ac:dyDescent="0.35">
      <c r="A163" s="20" t="s">
        <v>272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 spans="1:5" x14ac:dyDescent="0.35">
      <c r="A164" s="20" t="s">
        <v>273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 spans="1:5" x14ac:dyDescent="0.35">
      <c r="A167" s="20" t="s">
        <v>227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5" x14ac:dyDescent="0.35">
      <c r="A168" s="20" t="s">
        <v>332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5" x14ac:dyDescent="0.35">
      <c r="A169" s="20" t="s">
        <v>272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 spans="1:5" x14ac:dyDescent="0.35">
      <c r="A170" s="20" t="s">
        <v>273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10127940</v>
      </c>
      <c r="C173" s="50">
        <v>6977005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737620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8442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128451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f>2225447+13513</f>
        <v>2238960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31962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f>781587+548929</f>
        <v>1330516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f>43605</f>
        <v>43605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f>1358+4947</f>
        <v>6305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4525861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86580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12783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99363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309718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309718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44388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115527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159915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2862934</v>
      </c>
      <c r="C211" s="47"/>
      <c r="D211" s="50"/>
      <c r="E211" s="32">
        <f t="shared" ref="E211:E219" si="16">SUM(B211:C211)-D211</f>
        <v>2862934</v>
      </c>
    </row>
    <row r="212" spans="1:5" x14ac:dyDescent="0.35">
      <c r="A212" s="20" t="s">
        <v>367</v>
      </c>
      <c r="B212" s="50">
        <v>206831</v>
      </c>
      <c r="C212" s="47"/>
      <c r="D212" s="50"/>
      <c r="E212" s="32">
        <f t="shared" si="16"/>
        <v>206831</v>
      </c>
    </row>
    <row r="213" spans="1:5" x14ac:dyDescent="0.35">
      <c r="A213" s="20" t="s">
        <v>368</v>
      </c>
      <c r="B213" s="50">
        <v>21361650</v>
      </c>
      <c r="C213" s="47"/>
      <c r="D213" s="50"/>
      <c r="E213" s="32">
        <f t="shared" si="16"/>
        <v>21361650</v>
      </c>
    </row>
    <row r="214" spans="1:5" x14ac:dyDescent="0.35">
      <c r="A214" s="20" t="s">
        <v>369</v>
      </c>
      <c r="B214" s="50">
        <v>2644296</v>
      </c>
      <c r="C214" s="47"/>
      <c r="D214" s="50"/>
      <c r="E214" s="32">
        <f t="shared" si="16"/>
        <v>2644296</v>
      </c>
    </row>
    <row r="215" spans="1:5" x14ac:dyDescent="0.35">
      <c r="A215" s="20" t="s">
        <v>370</v>
      </c>
      <c r="B215" s="50">
        <v>0</v>
      </c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9153463</v>
      </c>
      <c r="C216" s="47"/>
      <c r="D216" s="50"/>
      <c r="E216" s="32">
        <f t="shared" si="16"/>
        <v>9153463</v>
      </c>
    </row>
    <row r="217" spans="1:5" x14ac:dyDescent="0.35">
      <c r="A217" s="20" t="s">
        <v>372</v>
      </c>
      <c r="B217" s="50">
        <v>0</v>
      </c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0</v>
      </c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5094</v>
      </c>
      <c r="C219" s="47"/>
      <c r="D219" s="50"/>
      <c r="E219" s="32">
        <f t="shared" si="16"/>
        <v>5094</v>
      </c>
    </row>
    <row r="220" spans="1:5" x14ac:dyDescent="0.35">
      <c r="A220" s="20" t="s">
        <v>215</v>
      </c>
      <c r="B220" s="32">
        <f>SUM(B211:B219)</f>
        <v>36234268</v>
      </c>
      <c r="C220" s="266">
        <f>SUM(C211:C219)</f>
        <v>0</v>
      </c>
      <c r="D220" s="32">
        <f>SUM(D211:D219)</f>
        <v>0</v>
      </c>
      <c r="E220" s="32">
        <f>SUM(E211:E219)</f>
        <v>36234268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175671</v>
      </c>
      <c r="C225" s="47"/>
      <c r="D225" s="50"/>
      <c r="E225" s="32">
        <f t="shared" ref="E225:E232" si="17">SUM(B225:C225)-D225</f>
        <v>175671</v>
      </c>
    </row>
    <row r="226" spans="1:5" x14ac:dyDescent="0.35">
      <c r="A226" s="20" t="s">
        <v>368</v>
      </c>
      <c r="B226" s="50">
        <v>15674139</v>
      </c>
      <c r="C226" s="47"/>
      <c r="D226" s="50"/>
      <c r="E226" s="32">
        <f t="shared" si="17"/>
        <v>15674139</v>
      </c>
    </row>
    <row r="227" spans="1:5" x14ac:dyDescent="0.35">
      <c r="A227" s="20" t="s">
        <v>369</v>
      </c>
      <c r="B227" s="50">
        <v>1627950</v>
      </c>
      <c r="C227" s="47"/>
      <c r="D227" s="50"/>
      <c r="E227" s="32">
        <f t="shared" si="17"/>
        <v>1627950</v>
      </c>
    </row>
    <row r="228" spans="1:5" x14ac:dyDescent="0.35">
      <c r="A228" s="20" t="s">
        <v>370</v>
      </c>
      <c r="B228" s="50">
        <v>0</v>
      </c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f>7111071-15242</f>
        <v>7095829</v>
      </c>
      <c r="C229" s="47"/>
      <c r="D229" s="50"/>
      <c r="E229" s="32">
        <f t="shared" si="17"/>
        <v>7095829</v>
      </c>
    </row>
    <row r="230" spans="1:5" x14ac:dyDescent="0.35">
      <c r="A230" s="20" t="s">
        <v>372</v>
      </c>
      <c r="B230" s="50">
        <v>0</v>
      </c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0</v>
      </c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>
        <v>0</v>
      </c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24573589</v>
      </c>
      <c r="C233" s="266">
        <f>SUM(C224:C232)</f>
        <v>0</v>
      </c>
      <c r="D233" s="32">
        <f>SUM(D224:D232)</f>
        <v>0</v>
      </c>
      <c r="E233" s="32">
        <f>SUM(E224:E232)</f>
        <v>24573589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9" t="s">
        <v>377</v>
      </c>
      <c r="C236" s="349"/>
      <c r="D236" s="38"/>
      <c r="E236" s="38"/>
    </row>
    <row r="237" spans="1:5" x14ac:dyDescent="0.35">
      <c r="A237" s="56" t="s">
        <v>377</v>
      </c>
      <c r="B237" s="38"/>
      <c r="C237" s="47">
        <v>0</v>
      </c>
      <c r="D237" s="40">
        <f>C237</f>
        <v>0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f>993</f>
        <v>993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f>-55625+695737+2178308+11199825-20975+99940+63145+243436+491913+2903106</f>
        <v>17798810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0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f>40897+754259+6832+17657+202108</f>
        <v>1021753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f>4503+237160+7429412+3733014+7143+1178+172016+110347+1696277+1163671</f>
        <v>14554721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f>9427+501937+-13304+9534+107236</f>
        <v>614830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33991107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f>39+8+503+28+8+414</f>
        <v>1000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f>662937+99201+102728+14696+252</f>
        <v>879814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f>5361+877186+38476-3369+3197+195307+7414</f>
        <v>1123572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2003386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f>280466-3-394-3+15272+53588</f>
        <v>348926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f>87710+1995259+170373+3198+7320+77974+455640+31162-879814-1123572+5613</f>
        <v>830863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1179789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37174282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16704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0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f>5641197+180132</f>
        <v>5821329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3883396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102189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0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>
        <v>0</v>
      </c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607447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461759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3126032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0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0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f>2862934</f>
        <v>2862934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206831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21361650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2644296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9153463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0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5094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36234268</v>
      </c>
      <c r="E291" s="20"/>
    </row>
    <row r="292" spans="1:5" x14ac:dyDescent="0.35">
      <c r="A292" s="20" t="s">
        <v>416</v>
      </c>
      <c r="B292" s="46" t="s">
        <v>284</v>
      </c>
      <c r="C292" s="47">
        <f>175671+15674139+1627950+7111071-15242</f>
        <v>24573589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11660679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>
        <v>0</v>
      </c>
      <c r="D295" s="20"/>
      <c r="E295" s="20"/>
    </row>
    <row r="296" spans="1:5" x14ac:dyDescent="0.35">
      <c r="A296" s="20" t="s">
        <v>420</v>
      </c>
      <c r="B296" s="46" t="s">
        <v>284</v>
      </c>
      <c r="C296" s="47">
        <v>0</v>
      </c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0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>
        <v>0</v>
      </c>
      <c r="D303" s="20"/>
      <c r="E303" s="20"/>
    </row>
    <row r="304" spans="1:5" x14ac:dyDescent="0.35">
      <c r="A304" s="20" t="s">
        <v>426</v>
      </c>
      <c r="B304" s="46" t="s">
        <v>284</v>
      </c>
      <c r="C304" s="47">
        <v>0</v>
      </c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14786711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0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f>33494+71527+160626</f>
        <v>265647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f>194837+13274+1371136</f>
        <v>1579247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f>597+335</f>
        <v>932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>
        <v>0</v>
      </c>
      <c r="D320" s="20"/>
      <c r="E320" s="20"/>
    </row>
    <row r="321" spans="1:5" x14ac:dyDescent="0.35">
      <c r="A321" s="20" t="s">
        <v>439</v>
      </c>
      <c r="B321" s="46" t="s">
        <v>284</v>
      </c>
      <c r="C321" s="47">
        <v>0</v>
      </c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49312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1895138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>
        <v>0</v>
      </c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>
        <v>0</v>
      </c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0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0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0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0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5">
        <v>12891569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>
        <v>0</v>
      </c>
      <c r="D345" s="20"/>
      <c r="E345" s="20"/>
    </row>
    <row r="346" spans="1:5" x14ac:dyDescent="0.35">
      <c r="A346" s="20" t="s">
        <v>461</v>
      </c>
      <c r="B346" s="46" t="s">
        <v>284</v>
      </c>
      <c r="C346" s="234">
        <v>0</v>
      </c>
      <c r="D346" s="20"/>
      <c r="E346" s="20"/>
    </row>
    <row r="347" spans="1:5" x14ac:dyDescent="0.35">
      <c r="A347" s="20" t="s">
        <v>462</v>
      </c>
      <c r="B347" s="46" t="s">
        <v>284</v>
      </c>
      <c r="C347" s="234">
        <v>0</v>
      </c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0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>
        <v>0</v>
      </c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14786707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14786711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12558119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37165215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49723334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0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f>28072083+170373+7782917+31162-2003134-252</f>
        <v>34053149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f>662937+99201+5361+877186+38476-3369+102728+14696+3197+195307+7414+252</f>
        <v>2003386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f>91332+1026415</f>
        <v>1117747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37174282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12549052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>
        <v>3331732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3">
        <v>1000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3">
        <v>0</v>
      </c>
      <c r="D372" s="32"/>
      <c r="E372" s="32"/>
    </row>
    <row r="373" spans="1:6" x14ac:dyDescent="0.35">
      <c r="A373" s="59" t="s">
        <v>482</v>
      </c>
      <c r="B373" s="40" t="s">
        <v>284</v>
      </c>
      <c r="C373" s="273">
        <v>0</v>
      </c>
      <c r="D373" s="32"/>
      <c r="E373" s="32"/>
    </row>
    <row r="374" spans="1:6" x14ac:dyDescent="0.35">
      <c r="A374" s="59" t="s">
        <v>483</v>
      </c>
      <c r="B374" s="40" t="s">
        <v>284</v>
      </c>
      <c r="C374" s="273">
        <v>0</v>
      </c>
      <c r="D374" s="32"/>
      <c r="E374" s="32"/>
    </row>
    <row r="375" spans="1:6" x14ac:dyDescent="0.35">
      <c r="A375" s="59" t="s">
        <v>484</v>
      </c>
      <c r="B375" s="40" t="s">
        <v>284</v>
      </c>
      <c r="C375" s="273">
        <v>0</v>
      </c>
      <c r="D375" s="32"/>
      <c r="E375" s="32"/>
    </row>
    <row r="376" spans="1:6" x14ac:dyDescent="0.35">
      <c r="A376" s="59" t="s">
        <v>485</v>
      </c>
      <c r="B376" s="40" t="s">
        <v>284</v>
      </c>
      <c r="C376" s="273">
        <v>0</v>
      </c>
      <c r="D376" s="32"/>
      <c r="E376" s="32"/>
    </row>
    <row r="377" spans="1:6" x14ac:dyDescent="0.35">
      <c r="A377" s="59" t="s">
        <v>486</v>
      </c>
      <c r="B377" s="40" t="s">
        <v>284</v>
      </c>
      <c r="C377" s="273">
        <v>0</v>
      </c>
      <c r="D377" s="32"/>
      <c r="E377" s="32"/>
    </row>
    <row r="378" spans="1:6" x14ac:dyDescent="0.35">
      <c r="A378" s="59" t="s">
        <v>487</v>
      </c>
      <c r="B378" s="40" t="s">
        <v>284</v>
      </c>
      <c r="C378" s="273">
        <v>0</v>
      </c>
      <c r="D378" s="32"/>
      <c r="E378" s="32"/>
    </row>
    <row r="379" spans="1:6" x14ac:dyDescent="0.35">
      <c r="A379" s="59" t="s">
        <v>488</v>
      </c>
      <c r="B379" s="40" t="s">
        <v>284</v>
      </c>
      <c r="C379" s="273">
        <f>77874+21380+116</f>
        <v>99370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f>169676-4407-1000-77874-21380-116</f>
        <v>64899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3497001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3497001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16046053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f>16366773+21250+4947</f>
        <v>16392970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f>1132249+3411459</f>
        <v>4543708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446712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3372989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501135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494987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1246678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f>12783+86580</f>
        <v>99363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309718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f>44388+115527</f>
        <v>159915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>
        <v>0</v>
      </c>
      <c r="D401" s="32"/>
      <c r="E401" s="32"/>
    </row>
    <row r="402" spans="1:9" x14ac:dyDescent="0.35">
      <c r="A402" s="33" t="s">
        <v>256</v>
      </c>
      <c r="B402" s="40" t="s">
        <v>284</v>
      </c>
      <c r="C402" s="273">
        <v>851643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3">
        <v>0</v>
      </c>
      <c r="D403" s="32"/>
      <c r="E403" s="32"/>
    </row>
    <row r="404" spans="1:9" x14ac:dyDescent="0.35">
      <c r="A404" s="33" t="s">
        <v>258</v>
      </c>
      <c r="B404" s="40" t="s">
        <v>284</v>
      </c>
      <c r="C404" s="273">
        <v>0</v>
      </c>
      <c r="D404" s="32"/>
      <c r="E404" s="32"/>
    </row>
    <row r="405" spans="1:9" x14ac:dyDescent="0.35">
      <c r="A405" s="33" t="s">
        <v>259</v>
      </c>
      <c r="B405" s="40" t="s">
        <v>284</v>
      </c>
      <c r="C405" s="273">
        <v>0</v>
      </c>
      <c r="D405" s="32"/>
      <c r="E405" s="32"/>
    </row>
    <row r="406" spans="1:9" x14ac:dyDescent="0.35">
      <c r="A406" s="33" t="s">
        <v>260</v>
      </c>
      <c r="B406" s="40" t="s">
        <v>284</v>
      </c>
      <c r="C406" s="273">
        <v>0</v>
      </c>
      <c r="D406" s="32"/>
      <c r="E406" s="32"/>
    </row>
    <row r="407" spans="1:9" x14ac:dyDescent="0.35">
      <c r="A407" s="33" t="s">
        <v>261</v>
      </c>
      <c r="B407" s="40" t="s">
        <v>284</v>
      </c>
      <c r="C407" s="273">
        <v>0</v>
      </c>
      <c r="D407" s="32"/>
      <c r="E407" s="32"/>
    </row>
    <row r="408" spans="1:9" x14ac:dyDescent="0.35">
      <c r="A408" s="33" t="s">
        <v>262</v>
      </c>
      <c r="B408" s="40" t="s">
        <v>284</v>
      </c>
      <c r="C408" s="273">
        <f>395346+95254</f>
        <v>490600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3">
        <v>0</v>
      </c>
      <c r="D409" s="32"/>
      <c r="E409" s="32"/>
    </row>
    <row r="410" spans="1:9" x14ac:dyDescent="0.35">
      <c r="A410" s="33" t="s">
        <v>264</v>
      </c>
      <c r="B410" s="40" t="s">
        <v>284</v>
      </c>
      <c r="C410" s="273">
        <v>0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3">
        <f>259910+77256</f>
        <v>337166</v>
      </c>
      <c r="D411" s="32"/>
      <c r="E411" s="32"/>
    </row>
    <row r="412" spans="1:9" x14ac:dyDescent="0.35">
      <c r="A412" s="33" t="s">
        <v>266</v>
      </c>
      <c r="B412" s="40" t="s">
        <v>284</v>
      </c>
      <c r="C412" s="273">
        <v>115527</v>
      </c>
      <c r="D412" s="32"/>
      <c r="E412" s="32"/>
    </row>
    <row r="413" spans="1:9" x14ac:dyDescent="0.35">
      <c r="A413" s="33" t="s">
        <v>267</v>
      </c>
      <c r="B413" s="40" t="s">
        <v>284</v>
      </c>
      <c r="C413" s="273">
        <v>0</v>
      </c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502684-115527-77256-71458</f>
        <v>238443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2033379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29601554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-13555501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-13555501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v>0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-13555501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80085</v>
      </c>
      <c r="E612" s="258">
        <f>SUM(C624:D647)+SUM(C668:D713)</f>
        <v>14819942.300593119</v>
      </c>
      <c r="F612" s="258">
        <f>CE64-(AX64+BD64+BE64+BG64+BJ64+BN64+BP64+BQ64+CB64+CC64+CD64)</f>
        <v>0</v>
      </c>
      <c r="G612" s="256">
        <f>CE91-(AX91+AY91+BD91+BE91+BG91+BJ91+BN91+BP91+BQ91+CB91+CC91+CD91)</f>
        <v>18139</v>
      </c>
      <c r="H612" s="261">
        <f>CE60-(AX60+AY60+AZ60+BD60+BE60+BG60+BJ60+BN60+BO60+BP60+BQ60+BR60+CB60+CC60+CD60)</f>
        <v>97.1</v>
      </c>
      <c r="I612" s="256">
        <f>CE92-(AX92+AY92+AZ92+BD92+BE92+BF92+BG92+BJ92+BN92+BO92+BP92+BQ92+BR92+CB92+CC92+CD92)</f>
        <v>17819</v>
      </c>
      <c r="J612" s="256">
        <f>CE93-(AX93+AY93+AZ93+BA93+BD93+BE93+BF93+BG93+BJ93+BN93+BO93+BP93+BQ93+BR93+CB93+CC93+CD93)</f>
        <v>50788</v>
      </c>
      <c r="K612" s="256">
        <f>CE89-(AW89+AX89+AY89+AZ89+BA89+BB89+BC89+BD89+BE89+BF89+BG89+BH89+BI89+BJ89+BK89+BL89+BM89+BN89+BO89+BP89+BQ89+BR89+BS89+BT89+BU89+BV89+BW89+BX89+CB89+CC89+CD89)</f>
        <v>39564284</v>
      </c>
      <c r="L612" s="262">
        <f>CE94-(AW94+AX94+AY94+AZ94+BA94+BB94+BC94+BD94+BE94+BF94+BG94+BH94+BI94+BJ94+BK94+BL94+BM94+BN94+BO94+BP94+BQ94+BR94+BS94+BT94+BU94+BV94+BW94+BX94+BY94+BZ94+CA94+CB94+CC94+CD94)</f>
        <v>43.15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60547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60547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182870</v>
      </c>
      <c r="D619" s="256">
        <f>(D615/D612)*BN90</f>
        <v>9334.7544359118438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86999</v>
      </c>
      <c r="D620" s="256">
        <f>(D615/D612)*CC90</f>
        <v>4440.9449709683468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283644.69940688019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3629</v>
      </c>
      <c r="D624" s="256">
        <f>(D615/D612)*BD90</f>
        <v>185.22838234375976</v>
      </c>
      <c r="E624" s="258">
        <f>(E623/E612)*SUM(C624:D624)</f>
        <v>73.002015867213444</v>
      </c>
      <c r="F624" s="258">
        <f>SUM(C624:E624)</f>
        <v>3887.2303982109729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422477</v>
      </c>
      <c r="D625" s="256">
        <f>(D615/D612)*AY90</f>
        <v>3641.8168071424116</v>
      </c>
      <c r="E625" s="258">
        <f>(E623/E612)*SUM(C625:D625)</f>
        <v>8155.6554845723031</v>
      </c>
      <c r="F625" s="258" t="e">
        <f>(F624/F612)*AY64</f>
        <v>#DIV/0!</v>
      </c>
      <c r="G625" s="256" t="e">
        <f>SUM(C625:F625)</f>
        <v>#DIV/0!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5421</v>
      </c>
      <c r="D626" s="256">
        <f>(D615/D612)*BR90</f>
        <v>276.70852219516763</v>
      </c>
      <c r="E626" s="258">
        <f>(E623/E612)*SUM(C626:D626)</f>
        <v>109.05068240524713</v>
      </c>
      <c r="F626" s="258" t="e">
        <f>(F624/F612)*BR64</f>
        <v>#DIV/0!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 t="e">
        <f>(F624/F612)*BO64</f>
        <v>#DIV/0!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21313</v>
      </c>
      <c r="D628" s="256">
        <f>(D615/D612)*AZ90</f>
        <v>1087.9332334394705</v>
      </c>
      <c r="E628" s="258">
        <f>(E623/E612)*SUM(C628:D628)</f>
        <v>428.74026393329734</v>
      </c>
      <c r="F628" s="258" t="e">
        <f>(F624/F612)*AZ64</f>
        <v>#DIV/0!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595389</v>
      </c>
      <c r="D629" s="256">
        <f>(D615/D612)*BF90</f>
        <v>545.85670225385536</v>
      </c>
      <c r="E629" s="258">
        <f>(E623/E612)*SUM(C629:D629)</f>
        <v>11405.831403852901</v>
      </c>
      <c r="F629" s="258" t="e">
        <f>(F624/F612)*BF64</f>
        <v>#DIV/0!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23905</v>
      </c>
      <c r="D630" s="256">
        <f>(D615/D612)*BA90</f>
        <v>1220.2392208278704</v>
      </c>
      <c r="E630" s="258">
        <f>(E623/E612)*SUM(C630:D630)</f>
        <v>480.88182678231192</v>
      </c>
      <c r="F630" s="258" t="e">
        <f>(F624/F612)*BA64</f>
        <v>#DIV/0!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 t="e">
        <f>(F624/F612)*AW64</f>
        <v>#DIV/0!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895834</v>
      </c>
      <c r="D632" s="256">
        <f>(D615/D612)*BB90</f>
        <v>1387.3227820440782</v>
      </c>
      <c r="E632" s="258">
        <f>(E623/E612)*SUM(C632:D632)</f>
        <v>17172.271473133274</v>
      </c>
      <c r="F632" s="258" t="e">
        <f>(F624/F612)*BB64</f>
        <v>#DIV/0!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 t="e">
        <f>(F624/F612)*BC64</f>
        <v>#DIV/0!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 t="e">
        <f>(F624/F612)*BI64</f>
        <v>#DIV/0!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 t="e">
        <f>(F624/F612)*BK64</f>
        <v>#DIV/0!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 t="e">
        <f>(F624/F612)*BH64</f>
        <v>#DIV/0!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0</v>
      </c>
      <c r="D637" s="256">
        <f>(D615/D612)*BL90</f>
        <v>0</v>
      </c>
      <c r="E637" s="258">
        <f>(E623/E612)*SUM(C637:D637)</f>
        <v>0</v>
      </c>
      <c r="F637" s="258" t="e">
        <f>(F624/F612)*BL64</f>
        <v>#DIV/0!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 t="e">
        <f>(F624/F612)*BM64</f>
        <v>#DIV/0!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 t="e">
        <f>(F624/F612)*BS64</f>
        <v>#DIV/0!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 t="e">
        <f>(F624/F612)*BT64</f>
        <v>#DIV/0!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 t="e">
        <f>(F624/F612)*BU64</f>
        <v>#DIV/0!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15714</v>
      </c>
      <c r="D642" s="256">
        <f>(D615/D612)*BV90</f>
        <v>802.15230068052699</v>
      </c>
      <c r="E642" s="258">
        <f>(E623/E612)*SUM(C642:D642)</f>
        <v>316.10912914939553</v>
      </c>
      <c r="F642" s="258" t="e">
        <f>(F624/F612)*BV64</f>
        <v>#DIV/0!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 t="e">
        <f>(F624/F612)*BW64</f>
        <v>#DIV/0!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 t="e">
        <f>(F624/F612)*BX64</f>
        <v>#DIV/0!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18765</v>
      </c>
      <c r="D645" s="256">
        <f>(D615/D612)*BY90</f>
        <v>957.89534869201475</v>
      </c>
      <c r="E645" s="258">
        <f>(E623/E612)*SUM(C645:D645)</f>
        <v>377.48424448246391</v>
      </c>
      <c r="F645" s="258" t="e">
        <f>(F624/F612)*BY64</f>
        <v>#DIV/0!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 t="e">
        <f>(F624/F612)*BZ64</f>
        <v>#DIV/0!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 t="e">
        <f>(F624/F612)*CA64</f>
        <v>#DIV/0!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2332863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 t="e">
        <f>(F624/F612)*C64</f>
        <v>#DIV/0!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 t="e">
        <f>(F624/F612)*D64</f>
        <v>#DIV/0!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3286221</v>
      </c>
      <c r="D670" s="256">
        <f>(D615/D612)*E90</f>
        <v>12262.118911156897</v>
      </c>
      <c r="E670" s="258">
        <f>(E623/E612)*SUM(C670:D670)</f>
        <v>63130.964600636777</v>
      </c>
      <c r="F670" s="258" t="e">
        <f>(F624/F612)*E64</f>
        <v>#DIV/0!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 t="e">
        <f>(F624/F612)*F64</f>
        <v>#DIV/0!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 t="e">
        <f>(F624/F612)*G64</f>
        <v>#DIV/0!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 t="e">
        <f>(F624/F612)*H64</f>
        <v>#DIV/0!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 t="e">
        <f>(F624/F612)*I64</f>
        <v>#DIV/0!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 t="e">
        <f>(F624/F612)*J64</f>
        <v>#DIV/0!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 t="e">
        <f>(F624/F612)*K64</f>
        <v>#DIV/0!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 t="e">
        <f>(F624/F612)*L64</f>
        <v>#DIV/0!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 t="e">
        <f>(F624/F612)*M64</f>
        <v>#DIV/0!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 t="e">
        <f>(F624/F612)*N64</f>
        <v>#DIV/0!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 t="e">
        <f>(F624/F612)*O64</f>
        <v>#DIV/0!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3402228</v>
      </c>
      <c r="D681" s="256">
        <f>(D615/D612)*P90</f>
        <v>2953.0696385090841</v>
      </c>
      <c r="E681" s="258">
        <f>(E623/E612)*SUM(C681:D681)</f>
        <v>65173.098608147637</v>
      </c>
      <c r="F681" s="258" t="e">
        <f>(F624/F612)*P64</f>
        <v>#DIV/0!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304869</v>
      </c>
      <c r="D682" s="256">
        <f>(D615/D612)*Q90</f>
        <v>1066.0082412436786</v>
      </c>
      <c r="E682" s="258">
        <f>(E623/E612)*SUM(C682:D682)</f>
        <v>5855.4103444219218</v>
      </c>
      <c r="F682" s="258" t="e">
        <f>(F624/F612)*Q64</f>
        <v>#DIV/0!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101647</v>
      </c>
      <c r="D683" s="256">
        <f>(D615/D612)*R90</f>
        <v>399.9420990197915</v>
      </c>
      <c r="E683" s="258">
        <f>(E623/E612)*SUM(C683:D683)</f>
        <v>1953.1165256904776</v>
      </c>
      <c r="F683" s="258" t="e">
        <f>(F624/F612)*R64</f>
        <v>#DIV/0!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191372</v>
      </c>
      <c r="D684" s="256">
        <f>(D615/D612)*S90</f>
        <v>0</v>
      </c>
      <c r="E684" s="258">
        <f>(E623/E612)*SUM(C684:D684)</f>
        <v>3662.7439104618534</v>
      </c>
      <c r="F684" s="258" t="e">
        <f>(F624/F612)*S64</f>
        <v>#DIV/0!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 t="e">
        <f>(F624/F612)*T64</f>
        <v>#DIV/0!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154632</v>
      </c>
      <c r="D686" s="256">
        <f>(D615/D612)*U90</f>
        <v>348.53177249172757</v>
      </c>
      <c r="E686" s="258">
        <f>(E623/E612)*SUM(C686:D686)</f>
        <v>2966.2332994891303</v>
      </c>
      <c r="F686" s="258" t="e">
        <f>(F624/F612)*U64</f>
        <v>#DIV/0!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 t="e">
        <f>(F624/F612)*V64</f>
        <v>#DIV/0!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 t="e">
        <f>(F624/F612)*W64</f>
        <v>#DIV/0!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 t="e">
        <f>(F624/F612)*X64</f>
        <v>#DIV/0!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595286</v>
      </c>
      <c r="D690" s="256">
        <f>(D615/D612)*Y90</f>
        <v>2313.4646937628772</v>
      </c>
      <c r="E690" s="258">
        <f>(E623/E612)*SUM(C690:D690)</f>
        <v>11437.690990334757</v>
      </c>
      <c r="F690" s="258" t="e">
        <f>(F624/F612)*Y64</f>
        <v>#DIV/0!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 t="e">
        <f>(F624/F612)*Z64</f>
        <v>#DIV/0!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 t="e">
        <f>(F624/F612)*AA64</f>
        <v>#DIV/0!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406551</v>
      </c>
      <c r="D693" s="256">
        <f>(D615/D612)*AB90</f>
        <v>226.81026409439971</v>
      </c>
      <c r="E693" s="258">
        <f>(E623/E612)*SUM(C693:D693)</f>
        <v>7785.4803600099222</v>
      </c>
      <c r="F693" s="258" t="e">
        <f>(F624/F612)*AB64</f>
        <v>#DIV/0!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583913</v>
      </c>
      <c r="D694" s="256">
        <f>(D615/D612)*AC90</f>
        <v>77.871524005743908</v>
      </c>
      <c r="E694" s="258">
        <f>(E623/E612)*SUM(C694:D694)</f>
        <v>11177.230777960531</v>
      </c>
      <c r="F694" s="258" t="e">
        <f>(F624/F612)*AC64</f>
        <v>#DIV/0!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 t="e">
        <f>(F624/F612)*AD64</f>
        <v>#DIV/0!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1061468</v>
      </c>
      <c r="D696" s="256">
        <f>(D615/D612)*AE90</f>
        <v>5592.3850783542493</v>
      </c>
      <c r="E696" s="258">
        <f>(E623/E612)*SUM(C696:D696)</f>
        <v>20422.888027197409</v>
      </c>
      <c r="F696" s="258" t="e">
        <f>(F624/F612)*AE64</f>
        <v>#DIV/0!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 t="e">
        <f>(F624/F612)*AF64</f>
        <v>#DIV/0!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0</v>
      </c>
      <c r="D698" s="256">
        <f>(D615/D612)*AG90</f>
        <v>0</v>
      </c>
      <c r="E698" s="258">
        <f>(E623/E612)*SUM(C698:D698)</f>
        <v>0</v>
      </c>
      <c r="F698" s="258" t="e">
        <f>(F624/F612)*AG64</f>
        <v>#DIV/0!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 t="e">
        <f>(F624/F612)*AH64</f>
        <v>#DIV/0!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 t="e">
        <f>(F624/F612)*AI64</f>
        <v>#DIV/0!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1482765</v>
      </c>
      <c r="D701" s="256">
        <f>(D615/D612)*AJ90</f>
        <v>6711.3157145532878</v>
      </c>
      <c r="E701" s="258">
        <f>(E623/E612)*SUM(C701:D701)</f>
        <v>28507.672518240059</v>
      </c>
      <c r="F701" s="258" t="e">
        <f>(F624/F612)*AJ64</f>
        <v>#DIV/0!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1199772</v>
      </c>
      <c r="D702" s="256">
        <f>(D615/D612)*AK90</f>
        <v>4714.6293563089221</v>
      </c>
      <c r="E702" s="258">
        <f>(E623/E612)*SUM(C702:D702)</f>
        <v>23053.142920111321</v>
      </c>
      <c r="F702" s="258" t="e">
        <f>(F624/F612)*AK64</f>
        <v>#DIV/0!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 t="e">
        <f>(F624/F612)*AL64</f>
        <v>#DIV/0!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 t="e">
        <f>(F624/F612)*AM64</f>
        <v>#DIV/0!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 t="e">
        <f>(F624/F612)*AN64</f>
        <v>#DIV/0!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 t="e">
        <f>(F624/F612)*AO64</f>
        <v>#DIV/0!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 t="e">
        <f>(F624/F612)*AP64</f>
        <v>#DIV/0!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 t="e">
        <f>(F624/F612)*AQ64</f>
        <v>#DIV/0!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 t="e">
        <f>(F624/F612)*AR64</f>
        <v>#DIV/0!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 t="e">
        <f>(F624/F612)*AS64</f>
        <v>#DIV/0!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 t="e">
        <f>(F624/F612)*AT64</f>
        <v>#DIV/0!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 t="e">
        <f>(F624/F612)*AU64</f>
        <v>#DIV/0!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 t="e">
        <f>(F624/F612)*AV64</f>
        <v>#DIV/0!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15103587</v>
      </c>
      <c r="D715" s="231">
        <f>SUM(D616:D647)+SUM(D668:D713)</f>
        <v>60547</v>
      </c>
      <c r="E715" s="231">
        <f>SUM(E624:E647)+SUM(E668:E713)</f>
        <v>283644.69940688019</v>
      </c>
      <c r="F715" s="231" t="e">
        <f>SUM(F625:F648)+SUM(F668:F713)</f>
        <v>#DIV/0!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15103587</v>
      </c>
      <c r="D716" s="231">
        <f>D615</f>
        <v>60547</v>
      </c>
      <c r="E716" s="231">
        <f>E623</f>
        <v>283644.69940688019</v>
      </c>
      <c r="F716" s="231">
        <f>F624</f>
        <v>3887.2303982109729</v>
      </c>
      <c r="G716" s="231" t="e">
        <f>G625</f>
        <v>#DIV/0!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2332863</v>
      </c>
      <c r="N716" s="250" t="s">
        <v>670</v>
      </c>
    </row>
  </sheetData>
  <mergeCells count="1">
    <mergeCell ref="B236:C236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2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Shriners Hospitals for Children - Spokane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16704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5821329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3883396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102189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607447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461759</v>
      </c>
    </row>
    <row r="15" spans="1:3" ht="20.149999999999999" customHeight="1" x14ac:dyDescent="0.35">
      <c r="A15" s="188">
        <v>11</v>
      </c>
      <c r="B15" s="190" t="s">
        <v>877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3126032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2862934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206831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21361650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2644296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9153463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5094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24573589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11660679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14786711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Shriners Hospitals for Children - Spokane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265647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1579247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932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49312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1895138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12891569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12891569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14786711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Shriners Hospitals for Children - Spokane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12558119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37165215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49723334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0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34053149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2003386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1117747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37174282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12549052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3331732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1000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99370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64899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3497001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16046053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16392970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4543708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446712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3372989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501135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494987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1246678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99363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309718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159915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851643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490600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337166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115527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238443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29601554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-13555501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-13555501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-13555501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969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970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Shriners Hospitals for Children - Spokane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971</v>
      </c>
      <c r="C6" s="292" t="s">
        <v>103</v>
      </c>
      <c r="D6" s="293" t="s">
        <v>972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973</v>
      </c>
      <c r="E7" s="293" t="s">
        <v>175</v>
      </c>
      <c r="F7" s="293" t="s">
        <v>974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975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594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17.79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2051136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994867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240218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976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977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978</v>
      </c>
      <c r="C21" s="287">
        <f>data!C85</f>
        <v>0</v>
      </c>
      <c r="D21" s="287">
        <f>data!D85</f>
        <v>0</v>
      </c>
      <c r="E21" s="287">
        <f>data!E85</f>
        <v>3286221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979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980</v>
      </c>
      <c r="C24" s="287">
        <f>data!C87</f>
        <v>0</v>
      </c>
      <c r="D24" s="287">
        <f>data!D87</f>
        <v>0</v>
      </c>
      <c r="E24" s="287">
        <f>data!E87</f>
        <v>1512125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981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982</v>
      </c>
      <c r="C26" s="287">
        <f>data!C89</f>
        <v>0</v>
      </c>
      <c r="D26" s="287">
        <f>data!D89</f>
        <v>0</v>
      </c>
      <c r="E26" s="287">
        <f>data!E89</f>
        <v>1512125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983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984</v>
      </c>
      <c r="C28" s="287">
        <f>data!C90</f>
        <v>0</v>
      </c>
      <c r="D28" s="287">
        <f>data!D90</f>
        <v>0</v>
      </c>
      <c r="E28" s="287">
        <f>data!E90</f>
        <v>16219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985</v>
      </c>
      <c r="C29" s="287">
        <f>data!C91</f>
        <v>0</v>
      </c>
      <c r="D29" s="287">
        <f>data!D91</f>
        <v>0</v>
      </c>
      <c r="E29" s="287">
        <f>data!E91</f>
        <v>3488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986</v>
      </c>
      <c r="C30" s="287">
        <f>data!C92</f>
        <v>0</v>
      </c>
      <c r="D30" s="287">
        <f>data!D92</f>
        <v>0</v>
      </c>
      <c r="E30" s="287">
        <f>data!E92</f>
        <v>17819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987</v>
      </c>
      <c r="C31" s="287">
        <f>data!C93</f>
        <v>0</v>
      </c>
      <c r="D31" s="287">
        <f>data!D93</f>
        <v>0</v>
      </c>
      <c r="E31" s="287">
        <f>data!E93</f>
        <v>22741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17.79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969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988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Shriners Hospitals for Children - Spokane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971</v>
      </c>
      <c r="C38" s="293"/>
      <c r="D38" s="293" t="s">
        <v>111</v>
      </c>
      <c r="E38" s="293" t="s">
        <v>112</v>
      </c>
      <c r="F38" s="293" t="s">
        <v>989</v>
      </c>
      <c r="G38" s="293" t="s">
        <v>114</v>
      </c>
      <c r="H38" s="293" t="s">
        <v>990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975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8.4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2252057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1092320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57851</v>
      </c>
    </row>
    <row r="50" spans="1:11" ht="20.149999999999999" customHeight="1" x14ac:dyDescent="0.35">
      <c r="A50" s="279">
        <v>13</v>
      </c>
      <c r="B50" s="287" t="s">
        <v>976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977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978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3402228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979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980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2899695</v>
      </c>
    </row>
    <row r="57" spans="1:11" ht="20.149999999999999" customHeight="1" x14ac:dyDescent="0.35">
      <c r="A57" s="279">
        <v>20</v>
      </c>
      <c r="B57" s="295" t="s">
        <v>981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9461914</v>
      </c>
    </row>
    <row r="58" spans="1:11" ht="20.149999999999999" customHeight="1" x14ac:dyDescent="0.35">
      <c r="A58" s="279">
        <v>21</v>
      </c>
      <c r="B58" s="295" t="s">
        <v>982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12361609</v>
      </c>
    </row>
    <row r="59" spans="1:11" ht="20.149999999999999" customHeight="1" x14ac:dyDescent="0.35">
      <c r="A59" s="279" t="s">
        <v>983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984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3906</v>
      </c>
      <c r="K60" s="298"/>
    </row>
    <row r="61" spans="1:11" ht="20.149999999999999" customHeight="1" x14ac:dyDescent="0.35">
      <c r="A61" s="279">
        <v>23</v>
      </c>
      <c r="B61" s="287" t="s">
        <v>985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986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987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19570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8.4</v>
      </c>
    </row>
    <row r="65" spans="1:9" ht="20.149999999999999" customHeight="1" x14ac:dyDescent="0.35">
      <c r="A65" s="280" t="s">
        <v>969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991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Shriners Hospitals for Children - Spokane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971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992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975</v>
      </c>
      <c r="C72" s="289" t="s">
        <v>993</v>
      </c>
      <c r="D72" s="288" t="s">
        <v>994</v>
      </c>
      <c r="E72" s="299"/>
      <c r="F72" s="299"/>
      <c r="G72" s="288" t="s">
        <v>995</v>
      </c>
      <c r="H72" s="288" t="s">
        <v>995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1.78</v>
      </c>
      <c r="D74" s="294">
        <f>data!R60</f>
        <v>5.04</v>
      </c>
      <c r="E74" s="294">
        <f>data!S60</f>
        <v>1.98</v>
      </c>
      <c r="F74" s="294">
        <f>data!T60</f>
        <v>0</v>
      </c>
      <c r="G74" s="294">
        <f>data!U60</f>
        <v>1.46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191232</v>
      </c>
      <c r="D75" s="287">
        <f>data!R61</f>
        <v>63172</v>
      </c>
      <c r="E75" s="287">
        <f>data!S61</f>
        <v>128867</v>
      </c>
      <c r="F75" s="287">
        <f>data!T61</f>
        <v>0</v>
      </c>
      <c r="G75" s="287">
        <f>data!U61</f>
        <v>99529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92754</v>
      </c>
      <c r="D76" s="287">
        <f>data!R62</f>
        <v>30640</v>
      </c>
      <c r="E76" s="287">
        <f>data!S62</f>
        <v>62505</v>
      </c>
      <c r="F76" s="287">
        <f>data!T62</f>
        <v>0</v>
      </c>
      <c r="G76" s="287">
        <f>data!U62</f>
        <v>48275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0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0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20883</v>
      </c>
      <c r="D81" s="287">
        <f>data!R67</f>
        <v>7835</v>
      </c>
      <c r="E81" s="287">
        <f>data!S67</f>
        <v>0</v>
      </c>
      <c r="F81" s="287">
        <f>data!T67</f>
        <v>0</v>
      </c>
      <c r="G81" s="287">
        <f>data!U67</f>
        <v>6828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976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977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978</v>
      </c>
      <c r="C85" s="287">
        <f>data!Q85</f>
        <v>304869</v>
      </c>
      <c r="D85" s="287">
        <f>data!R85</f>
        <v>101647</v>
      </c>
      <c r="E85" s="287">
        <f>data!S85</f>
        <v>191372</v>
      </c>
      <c r="F85" s="287">
        <f>data!T85</f>
        <v>0</v>
      </c>
      <c r="G85" s="287">
        <f>data!U85</f>
        <v>154632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979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980</v>
      </c>
      <c r="C88" s="287">
        <f>data!Q87</f>
        <v>231866</v>
      </c>
      <c r="D88" s="287">
        <f>data!R87</f>
        <v>883517</v>
      </c>
      <c r="E88" s="287">
        <f>data!S87</f>
        <v>3712486</v>
      </c>
      <c r="F88" s="287">
        <f>data!T87</f>
        <v>0</v>
      </c>
      <c r="G88" s="287">
        <f>data!U87</f>
        <v>57420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981</v>
      </c>
      <c r="C89" s="287">
        <f>data!Q88</f>
        <v>1043113</v>
      </c>
      <c r="D89" s="287">
        <f>data!R88</f>
        <v>3495617</v>
      </c>
      <c r="E89" s="287">
        <f>data!S88</f>
        <v>1320293</v>
      </c>
      <c r="F89" s="287">
        <f>data!T88</f>
        <v>0</v>
      </c>
      <c r="G89" s="287">
        <f>data!U88</f>
        <v>176897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982</v>
      </c>
      <c r="C90" s="287">
        <f>data!Q89</f>
        <v>1274979</v>
      </c>
      <c r="D90" s="287">
        <f>data!R89</f>
        <v>4379134</v>
      </c>
      <c r="E90" s="287">
        <f>data!S89</f>
        <v>5032779</v>
      </c>
      <c r="F90" s="287">
        <f>data!T89</f>
        <v>0</v>
      </c>
      <c r="G90" s="287">
        <f>data!U89</f>
        <v>234317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983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984</v>
      </c>
      <c r="C92" s="287">
        <f>data!Q90</f>
        <v>1410</v>
      </c>
      <c r="D92" s="287">
        <f>data!R90</f>
        <v>529</v>
      </c>
      <c r="E92" s="287">
        <f>data!S90</f>
        <v>0</v>
      </c>
      <c r="F92" s="287">
        <f>data!T90</f>
        <v>0</v>
      </c>
      <c r="G92" s="287">
        <f>data!U90</f>
        <v>461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985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986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987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1.78</v>
      </c>
      <c r="D96" s="294">
        <f>data!R94</f>
        <v>5.04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969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996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Shriners Hospitals for Children - Spokane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971</v>
      </c>
      <c r="C102" s="293" t="s">
        <v>997</v>
      </c>
      <c r="D102" s="293" t="s">
        <v>998</v>
      </c>
      <c r="E102" s="293" t="s">
        <v>998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975</v>
      </c>
      <c r="C104" s="288" t="s">
        <v>236</v>
      </c>
      <c r="D104" s="289" t="s">
        <v>999</v>
      </c>
      <c r="E104" s="289" t="s">
        <v>999</v>
      </c>
      <c r="F104" s="289" t="s">
        <v>999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5.0199999999999996</v>
      </c>
      <c r="E106" s="294">
        <f>data!Z60</f>
        <v>0</v>
      </c>
      <c r="F106" s="294">
        <f>data!AA60</f>
        <v>0</v>
      </c>
      <c r="G106" s="294">
        <f>data!AB60</f>
        <v>1.69</v>
      </c>
      <c r="H106" s="294">
        <f>data!AC60</f>
        <v>4.43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370339</v>
      </c>
      <c r="E107" s="287">
        <f>data!Z61</f>
        <v>0</v>
      </c>
      <c r="F107" s="287">
        <f>data!AA61</f>
        <v>0</v>
      </c>
      <c r="G107" s="287">
        <f>data!AB61</f>
        <v>270774</v>
      </c>
      <c r="H107" s="287">
        <f>data!AC61</f>
        <v>392171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179626</v>
      </c>
      <c r="E108" s="287">
        <f>data!Z62</f>
        <v>0</v>
      </c>
      <c r="F108" s="287">
        <f>data!AA62</f>
        <v>0</v>
      </c>
      <c r="G108" s="287">
        <f>data!AB62</f>
        <v>131334</v>
      </c>
      <c r="H108" s="287">
        <f>data!AC62</f>
        <v>190216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0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0</v>
      </c>
      <c r="E112" s="287">
        <f>data!Z66</f>
        <v>0</v>
      </c>
      <c r="F112" s="287">
        <f>data!AA66</f>
        <v>0</v>
      </c>
      <c r="G112" s="287">
        <f>data!AB66</f>
        <v>0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45321</v>
      </c>
      <c r="E113" s="287">
        <f>data!Z67</f>
        <v>0</v>
      </c>
      <c r="F113" s="287">
        <f>data!AA67</f>
        <v>0</v>
      </c>
      <c r="G113" s="287">
        <f>data!AB67</f>
        <v>4443</v>
      </c>
      <c r="H113" s="287">
        <f>data!AC67</f>
        <v>1526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976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977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0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978</v>
      </c>
      <c r="C117" s="287">
        <f>data!X85</f>
        <v>0</v>
      </c>
      <c r="D117" s="287">
        <f>data!Y85</f>
        <v>595286</v>
      </c>
      <c r="E117" s="287">
        <f>data!Z85</f>
        <v>0</v>
      </c>
      <c r="F117" s="287">
        <f>data!AA85</f>
        <v>0</v>
      </c>
      <c r="G117" s="287">
        <f>data!AB85</f>
        <v>406551</v>
      </c>
      <c r="H117" s="287">
        <f>data!AC85</f>
        <v>583913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979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980</v>
      </c>
      <c r="C120" s="287">
        <f>data!X87</f>
        <v>0</v>
      </c>
      <c r="D120" s="287">
        <f>data!Y87</f>
        <v>144518</v>
      </c>
      <c r="E120" s="287">
        <f>data!Z87</f>
        <v>0</v>
      </c>
      <c r="F120" s="287">
        <f>data!AA87</f>
        <v>0</v>
      </c>
      <c r="G120" s="287">
        <f>data!AB87</f>
        <v>902214</v>
      </c>
      <c r="H120" s="287">
        <f>data!AC87</f>
        <v>266724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981</v>
      </c>
      <c r="C121" s="287">
        <f>data!X88</f>
        <v>0</v>
      </c>
      <c r="D121" s="287">
        <f>data!Y88</f>
        <v>3772135</v>
      </c>
      <c r="E121" s="287">
        <f>data!Z88</f>
        <v>0</v>
      </c>
      <c r="F121" s="287">
        <f>data!AA88</f>
        <v>0</v>
      </c>
      <c r="G121" s="287">
        <f>data!AB88</f>
        <v>1295967</v>
      </c>
      <c r="H121" s="287">
        <f>data!AC88</f>
        <v>118203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982</v>
      </c>
      <c r="C122" s="287">
        <f>data!X89</f>
        <v>0</v>
      </c>
      <c r="D122" s="287">
        <f>data!Y89</f>
        <v>3916653</v>
      </c>
      <c r="E122" s="287">
        <f>data!Z89</f>
        <v>0</v>
      </c>
      <c r="F122" s="287">
        <f>data!AA89</f>
        <v>0</v>
      </c>
      <c r="G122" s="287">
        <f>data!AB89</f>
        <v>2198181</v>
      </c>
      <c r="H122" s="287">
        <f>data!AC89</f>
        <v>384927</v>
      </c>
      <c r="I122" s="287">
        <f>data!AD89</f>
        <v>0</v>
      </c>
    </row>
    <row r="123" spans="1:9" ht="20.149999999999999" customHeight="1" x14ac:dyDescent="0.35">
      <c r="A123" s="279" t="s">
        <v>983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984</v>
      </c>
      <c r="C124" s="287">
        <f>data!X90</f>
        <v>0</v>
      </c>
      <c r="D124" s="287">
        <f>data!Y90</f>
        <v>3060</v>
      </c>
      <c r="E124" s="287">
        <f>data!Z90</f>
        <v>0</v>
      </c>
      <c r="F124" s="287">
        <f>data!AA90</f>
        <v>0</v>
      </c>
      <c r="G124" s="287">
        <f>data!AB90</f>
        <v>300</v>
      </c>
      <c r="H124" s="287">
        <f>data!AC90</f>
        <v>103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985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986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987</v>
      </c>
      <c r="C127" s="287">
        <f>data!X93</f>
        <v>0</v>
      </c>
      <c r="D127" s="287">
        <f>data!Y93</f>
        <v>857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969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1000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Shriners Hospitals for Children - Spokane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971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1001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975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1002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8.1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10.14</v>
      </c>
      <c r="I138" s="294">
        <f>data!AK60</f>
        <v>8.6300000000000008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641004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909939</v>
      </c>
      <c r="I139" s="287">
        <f>data!AK61</f>
        <v>745715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310908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441350</v>
      </c>
      <c r="I140" s="287">
        <f>data!AK62</f>
        <v>361696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109556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131476</v>
      </c>
      <c r="I145" s="287">
        <f>data!AK67</f>
        <v>92361</v>
      </c>
    </row>
    <row r="146" spans="1:9" ht="20.149999999999999" customHeight="1" x14ac:dyDescent="0.35">
      <c r="A146" s="279">
        <v>13</v>
      </c>
      <c r="B146" s="287" t="s">
        <v>976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977</v>
      </c>
      <c r="C147" s="287">
        <f>data!AE69</f>
        <v>0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978</v>
      </c>
      <c r="C149" s="287">
        <f>data!AE85</f>
        <v>1061468</v>
      </c>
      <c r="D149" s="287">
        <f>data!AF85</f>
        <v>0</v>
      </c>
      <c r="E149" s="287">
        <f>data!AG85</f>
        <v>0</v>
      </c>
      <c r="F149" s="287">
        <f>data!AH85</f>
        <v>0</v>
      </c>
      <c r="G149" s="287">
        <f>data!AI85</f>
        <v>0</v>
      </c>
      <c r="H149" s="287">
        <f>data!AJ85</f>
        <v>1482765</v>
      </c>
      <c r="I149" s="287">
        <f>data!AK85</f>
        <v>1199772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979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980</v>
      </c>
      <c r="C152" s="287">
        <f>data!AE87</f>
        <v>89232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8105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981</v>
      </c>
      <c r="C153" s="287">
        <f>data!AE88</f>
        <v>3064440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4725755</v>
      </c>
      <c r="I153" s="287">
        <f>data!AK88</f>
        <v>382048</v>
      </c>
    </row>
    <row r="154" spans="1:9" ht="20.149999999999999" customHeight="1" x14ac:dyDescent="0.35">
      <c r="A154" s="279">
        <v>21</v>
      </c>
      <c r="B154" s="295" t="s">
        <v>982</v>
      </c>
      <c r="C154" s="287">
        <f>data!AE89</f>
        <v>3153672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4733860</v>
      </c>
      <c r="I154" s="287">
        <f>data!AK89</f>
        <v>382048</v>
      </c>
    </row>
    <row r="155" spans="1:9" ht="20.149999999999999" customHeight="1" x14ac:dyDescent="0.35">
      <c r="A155" s="279" t="s">
        <v>983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984</v>
      </c>
      <c r="C156" s="287">
        <f>data!AE90</f>
        <v>7397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8877</v>
      </c>
      <c r="I156" s="287">
        <f>data!AK90</f>
        <v>6236</v>
      </c>
    </row>
    <row r="157" spans="1:9" ht="20.149999999999999" customHeight="1" x14ac:dyDescent="0.35">
      <c r="A157" s="279">
        <v>23</v>
      </c>
      <c r="B157" s="287" t="s">
        <v>985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986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987</v>
      </c>
      <c r="C159" s="287">
        <f>data!AE93</f>
        <v>1092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6161</v>
      </c>
      <c r="I159" s="287">
        <f>data!AK93</f>
        <v>367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10.14</v>
      </c>
      <c r="I160" s="294">
        <f>data!AK94</f>
        <v>0</v>
      </c>
    </row>
    <row r="161" spans="1:9" ht="20.149999999999999" customHeight="1" x14ac:dyDescent="0.35">
      <c r="A161" s="280" t="s">
        <v>969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1003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Shriners Hospitals for Children - Spokane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971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1004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1005</v>
      </c>
      <c r="F167" s="293" t="s">
        <v>194</v>
      </c>
      <c r="G167" s="293" t="s">
        <v>133</v>
      </c>
      <c r="H167" s="292" t="s">
        <v>1006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975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976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977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978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979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980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981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982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983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984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985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986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987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969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1007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Shriners Hospitals for Children - Spokane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971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1008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1009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975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18139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4.45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236448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114685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0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0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71344</v>
      </c>
    </row>
    <row r="210" spans="1:9" ht="20.149999999999999" customHeight="1" x14ac:dyDescent="0.35">
      <c r="A210" s="279">
        <v>13</v>
      </c>
      <c r="B210" s="287" t="s">
        <v>976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977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978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422477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979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980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981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982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983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984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4817</v>
      </c>
    </row>
    <row r="221" spans="1:9" ht="20.149999999999999" customHeight="1" x14ac:dyDescent="0.35">
      <c r="A221" s="279">
        <v>23</v>
      </c>
      <c r="B221" s="287" t="s">
        <v>985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986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987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969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1010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Shriners Hospitals for Children - Spokane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971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1011</v>
      </c>
      <c r="F231" s="293" t="s">
        <v>1012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975</v>
      </c>
      <c r="C232" s="289" t="s">
        <v>1013</v>
      </c>
      <c r="D232" s="289" t="s">
        <v>1014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84173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7.09</v>
      </c>
      <c r="F234" s="294">
        <f>data!BC60</f>
        <v>0</v>
      </c>
      <c r="G234" s="294">
        <f>data!BD60</f>
        <v>0</v>
      </c>
      <c r="H234" s="294">
        <f>data!BE60</f>
        <v>4.6900000000000004</v>
      </c>
      <c r="I234" s="294">
        <f>data!BF60</f>
        <v>8.57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584941</v>
      </c>
      <c r="F235" s="287">
        <f>data!BC61</f>
        <v>0</v>
      </c>
      <c r="G235" s="287">
        <f>data!BD61</f>
        <v>0</v>
      </c>
      <c r="H235" s="287">
        <f>data!BE61</f>
        <v>0</v>
      </c>
      <c r="I235" s="287">
        <f>data!BF61</f>
        <v>393726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283715</v>
      </c>
      <c r="F236" s="287">
        <f>data!BC62</f>
        <v>0</v>
      </c>
      <c r="G236" s="287">
        <f>data!BD62</f>
        <v>0</v>
      </c>
      <c r="H236" s="287">
        <f>data!BE62</f>
        <v>0</v>
      </c>
      <c r="I236" s="287">
        <f>data!BF62</f>
        <v>190970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0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0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0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21313</v>
      </c>
      <c r="D241" s="287">
        <f>data!BA67</f>
        <v>23905</v>
      </c>
      <c r="E241" s="287">
        <f>data!BB67</f>
        <v>27178</v>
      </c>
      <c r="F241" s="287">
        <f>data!BC67</f>
        <v>0</v>
      </c>
      <c r="G241" s="287">
        <f>data!BD67</f>
        <v>3629</v>
      </c>
      <c r="H241" s="287">
        <f>data!BE67</f>
        <v>60547</v>
      </c>
      <c r="I241" s="287">
        <f>data!BF67</f>
        <v>10693</v>
      </c>
    </row>
    <row r="242" spans="1:9" ht="20.149999999999999" customHeight="1" x14ac:dyDescent="0.35">
      <c r="A242" s="279">
        <v>13</v>
      </c>
      <c r="B242" s="287" t="s">
        <v>976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977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0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978</v>
      </c>
      <c r="C245" s="287">
        <f>data!AZ85</f>
        <v>21313</v>
      </c>
      <c r="D245" s="287">
        <f>data!BA85</f>
        <v>23905</v>
      </c>
      <c r="E245" s="287">
        <f>data!BB85</f>
        <v>895834</v>
      </c>
      <c r="F245" s="287">
        <f>data!BC85</f>
        <v>0</v>
      </c>
      <c r="G245" s="287">
        <f>data!BD85</f>
        <v>3629</v>
      </c>
      <c r="H245" s="287">
        <f>data!BE85</f>
        <v>60547</v>
      </c>
      <c r="I245" s="287">
        <f>data!BF85</f>
        <v>595389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979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980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981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982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983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984</v>
      </c>
      <c r="C252" s="303">
        <f>data!AZ90</f>
        <v>1439</v>
      </c>
      <c r="D252" s="303">
        <f>data!BA90</f>
        <v>1614</v>
      </c>
      <c r="E252" s="303">
        <f>data!BB90</f>
        <v>1835</v>
      </c>
      <c r="F252" s="303">
        <f>data!BC90</f>
        <v>0</v>
      </c>
      <c r="G252" s="303">
        <f>data!BD90</f>
        <v>245</v>
      </c>
      <c r="H252" s="303">
        <f>data!BE90</f>
        <v>4088</v>
      </c>
      <c r="I252" s="303">
        <f>data!BF90</f>
        <v>722</v>
      </c>
    </row>
    <row r="253" spans="1:9" ht="20.149999999999999" customHeight="1" x14ac:dyDescent="0.35">
      <c r="A253" s="279">
        <v>23</v>
      </c>
      <c r="B253" s="287" t="s">
        <v>985</v>
      </c>
      <c r="C253" s="303">
        <f>data!AZ91</f>
        <v>14651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986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987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969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1015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Shriners Hospitals for Children - Spokane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971</v>
      </c>
      <c r="C262" s="293" t="s">
        <v>1016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1017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1018</v>
      </c>
    </row>
    <row r="264" spans="1:9" ht="20.149999999999999" customHeight="1" x14ac:dyDescent="0.35">
      <c r="A264" s="279">
        <v>3</v>
      </c>
      <c r="B264" s="287" t="s">
        <v>975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976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977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978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979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980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981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982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983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984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985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986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987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969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1019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Shriners Hospitals for Children - Spokane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971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1020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975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28.01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2.35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0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0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0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0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182870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5421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976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977</v>
      </c>
      <c r="C307" s="287">
        <f>data!BN69</f>
        <v>0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978</v>
      </c>
      <c r="C309" s="287">
        <f>data!BN85</f>
        <v>182870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5421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979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980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981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982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983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984</v>
      </c>
      <c r="C316" s="303">
        <f>data!BN90</f>
        <v>12347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366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985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986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987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969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1021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Shriners Hospitals for Children - Spokane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971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1020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975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2.39</v>
      </c>
      <c r="E330" s="294">
        <f>data!BW60</f>
        <v>0</v>
      </c>
      <c r="F330" s="294">
        <f>data!BX60</f>
        <v>0</v>
      </c>
      <c r="G330" s="294">
        <f>data!BY60</f>
        <v>4.59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0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15714</v>
      </c>
      <c r="E337" s="306">
        <f>data!BW67</f>
        <v>0</v>
      </c>
      <c r="F337" s="306">
        <f>data!BX67</f>
        <v>0</v>
      </c>
      <c r="G337" s="306">
        <f>data!BY67</f>
        <v>18765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976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977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0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978</v>
      </c>
      <c r="C341" s="287">
        <f>data!BU85</f>
        <v>0</v>
      </c>
      <c r="D341" s="287">
        <f>data!BV85</f>
        <v>15714</v>
      </c>
      <c r="E341" s="287">
        <f>data!BW85</f>
        <v>0</v>
      </c>
      <c r="F341" s="287">
        <f>data!BX85</f>
        <v>0</v>
      </c>
      <c r="G341" s="287">
        <f>data!BY85</f>
        <v>18765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979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980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981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982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983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984</v>
      </c>
      <c r="C348" s="303">
        <f>data!BU90</f>
        <v>0</v>
      </c>
      <c r="D348" s="303">
        <f>data!BV90</f>
        <v>1061</v>
      </c>
      <c r="E348" s="303">
        <f>data!BW90</f>
        <v>0</v>
      </c>
      <c r="F348" s="303">
        <f>data!BX90</f>
        <v>0</v>
      </c>
      <c r="G348" s="303">
        <f>data!BY90</f>
        <v>1267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985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986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987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969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1022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Shriners Hospitals for Children - Spokane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971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1023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975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136.6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9331050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4525861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0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0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0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0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86999</v>
      </c>
      <c r="E369" s="311"/>
      <c r="F369" s="311"/>
      <c r="G369" s="311"/>
      <c r="H369" s="311"/>
      <c r="I369" s="306">
        <f>data!CE67</f>
        <v>1246676</v>
      </c>
    </row>
    <row r="370" spans="1:9" ht="20.149999999999999" customHeight="1" x14ac:dyDescent="0.35">
      <c r="A370" s="279">
        <v>13</v>
      </c>
      <c r="B370" s="287" t="s">
        <v>976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0</v>
      </c>
    </row>
    <row r="371" spans="1:9" ht="20.149999999999999" customHeight="1" x14ac:dyDescent="0.35">
      <c r="A371" s="279">
        <v>14</v>
      </c>
      <c r="B371" s="287" t="s">
        <v>977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0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978</v>
      </c>
      <c r="C373" s="306">
        <f>data!CB85</f>
        <v>0</v>
      </c>
      <c r="D373" s="306">
        <f>data!CC85</f>
        <v>86999</v>
      </c>
      <c r="E373" s="306">
        <f>data!CD85</f>
        <v>0</v>
      </c>
      <c r="F373" s="311"/>
      <c r="G373" s="311"/>
      <c r="H373" s="311"/>
      <c r="I373" s="287">
        <f>data!CE85</f>
        <v>15103587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979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980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10707902</v>
      </c>
    </row>
    <row r="377" spans="1:9" ht="20.149999999999999" customHeight="1" x14ac:dyDescent="0.35">
      <c r="A377" s="279">
        <v>20</v>
      </c>
      <c r="B377" s="295" t="s">
        <v>981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28856382</v>
      </c>
    </row>
    <row r="378" spans="1:9" ht="20.149999999999999" customHeight="1" x14ac:dyDescent="0.35">
      <c r="A378" s="279">
        <v>21</v>
      </c>
      <c r="B378" s="295" t="s">
        <v>982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39564284</v>
      </c>
    </row>
    <row r="379" spans="1:9" ht="20.149999999999999" customHeight="1" x14ac:dyDescent="0.35">
      <c r="A379" s="279" t="s">
        <v>983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984</v>
      </c>
      <c r="C380" s="303">
        <f>data!CB90</f>
        <v>0</v>
      </c>
      <c r="D380" s="303">
        <f>data!CC90</f>
        <v>5874</v>
      </c>
      <c r="E380" s="297"/>
      <c r="F380" s="297"/>
      <c r="G380" s="297"/>
      <c r="H380" s="297"/>
      <c r="I380" s="287">
        <f>data!CE90</f>
        <v>84173</v>
      </c>
    </row>
    <row r="381" spans="1:9" ht="20.149999999999999" customHeight="1" x14ac:dyDescent="0.35">
      <c r="A381" s="279">
        <v>23</v>
      </c>
      <c r="B381" s="287" t="s">
        <v>985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18139</v>
      </c>
    </row>
    <row r="382" spans="1:9" ht="20.149999999999999" customHeight="1" x14ac:dyDescent="0.35">
      <c r="A382" s="279">
        <v>24</v>
      </c>
      <c r="B382" s="287" t="s">
        <v>986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17819</v>
      </c>
    </row>
    <row r="383" spans="1:9" ht="20.149999999999999" customHeight="1" x14ac:dyDescent="0.35">
      <c r="A383" s="279">
        <v>25</v>
      </c>
      <c r="B383" s="287" t="s">
        <v>987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50788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43.15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54" transitionEvaluation="1" transitionEntry="1" codeName="Sheet12">
    <tabColor rgb="FF92D050"/>
    <pageSetUpPr autoPageBreaks="0" fitToPage="1"/>
  </sheetPr>
  <dimension ref="A1:CF717"/>
  <sheetViews>
    <sheetView topLeftCell="A54" zoomScale="85" zoomScaleNormal="85" workbookViewId="0">
      <selection activeCell="E93" sqref="E9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1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35">
      <c r="A38" s="335" t="s">
        <v>1341</v>
      </c>
      <c r="B38" s="336"/>
      <c r="C38" s="334"/>
      <c r="D38" s="333"/>
      <c r="E38" s="333"/>
      <c r="F38" s="333"/>
      <c r="G38" s="333"/>
    </row>
    <row r="39" spans="1:83" x14ac:dyDescent="0.35">
      <c r="A39" s="337" t="s">
        <v>1339</v>
      </c>
      <c r="B39" s="336"/>
      <c r="C39" s="334"/>
      <c r="D39" s="333"/>
      <c r="E39" s="333"/>
      <c r="F39" s="333"/>
      <c r="G39" s="333"/>
    </row>
    <row r="40" spans="1:83" x14ac:dyDescent="0.35">
      <c r="A40" s="338" t="s">
        <v>1342</v>
      </c>
      <c r="B40" s="333"/>
      <c r="C40" s="334"/>
      <c r="D40" s="333"/>
      <c r="E40" s="333"/>
      <c r="F40" s="333"/>
      <c r="G40" s="333"/>
    </row>
    <row r="41" spans="1:83" x14ac:dyDescent="0.35">
      <c r="A41" s="337" t="s">
        <v>1340</v>
      </c>
      <c r="B41" s="333"/>
      <c r="C41" s="334"/>
      <c r="D41" s="333"/>
      <c r="E41" s="333"/>
      <c r="F41" s="333"/>
      <c r="G41" s="33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4458010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495932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647875</v>
      </c>
      <c r="Q49" s="270">
        <f t="shared" si="0"/>
        <v>50443</v>
      </c>
      <c r="R49" s="270">
        <f t="shared" si="0"/>
        <v>545430</v>
      </c>
      <c r="S49" s="270">
        <f t="shared" si="0"/>
        <v>29679</v>
      </c>
      <c r="T49" s="270">
        <f t="shared" si="0"/>
        <v>0</v>
      </c>
      <c r="U49" s="270">
        <f t="shared" si="0"/>
        <v>29137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99671</v>
      </c>
      <c r="Z49" s="270">
        <f t="shared" si="0"/>
        <v>0</v>
      </c>
      <c r="AA49" s="270">
        <f t="shared" si="0"/>
        <v>0</v>
      </c>
      <c r="AB49" s="270">
        <f t="shared" si="0"/>
        <v>74876</v>
      </c>
      <c r="AC49" s="270">
        <f t="shared" si="0"/>
        <v>104095</v>
      </c>
      <c r="AD49" s="270">
        <f t="shared" si="0"/>
        <v>0</v>
      </c>
      <c r="AE49" s="270">
        <f t="shared" si="0"/>
        <v>174274</v>
      </c>
      <c r="AF49" s="270">
        <f t="shared" si="0"/>
        <v>0</v>
      </c>
      <c r="AG49" s="270">
        <f t="shared" si="0"/>
        <v>0</v>
      </c>
      <c r="AH49" s="270">
        <f t="shared" si="0"/>
        <v>0</v>
      </c>
      <c r="AI49" s="270">
        <f t="shared" si="0"/>
        <v>0</v>
      </c>
      <c r="AJ49" s="270">
        <f t="shared" si="0"/>
        <v>0</v>
      </c>
      <c r="AK49" s="270">
        <f t="shared" si="0"/>
        <v>212310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244684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73589</v>
      </c>
      <c r="AZ49" s="270">
        <f t="shared" si="0"/>
        <v>0</v>
      </c>
      <c r="BA49" s="270">
        <f t="shared" si="0"/>
        <v>0</v>
      </c>
      <c r="BB49" s="270">
        <f t="shared" si="0"/>
        <v>175630</v>
      </c>
      <c r="BC49" s="270">
        <f t="shared" si="0"/>
        <v>0</v>
      </c>
      <c r="BD49" s="270">
        <f t="shared" si="0"/>
        <v>0</v>
      </c>
      <c r="BE49" s="270">
        <f t="shared" si="0"/>
        <v>123247</v>
      </c>
      <c r="BF49" s="270">
        <f t="shared" si="0"/>
        <v>109457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759946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52183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49921</v>
      </c>
      <c r="BW49" s="270">
        <f t="shared" si="1"/>
        <v>0</v>
      </c>
      <c r="BX49" s="270">
        <f t="shared" si="1"/>
        <v>0</v>
      </c>
      <c r="BY49" s="270">
        <f t="shared" si="1"/>
        <v>192285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213346</v>
      </c>
      <c r="CD49" s="270">
        <f t="shared" si="1"/>
        <v>0</v>
      </c>
      <c r="CE49" s="32">
        <f>SUM(C49:CD49)</f>
        <v>4458010</v>
      </c>
    </row>
    <row r="50" spans="1:83" x14ac:dyDescent="0.35">
      <c r="A50" s="20" t="s">
        <v>218</v>
      </c>
      <c r="B50" s="270">
        <f>B48+B49</f>
        <v>4458010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1307456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238185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58698</v>
      </c>
      <c r="Q53" s="270">
        <f t="shared" si="2"/>
        <v>20707</v>
      </c>
      <c r="R53" s="270">
        <f t="shared" si="2"/>
        <v>7769</v>
      </c>
      <c r="S53" s="270">
        <f t="shared" si="2"/>
        <v>0</v>
      </c>
      <c r="T53" s="270">
        <f t="shared" si="2"/>
        <v>0</v>
      </c>
      <c r="U53" s="270">
        <f t="shared" si="2"/>
        <v>6770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44938</v>
      </c>
      <c r="Z53" s="270">
        <f t="shared" si="2"/>
        <v>0</v>
      </c>
      <c r="AA53" s="270">
        <f t="shared" si="2"/>
        <v>0</v>
      </c>
      <c r="AB53" s="270">
        <f t="shared" si="2"/>
        <v>4406</v>
      </c>
      <c r="AC53" s="270">
        <f t="shared" si="2"/>
        <v>1513</v>
      </c>
      <c r="AD53" s="270">
        <f t="shared" si="2"/>
        <v>0</v>
      </c>
      <c r="AE53" s="270">
        <f t="shared" si="2"/>
        <v>93018</v>
      </c>
      <c r="AF53" s="270">
        <f t="shared" si="2"/>
        <v>0</v>
      </c>
      <c r="AG53" s="270">
        <f t="shared" si="2"/>
        <v>0</v>
      </c>
      <c r="AH53" s="270">
        <f t="shared" si="2"/>
        <v>0</v>
      </c>
      <c r="AI53" s="270">
        <f t="shared" si="2"/>
        <v>0</v>
      </c>
      <c r="AJ53" s="270">
        <f t="shared" si="2"/>
        <v>132978</v>
      </c>
      <c r="AK53" s="270">
        <f t="shared" si="2"/>
        <v>106030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67715</v>
      </c>
      <c r="AZ53" s="270">
        <f t="shared" si="2"/>
        <v>21133</v>
      </c>
      <c r="BA53" s="270">
        <f t="shared" si="2"/>
        <v>23703</v>
      </c>
      <c r="BB53" s="270">
        <f t="shared" si="2"/>
        <v>26948</v>
      </c>
      <c r="BC53" s="270">
        <f t="shared" si="2"/>
        <v>0</v>
      </c>
      <c r="BD53" s="270">
        <f t="shared" si="2"/>
        <v>3598</v>
      </c>
      <c r="BE53" s="270">
        <f t="shared" si="2"/>
        <v>123241</v>
      </c>
      <c r="BF53" s="270">
        <f t="shared" si="2"/>
        <v>10603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196229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6080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15581</v>
      </c>
      <c r="BW53" s="270">
        <f t="shared" si="3"/>
        <v>0</v>
      </c>
      <c r="BX53" s="270">
        <f t="shared" si="3"/>
        <v>0</v>
      </c>
      <c r="BY53" s="270">
        <f t="shared" si="3"/>
        <v>19370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78245</v>
      </c>
      <c r="CD53" s="270">
        <f t="shared" si="3"/>
        <v>0</v>
      </c>
      <c r="CE53" s="32">
        <f>SUM(C53:CD53)</f>
        <v>1307458</v>
      </c>
    </row>
    <row r="54" spans="1:83" x14ac:dyDescent="0.35">
      <c r="A54" s="20" t="s">
        <v>218</v>
      </c>
      <c r="B54" s="270">
        <f>B52+B53</f>
        <v>1307456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1112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16320</v>
      </c>
      <c r="AZ60" s="214"/>
      <c r="BA60" s="263"/>
      <c r="BB60" s="263"/>
      <c r="BC60" s="263"/>
      <c r="BD60" s="263"/>
      <c r="BE60" s="214">
        <v>89030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>
        <v>17.87</v>
      </c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>
        <v>9.91</v>
      </c>
      <c r="Q61" s="244">
        <v>1.81</v>
      </c>
      <c r="R61" s="244">
        <v>5.01</v>
      </c>
      <c r="S61" s="245">
        <v>2.0499999999999998</v>
      </c>
      <c r="T61" s="245"/>
      <c r="U61" s="246">
        <v>1.49</v>
      </c>
      <c r="V61" s="244"/>
      <c r="W61" s="244"/>
      <c r="X61" s="244"/>
      <c r="Y61" s="244">
        <v>4.83</v>
      </c>
      <c r="Z61" s="244"/>
      <c r="AA61" s="244"/>
      <c r="AB61" s="245">
        <v>1.7</v>
      </c>
      <c r="AC61" s="244">
        <v>4.37</v>
      </c>
      <c r="AD61" s="244"/>
      <c r="AE61" s="244">
        <v>7.24</v>
      </c>
      <c r="AF61" s="244"/>
      <c r="AG61" s="244"/>
      <c r="AH61" s="244"/>
      <c r="AI61" s="244"/>
      <c r="AJ61" s="244"/>
      <c r="AK61" s="244">
        <v>8.65</v>
      </c>
      <c r="AL61" s="244"/>
      <c r="AM61" s="244"/>
      <c r="AN61" s="244"/>
      <c r="AO61" s="244"/>
      <c r="AP61" s="244"/>
      <c r="AQ61" s="244"/>
      <c r="AR61" s="244"/>
      <c r="AS61" s="244"/>
      <c r="AT61" s="244"/>
      <c r="AU61" s="244">
        <v>10.69</v>
      </c>
      <c r="AV61" s="245"/>
      <c r="AW61" s="245"/>
      <c r="AX61" s="245"/>
      <c r="AY61" s="244">
        <v>5.23</v>
      </c>
      <c r="AZ61" s="244"/>
      <c r="BA61" s="245"/>
      <c r="BB61" s="245">
        <v>7.74</v>
      </c>
      <c r="BC61" s="245"/>
      <c r="BD61" s="245"/>
      <c r="BE61" s="244">
        <v>5.18</v>
      </c>
      <c r="BF61" s="245">
        <v>8.8800000000000008</v>
      </c>
      <c r="BG61" s="245"/>
      <c r="BH61" s="245"/>
      <c r="BI61" s="245"/>
      <c r="BJ61" s="245"/>
      <c r="BK61" s="245"/>
      <c r="BL61" s="245"/>
      <c r="BM61" s="245"/>
      <c r="BN61" s="245">
        <v>29.75</v>
      </c>
      <c r="BO61" s="245"/>
      <c r="BP61" s="245"/>
      <c r="BQ61" s="245"/>
      <c r="BR61" s="245">
        <v>2.21</v>
      </c>
      <c r="BS61" s="245"/>
      <c r="BT61" s="245"/>
      <c r="BU61" s="245"/>
      <c r="BV61" s="245">
        <v>2.5</v>
      </c>
      <c r="BW61" s="245"/>
      <c r="BX61" s="245"/>
      <c r="BY61" s="245">
        <v>4.9000000000000004</v>
      </c>
      <c r="BZ61" s="245"/>
      <c r="CA61" s="245"/>
      <c r="CB61" s="245"/>
      <c r="CC61" s="245">
        <v>8.8099999999999987</v>
      </c>
      <c r="CD61" s="247" t="s">
        <v>233</v>
      </c>
      <c r="CE61" s="268">
        <f t="shared" ref="CE61:CE69" si="4">SUM(C61:CD61)</f>
        <v>150.82000000000002</v>
      </c>
    </row>
    <row r="62" spans="1:83" x14ac:dyDescent="0.35">
      <c r="A62" s="39" t="s">
        <v>248</v>
      </c>
      <c r="B62" s="20"/>
      <c r="C62" s="213"/>
      <c r="D62" s="213"/>
      <c r="E62" s="213">
        <v>1781102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>
        <v>2326795</v>
      </c>
      <c r="Q62" s="214">
        <v>181163</v>
      </c>
      <c r="R62" s="214">
        <v>1958871</v>
      </c>
      <c r="S62" s="228">
        <v>106590</v>
      </c>
      <c r="T62" s="228"/>
      <c r="U62" s="227">
        <v>104644</v>
      </c>
      <c r="V62" s="214"/>
      <c r="W62" s="214"/>
      <c r="X62" s="214"/>
      <c r="Y62" s="214">
        <v>357962</v>
      </c>
      <c r="Z62" s="214"/>
      <c r="AA62" s="214"/>
      <c r="AB62" s="240">
        <v>268911</v>
      </c>
      <c r="AC62" s="214">
        <v>373848</v>
      </c>
      <c r="AD62" s="214"/>
      <c r="AE62" s="214">
        <v>625891</v>
      </c>
      <c r="AF62" s="214"/>
      <c r="AG62" s="214"/>
      <c r="AH62" s="214"/>
      <c r="AI62" s="214"/>
      <c r="AJ62" s="214"/>
      <c r="AK62" s="214">
        <v>762497</v>
      </c>
      <c r="AL62" s="214"/>
      <c r="AM62" s="214"/>
      <c r="AN62" s="214"/>
      <c r="AO62" s="214"/>
      <c r="AP62" s="214"/>
      <c r="AQ62" s="214"/>
      <c r="AR62" s="214"/>
      <c r="AS62" s="214"/>
      <c r="AT62" s="214"/>
      <c r="AU62" s="214">
        <v>878764</v>
      </c>
      <c r="AV62" s="228"/>
      <c r="AW62" s="228"/>
      <c r="AX62" s="228"/>
      <c r="AY62" s="214">
        <v>264291</v>
      </c>
      <c r="AZ62" s="214"/>
      <c r="BA62" s="228"/>
      <c r="BB62" s="228">
        <v>630762</v>
      </c>
      <c r="BC62" s="228"/>
      <c r="BD62" s="228"/>
      <c r="BE62" s="214">
        <v>442634</v>
      </c>
      <c r="BF62" s="228">
        <v>393105</v>
      </c>
      <c r="BG62" s="228"/>
      <c r="BH62" s="228"/>
      <c r="BI62" s="228"/>
      <c r="BJ62" s="228"/>
      <c r="BK62" s="228"/>
      <c r="BL62" s="228"/>
      <c r="BM62" s="228"/>
      <c r="BN62" s="228">
        <v>2729289</v>
      </c>
      <c r="BO62" s="228"/>
      <c r="BP62" s="228"/>
      <c r="BQ62" s="228"/>
      <c r="BR62" s="228">
        <v>187411</v>
      </c>
      <c r="BS62" s="228"/>
      <c r="BT62" s="228"/>
      <c r="BU62" s="228"/>
      <c r="BV62" s="228">
        <v>179288</v>
      </c>
      <c r="BW62" s="228"/>
      <c r="BX62" s="228"/>
      <c r="BY62" s="228">
        <v>690577</v>
      </c>
      <c r="BZ62" s="228"/>
      <c r="CA62" s="228"/>
      <c r="CB62" s="228"/>
      <c r="CC62" s="228">
        <v>766217</v>
      </c>
      <c r="CD62" s="29" t="s">
        <v>233</v>
      </c>
      <c r="CE62" s="32">
        <f t="shared" si="4"/>
        <v>16010612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495932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647875</v>
      </c>
      <c r="Q63" s="269">
        <f t="shared" si="5"/>
        <v>50443</v>
      </c>
      <c r="R63" s="269">
        <f t="shared" si="5"/>
        <v>545430</v>
      </c>
      <c r="S63" s="269">
        <f t="shared" si="5"/>
        <v>29679</v>
      </c>
      <c r="T63" s="269">
        <f t="shared" si="5"/>
        <v>0</v>
      </c>
      <c r="U63" s="269">
        <f t="shared" si="5"/>
        <v>29137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99671</v>
      </c>
      <c r="Z63" s="269">
        <f t="shared" si="5"/>
        <v>0</v>
      </c>
      <c r="AA63" s="269">
        <f t="shared" si="5"/>
        <v>0</v>
      </c>
      <c r="AB63" s="269">
        <f t="shared" si="5"/>
        <v>74876</v>
      </c>
      <c r="AC63" s="269">
        <f t="shared" si="5"/>
        <v>104095</v>
      </c>
      <c r="AD63" s="269">
        <f t="shared" si="5"/>
        <v>0</v>
      </c>
      <c r="AE63" s="269">
        <f t="shared" si="5"/>
        <v>174274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212310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244684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73589</v>
      </c>
      <c r="AZ63" s="269">
        <f t="shared" si="5"/>
        <v>0</v>
      </c>
      <c r="BA63" s="269">
        <f t="shared" si="5"/>
        <v>0</v>
      </c>
      <c r="BB63" s="269">
        <f t="shared" si="5"/>
        <v>175630</v>
      </c>
      <c r="BC63" s="269">
        <f t="shared" si="5"/>
        <v>0</v>
      </c>
      <c r="BD63" s="269">
        <f t="shared" si="5"/>
        <v>0</v>
      </c>
      <c r="BE63" s="269">
        <f t="shared" si="5"/>
        <v>123247</v>
      </c>
      <c r="BF63" s="269">
        <f t="shared" si="5"/>
        <v>109457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759946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52183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49921</v>
      </c>
      <c r="BW63" s="269">
        <f t="shared" si="6"/>
        <v>0</v>
      </c>
      <c r="BX63" s="269">
        <f t="shared" si="6"/>
        <v>0</v>
      </c>
      <c r="BY63" s="269">
        <f t="shared" si="6"/>
        <v>192285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213346</v>
      </c>
      <c r="CD63" s="29" t="s">
        <v>233</v>
      </c>
      <c r="CE63" s="32">
        <f t="shared" si="4"/>
        <v>4458010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0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233</v>
      </c>
      <c r="CE65" s="32">
        <f t="shared" si="4"/>
        <v>0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0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0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238185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58698</v>
      </c>
      <c r="Q68" s="32">
        <f t="shared" si="7"/>
        <v>20707</v>
      </c>
      <c r="R68" s="32">
        <f t="shared" si="7"/>
        <v>7769</v>
      </c>
      <c r="S68" s="32">
        <f t="shared" si="7"/>
        <v>0</v>
      </c>
      <c r="T68" s="32">
        <f t="shared" si="7"/>
        <v>0</v>
      </c>
      <c r="U68" s="32">
        <f t="shared" si="7"/>
        <v>6770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44938</v>
      </c>
      <c r="Z68" s="32">
        <f t="shared" si="7"/>
        <v>0</v>
      </c>
      <c r="AA68" s="32">
        <f t="shared" si="7"/>
        <v>0</v>
      </c>
      <c r="AB68" s="32">
        <f t="shared" si="7"/>
        <v>4406</v>
      </c>
      <c r="AC68" s="32">
        <f t="shared" si="7"/>
        <v>1513</v>
      </c>
      <c r="AD68" s="32">
        <f t="shared" si="7"/>
        <v>0</v>
      </c>
      <c r="AE68" s="32">
        <f t="shared" si="7"/>
        <v>93018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132978</v>
      </c>
      <c r="AK68" s="32">
        <f t="shared" si="7"/>
        <v>106030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67715</v>
      </c>
      <c r="AZ68" s="32">
        <f t="shared" si="7"/>
        <v>21133</v>
      </c>
      <c r="BA68" s="32">
        <f t="shared" si="7"/>
        <v>23703</v>
      </c>
      <c r="BB68" s="32">
        <f t="shared" si="7"/>
        <v>26948</v>
      </c>
      <c r="BC68" s="32">
        <f t="shared" si="7"/>
        <v>0</v>
      </c>
      <c r="BD68" s="32">
        <f t="shared" si="7"/>
        <v>3598</v>
      </c>
      <c r="BE68" s="32">
        <f t="shared" si="7"/>
        <v>123241</v>
      </c>
      <c r="BF68" s="32">
        <f t="shared" si="7"/>
        <v>10603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196229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6080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15581</v>
      </c>
      <c r="BW68" s="32">
        <f t="shared" si="8"/>
        <v>0</v>
      </c>
      <c r="BX68" s="32">
        <f t="shared" si="8"/>
        <v>0</v>
      </c>
      <c r="BY68" s="32">
        <f t="shared" si="8"/>
        <v>19370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78245</v>
      </c>
      <c r="CD68" s="29" t="s">
        <v>233</v>
      </c>
      <c r="CE68" s="32">
        <f t="shared" si="4"/>
        <v>1307458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0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2515219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3033368</v>
      </c>
      <c r="Q86" s="32">
        <f t="shared" si="12"/>
        <v>252313</v>
      </c>
      <c r="R86" s="32">
        <f t="shared" si="12"/>
        <v>2512070</v>
      </c>
      <c r="S86" s="32">
        <f t="shared" si="12"/>
        <v>136269</v>
      </c>
      <c r="T86" s="32">
        <f t="shared" si="12"/>
        <v>0</v>
      </c>
      <c r="U86" s="32">
        <f t="shared" si="12"/>
        <v>140551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502571</v>
      </c>
      <c r="Z86" s="32">
        <f t="shared" si="12"/>
        <v>0</v>
      </c>
      <c r="AA86" s="32">
        <f t="shared" si="12"/>
        <v>0</v>
      </c>
      <c r="AB86" s="32">
        <f t="shared" si="12"/>
        <v>348193</v>
      </c>
      <c r="AC86" s="32">
        <f t="shared" si="12"/>
        <v>479456</v>
      </c>
      <c r="AD86" s="32">
        <f t="shared" si="12"/>
        <v>0</v>
      </c>
      <c r="AE86" s="32">
        <f t="shared" si="12"/>
        <v>893183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132978</v>
      </c>
      <c r="AK86" s="32">
        <f t="shared" si="12"/>
        <v>1080837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1123448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405595</v>
      </c>
      <c r="AZ86" s="32">
        <f t="shared" si="12"/>
        <v>21133</v>
      </c>
      <c r="BA86" s="32">
        <f t="shared" si="12"/>
        <v>23703</v>
      </c>
      <c r="BB86" s="32">
        <f t="shared" si="12"/>
        <v>833340</v>
      </c>
      <c r="BC86" s="32">
        <f t="shared" si="12"/>
        <v>0</v>
      </c>
      <c r="BD86" s="32">
        <f t="shared" si="12"/>
        <v>3598</v>
      </c>
      <c r="BE86" s="32">
        <f t="shared" si="12"/>
        <v>689122</v>
      </c>
      <c r="BF86" s="32">
        <f t="shared" si="12"/>
        <v>513165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3685464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245674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244790</v>
      </c>
      <c r="BW86" s="32">
        <f t="shared" si="13"/>
        <v>0</v>
      </c>
      <c r="BX86" s="32">
        <f t="shared" si="13"/>
        <v>0</v>
      </c>
      <c r="BY86" s="32">
        <f t="shared" si="13"/>
        <v>902232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1057808</v>
      </c>
      <c r="CD86" s="32">
        <f t="shared" si="13"/>
        <v>0</v>
      </c>
      <c r="CE86" s="32">
        <f t="shared" si="11"/>
        <v>21776080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>
        <v>2742579</v>
      </c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>
        <v>3320739</v>
      </c>
      <c r="Q88" s="213">
        <v>242388</v>
      </c>
      <c r="R88" s="213">
        <v>1020486</v>
      </c>
      <c r="S88" s="213">
        <v>4018878</v>
      </c>
      <c r="T88" s="213"/>
      <c r="U88" s="213">
        <v>57049</v>
      </c>
      <c r="V88" s="213"/>
      <c r="W88" s="213"/>
      <c r="X88" s="213"/>
      <c r="Y88" s="213">
        <v>190398</v>
      </c>
      <c r="Z88" s="213"/>
      <c r="AA88" s="213"/>
      <c r="AB88" s="213">
        <v>970395</v>
      </c>
      <c r="AC88" s="213">
        <v>214995</v>
      </c>
      <c r="AD88" s="213"/>
      <c r="AE88" s="213">
        <v>112701</v>
      </c>
      <c r="AF88" s="213"/>
      <c r="AG88" s="213"/>
      <c r="AH88" s="213"/>
      <c r="AI88" s="213"/>
      <c r="AJ88" s="213"/>
      <c r="AK88" s="213">
        <v>391</v>
      </c>
      <c r="AL88" s="213"/>
      <c r="AM88" s="213"/>
      <c r="AN88" s="213"/>
      <c r="AO88" s="213"/>
      <c r="AP88" s="213"/>
      <c r="AQ88" s="213"/>
      <c r="AR88" s="213"/>
      <c r="AS88" s="213"/>
      <c r="AT88" s="213"/>
      <c r="AU88" s="213">
        <v>10472</v>
      </c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12901471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>
        <v>8178289</v>
      </c>
      <c r="Q89" s="213">
        <v>878497</v>
      </c>
      <c r="R89" s="213">
        <v>3066481</v>
      </c>
      <c r="S89" s="213">
        <v>1021488</v>
      </c>
      <c r="T89" s="213"/>
      <c r="U89" s="213">
        <v>145991</v>
      </c>
      <c r="V89" s="213"/>
      <c r="W89" s="213"/>
      <c r="X89" s="213"/>
      <c r="Y89" s="213">
        <v>3832756</v>
      </c>
      <c r="Z89" s="213"/>
      <c r="AA89" s="213"/>
      <c r="AB89" s="213">
        <v>1075618</v>
      </c>
      <c r="AC89" s="213">
        <v>121676</v>
      </c>
      <c r="AD89" s="213"/>
      <c r="AE89" s="213">
        <v>2116368</v>
      </c>
      <c r="AF89" s="213"/>
      <c r="AG89" s="213"/>
      <c r="AH89" s="213"/>
      <c r="AI89" s="213"/>
      <c r="AJ89" s="213"/>
      <c r="AK89" s="213">
        <v>302727</v>
      </c>
      <c r="AL89" s="213"/>
      <c r="AM89" s="213"/>
      <c r="AN89" s="213"/>
      <c r="AO89" s="213"/>
      <c r="AP89" s="213"/>
      <c r="AQ89" s="213"/>
      <c r="AR89" s="213"/>
      <c r="AS89" s="213"/>
      <c r="AT89" s="213"/>
      <c r="AU89" s="213">
        <v>4587605</v>
      </c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25327496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2742579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11499028</v>
      </c>
      <c r="Q90" s="32">
        <f t="shared" si="15"/>
        <v>1120885</v>
      </c>
      <c r="R90" s="32">
        <f t="shared" si="15"/>
        <v>4086967</v>
      </c>
      <c r="S90" s="32">
        <f t="shared" si="15"/>
        <v>5040366</v>
      </c>
      <c r="T90" s="32">
        <f t="shared" si="15"/>
        <v>0</v>
      </c>
      <c r="U90" s="32">
        <f t="shared" si="15"/>
        <v>203040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4023154</v>
      </c>
      <c r="Z90" s="32">
        <f t="shared" si="15"/>
        <v>0</v>
      </c>
      <c r="AA90" s="32">
        <f t="shared" si="15"/>
        <v>0</v>
      </c>
      <c r="AB90" s="32">
        <f t="shared" si="15"/>
        <v>2046013</v>
      </c>
      <c r="AC90" s="32">
        <f t="shared" si="15"/>
        <v>336671</v>
      </c>
      <c r="AD90" s="32">
        <f t="shared" si="15"/>
        <v>0</v>
      </c>
      <c r="AE90" s="32">
        <f t="shared" si="15"/>
        <v>2229069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303118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4598077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38228967</v>
      </c>
    </row>
    <row r="91" spans="1:84" x14ac:dyDescent="0.35">
      <c r="A91" s="39" t="s">
        <v>275</v>
      </c>
      <c r="B91" s="32"/>
      <c r="C91" s="213"/>
      <c r="D91" s="213"/>
      <c r="E91" s="213">
        <v>16219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>
        <v>3997</v>
      </c>
      <c r="Q91" s="213">
        <v>1410</v>
      </c>
      <c r="R91" s="213">
        <v>529</v>
      </c>
      <c r="S91" s="213"/>
      <c r="T91" s="213"/>
      <c r="U91" s="213">
        <v>461</v>
      </c>
      <c r="V91" s="213"/>
      <c r="W91" s="213"/>
      <c r="X91" s="213"/>
      <c r="Y91" s="213">
        <v>3060</v>
      </c>
      <c r="Z91" s="213"/>
      <c r="AA91" s="213"/>
      <c r="AB91" s="213">
        <v>300</v>
      </c>
      <c r="AC91" s="213">
        <v>103</v>
      </c>
      <c r="AD91" s="213"/>
      <c r="AE91" s="213">
        <v>6334</v>
      </c>
      <c r="AF91" s="213"/>
      <c r="AG91" s="213"/>
      <c r="AH91" s="213"/>
      <c r="AI91" s="213"/>
      <c r="AJ91" s="213">
        <v>9055</v>
      </c>
      <c r="AK91" s="213">
        <v>7220</v>
      </c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4611</v>
      </c>
      <c r="AZ91" s="213">
        <v>1439</v>
      </c>
      <c r="BA91" s="213">
        <v>1614</v>
      </c>
      <c r="BB91" s="213">
        <v>1835</v>
      </c>
      <c r="BC91" s="213"/>
      <c r="BD91" s="213">
        <v>245</v>
      </c>
      <c r="BE91" s="213">
        <v>8392</v>
      </c>
      <c r="BF91" s="213">
        <v>722</v>
      </c>
      <c r="BG91" s="213"/>
      <c r="BH91" s="213"/>
      <c r="BI91" s="213"/>
      <c r="BJ91" s="213"/>
      <c r="BK91" s="213"/>
      <c r="BL91" s="213"/>
      <c r="BM91" s="213"/>
      <c r="BN91" s="213">
        <v>13362</v>
      </c>
      <c r="BO91" s="213"/>
      <c r="BP91" s="213"/>
      <c r="BQ91" s="213"/>
      <c r="BR91" s="213">
        <v>414</v>
      </c>
      <c r="BS91" s="213"/>
      <c r="BT91" s="213"/>
      <c r="BU91" s="213"/>
      <c r="BV91" s="213">
        <v>1061</v>
      </c>
      <c r="BW91" s="213"/>
      <c r="BX91" s="213"/>
      <c r="BY91" s="213">
        <v>1319</v>
      </c>
      <c r="BZ91" s="213"/>
      <c r="CA91" s="213"/>
      <c r="CB91" s="213"/>
      <c r="CC91" s="213">
        <v>5328</v>
      </c>
      <c r="CD91" s="233" t="s">
        <v>233</v>
      </c>
      <c r="CE91" s="32">
        <f t="shared" si="14"/>
        <v>89030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4011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>
        <v>12309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16320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>
        <v>18466.05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18466.05</v>
      </c>
      <c r="CF93" s="20"/>
    </row>
    <row r="94" spans="1:84" x14ac:dyDescent="0.35">
      <c r="A94" s="26" t="s">
        <v>278</v>
      </c>
      <c r="B94" s="20"/>
      <c r="C94" s="213"/>
      <c r="D94" s="213"/>
      <c r="E94" s="213">
        <v>27881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>
        <v>19340</v>
      </c>
      <c r="Q94" s="213"/>
      <c r="R94" s="213"/>
      <c r="S94" s="213"/>
      <c r="T94" s="213"/>
      <c r="U94" s="213"/>
      <c r="V94" s="213"/>
      <c r="W94" s="213"/>
      <c r="X94" s="213"/>
      <c r="Y94" s="213">
        <v>1085</v>
      </c>
      <c r="Z94" s="213"/>
      <c r="AA94" s="213"/>
      <c r="AB94" s="213"/>
      <c r="AC94" s="213"/>
      <c r="AD94" s="213"/>
      <c r="AE94" s="213">
        <v>1417</v>
      </c>
      <c r="AF94" s="213"/>
      <c r="AG94" s="213"/>
      <c r="AH94" s="213"/>
      <c r="AI94" s="213"/>
      <c r="AJ94" s="213">
        <v>4716</v>
      </c>
      <c r="AK94" s="213">
        <v>525</v>
      </c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54964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>
        <v>17.87</v>
      </c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>
        <v>9.91</v>
      </c>
      <c r="Q95" s="244">
        <v>1.81</v>
      </c>
      <c r="R95" s="244">
        <v>5.01</v>
      </c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>
        <v>10.69</v>
      </c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45.29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342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99204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1366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1370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0" t="s">
        <v>1371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0" t="s">
        <v>1372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/>
      <c r="D128" s="220"/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0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0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30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0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0</v>
      </c>
      <c r="D140" s="20"/>
      <c r="E140" s="20"/>
    </row>
    <row r="141" spans="1:5" x14ac:dyDescent="0.35">
      <c r="A141" s="20" t="s">
        <v>322</v>
      </c>
      <c r="B141" s="46"/>
      <c r="C141" s="216">
        <v>0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0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0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30</v>
      </c>
    </row>
    <row r="145" spans="1:6" x14ac:dyDescent="0.35">
      <c r="A145" s="20" t="s">
        <v>325</v>
      </c>
      <c r="B145" s="46" t="s">
        <v>284</v>
      </c>
      <c r="C145" s="47">
        <v>30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0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0</v>
      </c>
      <c r="C155" s="50">
        <v>92</v>
      </c>
      <c r="D155" s="50">
        <v>90</v>
      </c>
      <c r="E155" s="32">
        <f>SUM(B155:D155)</f>
        <v>182</v>
      </c>
    </row>
    <row r="156" spans="1:6" x14ac:dyDescent="0.35">
      <c r="A156" s="20" t="s">
        <v>227</v>
      </c>
      <c r="B156" s="50">
        <v>0</v>
      </c>
      <c r="C156" s="50">
        <v>709</v>
      </c>
      <c r="D156" s="50">
        <v>264</v>
      </c>
      <c r="E156" s="32">
        <f>SUM(B156:D156)</f>
        <v>973</v>
      </c>
    </row>
    <row r="157" spans="1:6" x14ac:dyDescent="0.35">
      <c r="A157" s="20" t="s">
        <v>332</v>
      </c>
      <c r="B157" s="50">
        <v>0</v>
      </c>
      <c r="C157" s="50">
        <v>8734</v>
      </c>
      <c r="D157" s="50">
        <v>10063</v>
      </c>
      <c r="E157" s="32">
        <f>SUM(B157:D157)</f>
        <v>18797</v>
      </c>
    </row>
    <row r="158" spans="1:6" x14ac:dyDescent="0.35">
      <c r="A158" s="20" t="s">
        <v>272</v>
      </c>
      <c r="B158" s="50">
        <v>0</v>
      </c>
      <c r="C158" s="50">
        <v>8333872</v>
      </c>
      <c r="D158" s="50">
        <v>6902031</v>
      </c>
      <c r="E158" s="32">
        <f>SUM(B158:D158)</f>
        <v>15235903</v>
      </c>
      <c r="F158" s="18"/>
    </row>
    <row r="159" spans="1:6" x14ac:dyDescent="0.35">
      <c r="A159" s="20" t="s">
        <v>273</v>
      </c>
      <c r="B159" s="50">
        <v>0</v>
      </c>
      <c r="C159" s="50">
        <v>14939516</v>
      </c>
      <c r="D159" s="50">
        <v>17898104</v>
      </c>
      <c r="E159" s="32">
        <f>SUM(B159:D159)</f>
        <v>32837620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9906323</v>
      </c>
      <c r="C174" s="50">
        <v>6901722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718899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24307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143948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2107295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109140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1281451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72970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0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4458010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75851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12292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88143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321607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321607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36069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109568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>
        <v>0</v>
      </c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145637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2862934</v>
      </c>
      <c r="C212" s="216"/>
      <c r="D212" s="220"/>
      <c r="E212" s="32">
        <f t="shared" ref="E212:E220" si="16">SUM(B212:C212)-D212</f>
        <v>2862934</v>
      </c>
    </row>
    <row r="213" spans="1:5" x14ac:dyDescent="0.35">
      <c r="A213" s="20" t="s">
        <v>367</v>
      </c>
      <c r="B213" s="220">
        <v>206831</v>
      </c>
      <c r="C213" s="216"/>
      <c r="D213" s="220"/>
      <c r="E213" s="32">
        <f t="shared" si="16"/>
        <v>206831</v>
      </c>
    </row>
    <row r="214" spans="1:5" x14ac:dyDescent="0.35">
      <c r="A214" s="20" t="s">
        <v>368</v>
      </c>
      <c r="B214" s="220">
        <v>21361650</v>
      </c>
      <c r="C214" s="216"/>
      <c r="D214" s="220"/>
      <c r="E214" s="32">
        <f t="shared" si="16"/>
        <v>21361650</v>
      </c>
    </row>
    <row r="215" spans="1:5" x14ac:dyDescent="0.35">
      <c r="A215" s="20" t="s">
        <v>369</v>
      </c>
      <c r="B215" s="220">
        <v>2511049</v>
      </c>
      <c r="C215" s="216"/>
      <c r="D215" s="220"/>
      <c r="E215" s="32">
        <f t="shared" si="16"/>
        <v>2511049</v>
      </c>
    </row>
    <row r="216" spans="1:5" x14ac:dyDescent="0.35">
      <c r="A216" s="20" t="s">
        <v>370</v>
      </c>
      <c r="B216" s="220">
        <v>0</v>
      </c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8987756</v>
      </c>
      <c r="C217" s="216"/>
      <c r="D217" s="220"/>
      <c r="E217" s="32">
        <f t="shared" si="16"/>
        <v>8987756</v>
      </c>
    </row>
    <row r="218" spans="1:5" x14ac:dyDescent="0.35">
      <c r="A218" s="20" t="s">
        <v>372</v>
      </c>
      <c r="B218" s="220">
        <v>0</v>
      </c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0</v>
      </c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0</v>
      </c>
      <c r="C220" s="216"/>
      <c r="D220" s="220"/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35930220</v>
      </c>
      <c r="C221" s="266">
        <f>SUM(C212:C220)</f>
        <v>0</v>
      </c>
      <c r="D221" s="32">
        <f>SUM(D212:D220)</f>
        <v>0</v>
      </c>
      <c r="E221" s="32">
        <f>SUM(E212:E220)</f>
        <v>35930220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171640</v>
      </c>
      <c r="C226" s="216"/>
      <c r="D226" s="220"/>
      <c r="E226" s="32">
        <f t="shared" ref="E226:E233" si="17">SUM(B226:C226)-D226</f>
        <v>171640</v>
      </c>
    </row>
    <row r="227" spans="1:5" x14ac:dyDescent="0.35">
      <c r="A227" s="20" t="s">
        <v>368</v>
      </c>
      <c r="B227" s="220">
        <v>15068198</v>
      </c>
      <c r="C227" s="216"/>
      <c r="D227" s="220"/>
      <c r="E227" s="32">
        <f t="shared" si="17"/>
        <v>15068198</v>
      </c>
    </row>
    <row r="228" spans="1:5" x14ac:dyDescent="0.35">
      <c r="A228" s="20" t="s">
        <v>369</v>
      </c>
      <c r="B228" s="220">
        <v>1550688</v>
      </c>
      <c r="C228" s="216"/>
      <c r="D228" s="220"/>
      <c r="E228" s="32">
        <f t="shared" si="17"/>
        <v>1550688</v>
      </c>
    </row>
    <row r="229" spans="1:5" x14ac:dyDescent="0.35">
      <c r="A229" s="20" t="s">
        <v>370</v>
      </c>
      <c r="B229" s="220">
        <v>0</v>
      </c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6546809</v>
      </c>
      <c r="C230" s="216"/>
      <c r="D230" s="220"/>
      <c r="E230" s="32">
        <f t="shared" si="17"/>
        <v>6546809</v>
      </c>
    </row>
    <row r="231" spans="1:5" x14ac:dyDescent="0.35">
      <c r="A231" s="20" t="s">
        <v>372</v>
      </c>
      <c r="B231" s="220">
        <v>0</v>
      </c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0</v>
      </c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>
        <v>0</v>
      </c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23337335</v>
      </c>
      <c r="C234" s="266">
        <f>SUM(C225:C233)</f>
        <v>0</v>
      </c>
      <c r="D234" s="32">
        <f>SUM(D225:D233)</f>
        <v>0</v>
      </c>
      <c r="E234" s="32">
        <f>SUM(E225:E233)</f>
        <v>23337335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9" t="s">
        <v>377</v>
      </c>
      <c r="C237" s="349"/>
      <c r="D237" s="38"/>
      <c r="E237" s="38"/>
    </row>
    <row r="238" spans="1:5" x14ac:dyDescent="0.35">
      <c r="A238" s="56" t="s">
        <v>377</v>
      </c>
      <c r="B238" s="38"/>
      <c r="C238" s="216"/>
      <c r="D238" s="40">
        <f>C238</f>
        <v>0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0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18035945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0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1172784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0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14050688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33259417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447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533699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756311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1290010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177173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816255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993428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35542855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16916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0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4364171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2856981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14275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>
        <v>0</v>
      </c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561545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457964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2557890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2862934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206831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21361650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2511049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0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8987756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35930220</v>
      </c>
      <c r="E292" s="20"/>
    </row>
    <row r="293" spans="1:5" x14ac:dyDescent="0.35">
      <c r="A293" s="20" t="s">
        <v>416</v>
      </c>
      <c r="B293" s="46" t="s">
        <v>284</v>
      </c>
      <c r="C293" s="47">
        <v>23337335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12592885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15150775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0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458589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1483204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850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42822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>
        <v>0</v>
      </c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0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1000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1986465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13164310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15150775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15150775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15235903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32837620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48073523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0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34252841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1290010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0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35542851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12530672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3519433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3519433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3519433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16050105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16011471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4566646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773685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3252604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427991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562243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1307456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88143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321607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145637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0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988213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988213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28445696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-12395591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-12395591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-12395591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80638</v>
      </c>
      <c r="E613" s="258">
        <f>SUM(C625:D648)+SUM(C669:D714)</f>
        <v>16873085.658424072</v>
      </c>
      <c r="F613" s="258">
        <f>CE65-(AX65+BD65+BE65+BG65+BJ65+BN65+BP65+BQ65+CB65+CC65+CD65)</f>
        <v>0</v>
      </c>
      <c r="G613" s="256">
        <f>CE92-(AX92+AY92+BD92+BE92+BG92+BJ92+BN92+BP92+BQ92+CB92+CC92+CD92)</f>
        <v>16320</v>
      </c>
      <c r="H613" s="261">
        <f>CE61-(AX61+AY61+AZ61+BD61+BE61+BG61+BJ61+BN61+BO61+BP61+BQ61+BR61+CB61+CC61+CD61)</f>
        <v>99.640000000000029</v>
      </c>
      <c r="I613" s="256">
        <f>CE93-(AX93+AY93+AZ93+BD93+BE93+BF93+BG93+BJ93+BN93+BO93+BP93+BQ93+BR93+CB93+CC93+CD93)</f>
        <v>18466.05</v>
      </c>
      <c r="J613" s="256">
        <f>CE94-(AX94+AY94+AZ94+BA94+BD94+BE94+BF94+BG94+BJ94+BN94+BO94+BP94+BQ94+BR94+CB94+CC94+CD94)</f>
        <v>54964</v>
      </c>
      <c r="K613" s="256">
        <f>CE90-(AW90+AX90+AY90+AZ90+BA90+BB90+BC90+BD90+BE90+BF90+BG90+BH90+BI90+BJ90+BK90+BL90+BM90+BN90+BO90+BP90+BQ90+BR90+BS90+BT90+BU90+BV90+BW90+BX90+CB90+CC90+CD90)</f>
        <v>38228967</v>
      </c>
      <c r="L613" s="262">
        <f>CE95-(AW95+AX95+AY95+AZ95+BA95+BB95+BC95+BD95+BE95+BF95+BG95+BH95+BI95+BJ95+BK95+BL95+BM95+BN95+BO95+BP95+BQ95+BR95+BS95+BT95+BU95+BV95+BW95+BX95+BY95+BZ95+CA95+CB95+CC95+CD95)</f>
        <v>45.29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689122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689122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3685464</v>
      </c>
      <c r="D620" s="256">
        <f>(D616/D613)*BN91</f>
        <v>114189.93730003224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1057808</v>
      </c>
      <c r="D621" s="256">
        <f>(D616/D613)*CC91</f>
        <v>45532.404275899695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4902994.3415759318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3598</v>
      </c>
      <c r="D625" s="256">
        <f>(D616/D613)*BD91</f>
        <v>2093.7385599841264</v>
      </c>
      <c r="E625" s="258">
        <f>(E624/E613)*SUM(C625:D625)</f>
        <v>1653.9098134311348</v>
      </c>
      <c r="F625" s="258">
        <f>SUM(C625:E625)</f>
        <v>7345.6483734152607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405595</v>
      </c>
      <c r="D626" s="256">
        <f>(D616/D613)*AY91</f>
        <v>39405.014286068603</v>
      </c>
      <c r="E626" s="258">
        <f>(E624/E613)*SUM(C626:D626)</f>
        <v>129308.44993111852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245674</v>
      </c>
      <c r="D627" s="256">
        <f>(D616/D613)*BR91</f>
        <v>3537.9908727895036</v>
      </c>
      <c r="E627" s="258">
        <f>(E624/E613)*SUM(C627:D627)</f>
        <v>72416.213953854982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21133</v>
      </c>
      <c r="D629" s="256">
        <f>(D616/D613)*AZ91</f>
        <v>12297.509338029216</v>
      </c>
      <c r="E629" s="258">
        <f>(E624/E613)*SUM(C629:D629)</f>
        <v>9714.2633800667591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513165</v>
      </c>
      <c r="D630" s="256">
        <f>(D616/D613)*BF91</f>
        <v>6170.11934819812</v>
      </c>
      <c r="E630" s="258">
        <f>(E624/E613)*SUM(C630:D630)</f>
        <v>150908.80252093129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23703</v>
      </c>
      <c r="D631" s="256">
        <f>(D616/D613)*BA91</f>
        <v>13793.036880875021</v>
      </c>
      <c r="E631" s="258">
        <f>(E624/E613)*SUM(C631:D631)</f>
        <v>10895.62753251757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833340</v>
      </c>
      <c r="D633" s="256">
        <f>(D616/D613)*BB91</f>
        <v>15681.674520697437</v>
      </c>
      <c r="E633" s="258">
        <f>(E624/E613)*SUM(C633:D633)</f>
        <v>246709.37790042002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0</v>
      </c>
      <c r="D638" s="256">
        <f>(D616/D613)*BL91</f>
        <v>0</v>
      </c>
      <c r="E638" s="258">
        <f>(E624/E613)*SUM(C638:D638)</f>
        <v>0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244790</v>
      </c>
      <c r="D643" s="256">
        <f>(D616/D613)*BV91</f>
        <v>9067.1698454822781</v>
      </c>
      <c r="E643" s="258">
        <f>(E624/E613)*SUM(C643:D643)</f>
        <v>73766.013669199237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902232</v>
      </c>
      <c r="D646" s="256">
        <f>(D616/D613)*BY91</f>
        <v>11272.004737220665</v>
      </c>
      <c r="E646" s="258">
        <f>(E624/E613)*SUM(C646:D646)</f>
        <v>265446.70351966145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8625624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2515219</v>
      </c>
      <c r="D671" s="256">
        <f>(D616/D613)*E91</f>
        <v>138605.49267094917</v>
      </c>
      <c r="E671" s="258">
        <f>(E624/E613)*SUM(C671:D671)</f>
        <v>771150.3831905846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3033368</v>
      </c>
      <c r="D682" s="256">
        <f>(D616/D613)*P91</f>
        <v>34157.849078598178</v>
      </c>
      <c r="E682" s="258">
        <f>(E624/E613)*SUM(C682:D682)</f>
        <v>891364.0447952894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252313</v>
      </c>
      <c r="D683" s="256">
        <f>(D616/D613)*Q91</f>
        <v>12049.679059500482</v>
      </c>
      <c r="E683" s="258">
        <f>(E624/E613)*SUM(C683:D683)</f>
        <v>76818.71269974015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2512070</v>
      </c>
      <c r="D684" s="256">
        <f>(D616/D613)*R91</f>
        <v>4520.766115231032</v>
      </c>
      <c r="E684" s="258">
        <f>(E624/E613)*SUM(C684:D684)</f>
        <v>731272.90029283531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136269</v>
      </c>
      <c r="D685" s="256">
        <f>(D616/D613)*S91</f>
        <v>0</v>
      </c>
      <c r="E685" s="258">
        <f>(E624/E613)*SUM(C685:D685)</f>
        <v>39597.151905563958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140551</v>
      </c>
      <c r="D687" s="256">
        <f>(D616/D613)*U91</f>
        <v>3939.6468414395194</v>
      </c>
      <c r="E687" s="258">
        <f>(E624/E613)*SUM(C687:D687)</f>
        <v>41986.20443324362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502571</v>
      </c>
      <c r="D691" s="256">
        <f>(D616/D613)*Y91</f>
        <v>26150.367320618068</v>
      </c>
      <c r="E691" s="258">
        <f>(E624/E613)*SUM(C691:D691)</f>
        <v>153636.26575018527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348193</v>
      </c>
      <c r="D694" s="256">
        <f>(D616/D613)*AB91</f>
        <v>2563.7615020213793</v>
      </c>
      <c r="E694" s="258">
        <f>(E624/E613)*SUM(C694:D694)</f>
        <v>101923.17230697523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479456</v>
      </c>
      <c r="D695" s="256">
        <f>(D616/D613)*AC91</f>
        <v>880.22478236067354</v>
      </c>
      <c r="E695" s="258">
        <f>(E624/E613)*SUM(C695:D695)</f>
        <v>139576.47343454673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893183</v>
      </c>
      <c r="D697" s="256">
        <f>(D616/D613)*AE91</f>
        <v>54129.551179344722</v>
      </c>
      <c r="E697" s="258">
        <f>(E624/E613)*SUM(C697:D697)</f>
        <v>275270.81721518352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0</v>
      </c>
      <c r="D699" s="256">
        <f>(D616/D613)*AG91</f>
        <v>0</v>
      </c>
      <c r="E699" s="258">
        <f>(E624/E613)*SUM(C699:D699)</f>
        <v>0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132978</v>
      </c>
      <c r="D702" s="256">
        <f>(D616/D613)*AJ91</f>
        <v>77382.868002678631</v>
      </c>
      <c r="E702" s="258">
        <f>(E624/E613)*SUM(C702:D702)</f>
        <v>61126.824481638185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1080837</v>
      </c>
      <c r="D703" s="256">
        <f>(D616/D613)*AK91</f>
        <v>61701.193481981194</v>
      </c>
      <c r="E703" s="258">
        <f>(E624/E613)*SUM(C703:D703)</f>
        <v>331999.63605232764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1123448</v>
      </c>
      <c r="D713" s="256">
        <f>(D616/D613)*AU91</f>
        <v>0</v>
      </c>
      <c r="E713" s="258">
        <f>(E624/E613)*SUM(C713:D713)</f>
        <v>326452.3927966156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21776080</v>
      </c>
      <c r="D716" s="231">
        <f>SUM(D617:D648)+SUM(D669:D714)</f>
        <v>689121.99999999988</v>
      </c>
      <c r="E716" s="231">
        <f>SUM(E625:E648)+SUM(E669:E714)</f>
        <v>4902994.3415759308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21776080</v>
      </c>
      <c r="D717" s="231">
        <f>D616</f>
        <v>689122</v>
      </c>
      <c r="E717" s="231">
        <f>E624</f>
        <v>4902994.3415759318</v>
      </c>
      <c r="F717" s="231">
        <f>F625</f>
        <v>7345.6483734152607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8625624</v>
      </c>
      <c r="N717" s="250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M2" sqref="M2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042</v>
      </c>
      <c r="C2" s="12" t="str">
        <f>SUBSTITUTE(LEFT(data!C98,49),",","")</f>
        <v>Shriners Hospitals for Children - Spokane</v>
      </c>
      <c r="D2" s="12" t="str">
        <f>LEFT(data!C99,49)</f>
        <v>911 W 5th Avenue Spokane Washington 99204</v>
      </c>
      <c r="E2" s="12" t="str">
        <f>RIGHT(data!C100,100)</f>
        <v>Spokane</v>
      </c>
      <c r="F2" s="12" t="str">
        <f>RIGHT(data!C101,100)</f>
        <v>Washington</v>
      </c>
      <c r="G2" s="12" t="str">
        <f>RIGHT(data!C102,100)</f>
        <v>99204</v>
      </c>
      <c r="H2" s="12" t="str">
        <f>RIGHT(data!C103,100)</f>
        <v/>
      </c>
      <c r="I2" s="12" t="str">
        <f>LEFT(data!C104,49)</f>
        <v>John McCabe</v>
      </c>
      <c r="J2" s="12" t="str">
        <f>LEFT(data!C105,49)</f>
        <v>Sharon L Russell</v>
      </c>
      <c r="K2" s="12" t="str">
        <f>LEFT(data!C107,49)</f>
        <v/>
      </c>
      <c r="L2" s="12" t="str">
        <f>LEFT(data!C107,49)</f>
        <v/>
      </c>
      <c r="M2" s="12" t="str">
        <f>LEFT(data!C109,49)</f>
        <v>Douglas Beal</v>
      </c>
      <c r="N2" s="12" t="str">
        <f>LEFT(data!C110,49)</f>
        <v>dbeal@shrinenet.org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042</v>
      </c>
      <c r="B2" s="224" t="str">
        <f>RIGHT(data!C96,4)</f>
        <v>2022</v>
      </c>
      <c r="C2" s="16" t="s">
        <v>1122</v>
      </c>
      <c r="D2" s="223">
        <f>ROUND(data!C181,0)</f>
        <v>737620</v>
      </c>
      <c r="E2" s="223">
        <f>ROUND(data!C182,0)</f>
        <v>8442</v>
      </c>
      <c r="F2" s="223">
        <f>ROUND(data!C183,0)</f>
        <v>128451</v>
      </c>
      <c r="G2" s="223">
        <f>ROUND(data!C184,0)</f>
        <v>2238960</v>
      </c>
      <c r="H2" s="223">
        <f>ROUND(data!C185,0)</f>
        <v>31962</v>
      </c>
      <c r="I2" s="223">
        <f>ROUND(data!C186,0)</f>
        <v>1330516</v>
      </c>
      <c r="J2" s="223">
        <f>ROUND(data!C187+data!C188,0)</f>
        <v>49910</v>
      </c>
      <c r="K2" s="223">
        <f>ROUND(data!C191,0)</f>
        <v>86580</v>
      </c>
      <c r="L2" s="223">
        <f>ROUND(data!C192,0)</f>
        <v>12783</v>
      </c>
      <c r="M2" s="223">
        <f>ROUND(data!C195,0)</f>
        <v>0</v>
      </c>
      <c r="N2" s="223">
        <f>ROUND(data!C196,0)</f>
        <v>309718</v>
      </c>
      <c r="O2" s="223">
        <f>ROUND(data!C199,0)</f>
        <v>44388</v>
      </c>
      <c r="P2" s="223">
        <f>ROUND(data!C200,0)</f>
        <v>115527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2862934</v>
      </c>
      <c r="U2" s="223">
        <f>ROUND(data!C211,0)</f>
        <v>0</v>
      </c>
      <c r="V2" s="223">
        <f>ROUND(data!D211,0)</f>
        <v>0</v>
      </c>
      <c r="W2" s="223">
        <f>ROUND(data!B212,0)</f>
        <v>206831</v>
      </c>
      <c r="X2" s="223">
        <f>ROUND(data!C212,0)</f>
        <v>0</v>
      </c>
      <c r="Y2" s="223">
        <f>ROUND(data!D212,0)</f>
        <v>0</v>
      </c>
      <c r="Z2" s="223">
        <f>ROUND(data!B213,0)</f>
        <v>21361650</v>
      </c>
      <c r="AA2" s="223">
        <f>ROUND(data!C213,0)</f>
        <v>0</v>
      </c>
      <c r="AB2" s="223">
        <f>ROUND(data!D213,0)</f>
        <v>0</v>
      </c>
      <c r="AC2" s="223">
        <f>ROUND(data!B214,0)</f>
        <v>2644296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9153463</v>
      </c>
      <c r="AJ2" s="223">
        <f>ROUND(data!C216,0)</f>
        <v>0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5094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175671</v>
      </c>
      <c r="AY2" s="223">
        <f>ROUND(data!C225,0)</f>
        <v>0</v>
      </c>
      <c r="AZ2" s="223">
        <f>ROUND(data!D225,0)</f>
        <v>0</v>
      </c>
      <c r="BA2" s="223">
        <f>ROUND(data!B226,0)</f>
        <v>15674139</v>
      </c>
      <c r="BB2" s="223">
        <f>ROUND(data!C226,0)</f>
        <v>0</v>
      </c>
      <c r="BC2" s="223">
        <f>ROUND(data!D226,0)</f>
        <v>0</v>
      </c>
      <c r="BD2" s="223">
        <f>ROUND(data!B227,0)</f>
        <v>1627950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7095829</v>
      </c>
      <c r="BK2" s="223">
        <f>ROUND(data!C229,0)</f>
        <v>0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993</v>
      </c>
      <c r="BW2" s="223">
        <f>ROUND(data!C240,0)</f>
        <v>17798810</v>
      </c>
      <c r="BX2" s="223">
        <f>ROUND(data!C241,0)</f>
        <v>0</v>
      </c>
      <c r="BY2" s="223">
        <f>ROUND(data!C242,0)</f>
        <v>1021753</v>
      </c>
      <c r="BZ2" s="223">
        <f>ROUND(data!C243,0)</f>
        <v>14554721</v>
      </c>
      <c r="CA2" s="223">
        <f>ROUND(data!C244,0)</f>
        <v>614830</v>
      </c>
      <c r="CB2" s="223">
        <f>ROUND(data!C247,0)</f>
        <v>1000</v>
      </c>
      <c r="CC2" s="223">
        <f>ROUND(data!C249,0)</f>
        <v>879814</v>
      </c>
      <c r="CD2" s="223">
        <f>ROUND(data!C250,0)</f>
        <v>1123572</v>
      </c>
      <c r="CE2" s="223">
        <f>ROUND(data!C254+data!C255,0)</f>
        <v>1179789</v>
      </c>
      <c r="CF2" s="223">
        <f>data!D237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042</v>
      </c>
      <c r="B2" s="16" t="str">
        <f>RIGHT(data!C96,4)</f>
        <v>2022</v>
      </c>
      <c r="C2" s="16" t="s">
        <v>1122</v>
      </c>
      <c r="D2" s="222">
        <f>ROUND(data!C127,0)</f>
        <v>156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594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30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30</v>
      </c>
      <c r="X2" s="222">
        <f>ROUND(data!C145,0)</f>
        <v>0</v>
      </c>
      <c r="Y2" s="222">
        <f>ROUND(data!B154,0)</f>
        <v>0</v>
      </c>
      <c r="Z2" s="222">
        <f>ROUND(data!B155,0)</f>
        <v>0</v>
      </c>
      <c r="AA2" s="222">
        <f>ROUND(data!B156,0)</f>
        <v>18</v>
      </c>
      <c r="AB2" s="222">
        <f>ROUND(data!B157,0)</f>
        <v>0</v>
      </c>
      <c r="AC2" s="222">
        <f>ROUND(data!B158,0)</f>
        <v>22530</v>
      </c>
      <c r="AD2" s="222">
        <f>ROUND(data!C154,0)</f>
        <v>75</v>
      </c>
      <c r="AE2" s="222">
        <f>ROUND(data!C155,0)</f>
        <v>0</v>
      </c>
      <c r="AF2" s="222">
        <f>ROUND(data!C156,0)</f>
        <v>9338</v>
      </c>
      <c r="AG2" s="222">
        <f>ROUND(data!C157,0)</f>
        <v>5597990</v>
      </c>
      <c r="AH2" s="222">
        <f>ROUND(data!C158,0)</f>
        <v>17675307</v>
      </c>
      <c r="AI2" s="222">
        <f>ROUND(data!D154,0)</f>
        <v>81</v>
      </c>
      <c r="AJ2" s="222">
        <f>ROUND(data!D155,0)</f>
        <v>0</v>
      </c>
      <c r="AK2" s="222">
        <f>ROUND(data!D156,0)</f>
        <v>10462</v>
      </c>
      <c r="AL2" s="222">
        <f>ROUND(data!D157,0)</f>
        <v>6960129</v>
      </c>
      <c r="AM2" s="222">
        <f>ROUND(data!D158,0)</f>
        <v>19467378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10127940</v>
      </c>
      <c r="BS2" s="222">
        <f>ROUND(data!C173,0)</f>
        <v>6977005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042</v>
      </c>
      <c r="B2" s="224" t="str">
        <f>RIGHT(data!C96,4)</f>
        <v>2022</v>
      </c>
      <c r="C2" s="16" t="s">
        <v>1122</v>
      </c>
      <c r="D2" s="222">
        <f>ROUND(data!C266,0)</f>
        <v>16704</v>
      </c>
      <c r="E2" s="222">
        <f>ROUND(data!C267,0)</f>
        <v>0</v>
      </c>
      <c r="F2" s="222">
        <f>ROUND(data!C268,0)</f>
        <v>5821329</v>
      </c>
      <c r="G2" s="222">
        <f>ROUND(data!C269,0)</f>
        <v>3883396</v>
      </c>
      <c r="H2" s="222">
        <f>ROUND(data!C270,0)</f>
        <v>102189</v>
      </c>
      <c r="I2" s="222">
        <f>ROUND(data!C271,0)</f>
        <v>0</v>
      </c>
      <c r="J2" s="222">
        <f>ROUND(data!C272,0)</f>
        <v>0</v>
      </c>
      <c r="K2" s="222">
        <f>ROUND(data!C273,0)</f>
        <v>607447</v>
      </c>
      <c r="L2" s="222">
        <f>ROUND(data!C274,0)</f>
        <v>461759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2862934</v>
      </c>
      <c r="R2" s="222">
        <f>ROUND(data!C284,0)</f>
        <v>206831</v>
      </c>
      <c r="S2" s="222">
        <f>ROUND(data!C285,0)</f>
        <v>21361650</v>
      </c>
      <c r="T2" s="222">
        <f>ROUND(data!C286,0)</f>
        <v>2644296</v>
      </c>
      <c r="U2" s="222">
        <f>ROUND(data!C287,0)</f>
        <v>0</v>
      </c>
      <c r="V2" s="222">
        <f>ROUND(data!C288,0)</f>
        <v>9153463</v>
      </c>
      <c r="W2" s="222">
        <f>ROUND(data!C289,0)</f>
        <v>0</v>
      </c>
      <c r="X2" s="222">
        <f>ROUND(data!C290,0)</f>
        <v>5094</v>
      </c>
      <c r="Y2" s="222">
        <f>ROUND(data!C291,0)</f>
        <v>0</v>
      </c>
      <c r="Z2" s="222">
        <f>ROUND(data!C292,0)</f>
        <v>24573589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265647</v>
      </c>
      <c r="AK2" s="222">
        <f>ROUND(data!C316,0)</f>
        <v>1579247</v>
      </c>
      <c r="AL2" s="222">
        <f>ROUND(data!C317,0)</f>
        <v>932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49312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12891569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136.6</v>
      </c>
      <c r="BL2" s="222">
        <f>ROUND(data!C358,0)</f>
        <v>12558119</v>
      </c>
      <c r="BM2" s="222">
        <f>ROUND(data!C359,0)</f>
        <v>37165215</v>
      </c>
      <c r="BN2" s="222">
        <f>ROUND(data!C363,0)</f>
        <v>34053149</v>
      </c>
      <c r="BO2" s="222">
        <f>ROUND(data!C364,0)</f>
        <v>2003386</v>
      </c>
      <c r="BP2" s="222">
        <f>ROUND(data!C365,0)</f>
        <v>1117747</v>
      </c>
      <c r="BQ2" s="222">
        <f>ROUND(data!D381,0)</f>
        <v>3497001</v>
      </c>
      <c r="BR2" s="222">
        <f>ROUND(data!C370,0)</f>
        <v>3331732</v>
      </c>
      <c r="BS2" s="222">
        <f>ROUND(data!C371,0)</f>
        <v>1000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99370</v>
      </c>
      <c r="CB2" s="222">
        <f>ROUND(data!C380,0)</f>
        <v>64899</v>
      </c>
      <c r="CC2" s="222">
        <f>ROUND(data!C382,0)</f>
        <v>0</v>
      </c>
      <c r="CD2" s="222">
        <f>ROUND(data!C389,0)</f>
        <v>16392970</v>
      </c>
      <c r="CE2" s="222">
        <f>ROUND(data!C390,0)</f>
        <v>4543708</v>
      </c>
      <c r="CF2" s="222">
        <f>ROUND(data!C391,0)</f>
        <v>446712</v>
      </c>
      <c r="CG2" s="222">
        <f>ROUND(data!C392,0)</f>
        <v>3372989</v>
      </c>
      <c r="CH2" s="222">
        <f>ROUND(data!C393,0)</f>
        <v>501135</v>
      </c>
      <c r="CI2" s="222">
        <f>ROUND(data!C394,0)</f>
        <v>494987</v>
      </c>
      <c r="CJ2" s="222">
        <f>ROUND(data!C395,0)</f>
        <v>1246678</v>
      </c>
      <c r="CK2" s="222">
        <f>ROUND(data!C396,0)</f>
        <v>99363</v>
      </c>
      <c r="CL2" s="222">
        <f>ROUND(data!C397,0)</f>
        <v>309718</v>
      </c>
      <c r="CM2" s="222">
        <f>ROUND(data!C398,0)</f>
        <v>159915</v>
      </c>
      <c r="CN2" s="222">
        <f>ROUND(data!C399,0)</f>
        <v>0</v>
      </c>
      <c r="CO2" s="222">
        <f>ROUND(data!C362,0)</f>
        <v>0</v>
      </c>
      <c r="CP2" s="222">
        <f>ROUND(data!D415,0)</f>
        <v>2033379</v>
      </c>
      <c r="CQ2" s="65">
        <f>ROUND(data!C401,0)</f>
        <v>0</v>
      </c>
      <c r="CR2" s="65">
        <f>ROUND(data!C402,0)</f>
        <v>851643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490600</v>
      </c>
      <c r="CY2" s="65">
        <f>ROUND(data!C409,0)</f>
        <v>0</v>
      </c>
      <c r="CZ2" s="65">
        <f>ROUND(data!C410,0)</f>
        <v>0</v>
      </c>
      <c r="DA2" s="65">
        <f>ROUND(data!C411,0)</f>
        <v>337166</v>
      </c>
      <c r="DB2" s="65">
        <f>ROUND(data!C412,0)</f>
        <v>115527</v>
      </c>
      <c r="DC2" s="65">
        <f>ROUND(data!C413,0)</f>
        <v>0</v>
      </c>
      <c r="DD2" s="65">
        <f>ROUND(data!C414,0)</f>
        <v>238443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042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042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042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594</v>
      </c>
      <c r="F4" s="212">
        <f>ROUND(data!E60,2)</f>
        <v>17.79</v>
      </c>
      <c r="G4" s="222">
        <f>ROUND(data!E61,0)</f>
        <v>2051136</v>
      </c>
      <c r="H4" s="222">
        <f>ROUND(data!E62,0)</f>
        <v>994867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240218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1512125</v>
      </c>
      <c r="AF4" s="222">
        <f>ROUND(data!E87,0)</f>
        <v>1512125</v>
      </c>
      <c r="AG4" s="222">
        <f>IF(data!E90&gt;0,ROUND(data!E90,0),0)</f>
        <v>16219</v>
      </c>
      <c r="AH4" s="222">
        <f>IF(data!E91&gt;0,ROUND(data!E91,0),0)</f>
        <v>3488</v>
      </c>
      <c r="AI4" s="222">
        <f>IF(data!E92&gt;0,ROUND(data!E92,0),0)</f>
        <v>17819</v>
      </c>
      <c r="AJ4" s="222">
        <f>IF(data!E93&gt;0,ROUND(data!E93,0),0)</f>
        <v>22741</v>
      </c>
      <c r="AK4" s="212">
        <f>IF(data!E94&gt;0,ROUND(data!E94,2),0)</f>
        <v>17.79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042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042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042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042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042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042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042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042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042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042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042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0</v>
      </c>
      <c r="F15" s="212">
        <f>ROUND(data!P60,2)</f>
        <v>8.4</v>
      </c>
      <c r="G15" s="222">
        <f>ROUND(data!P61,0)</f>
        <v>2252057</v>
      </c>
      <c r="H15" s="222">
        <f>ROUND(data!P62,0)</f>
        <v>1092320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57851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12361609</v>
      </c>
      <c r="AF15" s="222">
        <f>ROUND(data!P87,0)</f>
        <v>2899695</v>
      </c>
      <c r="AG15" s="222">
        <f>IF(data!P90&gt;0,ROUND(data!P90,0),0)</f>
        <v>3906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19570</v>
      </c>
      <c r="AK15" s="212">
        <f>IF(data!P94&gt;0,ROUND(data!P94,2),0)</f>
        <v>8.4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042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1.78</v>
      </c>
      <c r="G16" s="222">
        <f>ROUND(data!Q61,0)</f>
        <v>191232</v>
      </c>
      <c r="H16" s="222">
        <f>ROUND(data!Q62,0)</f>
        <v>92754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20883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1274979</v>
      </c>
      <c r="AF16" s="222">
        <f>ROUND(data!Q87,0)</f>
        <v>231866</v>
      </c>
      <c r="AG16" s="222">
        <f>IF(data!Q90&gt;0,ROUND(data!Q90,0),0)</f>
        <v>1410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1.78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042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5.04</v>
      </c>
      <c r="G17" s="222">
        <f>ROUND(data!R61,0)</f>
        <v>63172</v>
      </c>
      <c r="H17" s="222">
        <f>ROUND(data!R62,0)</f>
        <v>30640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7835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4379134</v>
      </c>
      <c r="AF17" s="222">
        <f>ROUND(data!R87,0)</f>
        <v>883517</v>
      </c>
      <c r="AG17" s="222">
        <f>IF(data!R90&gt;0,ROUND(data!R90,0),0)</f>
        <v>529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5.04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042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1.98</v>
      </c>
      <c r="G18" s="222">
        <f>ROUND(data!S61,0)</f>
        <v>128867</v>
      </c>
      <c r="H18" s="222">
        <f>ROUND(data!S62,0)</f>
        <v>62505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5032779</v>
      </c>
      <c r="AF18" s="222">
        <f>ROUND(data!S87,0)</f>
        <v>3712486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042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042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0</v>
      </c>
      <c r="F20" s="212">
        <f>ROUND(data!U60,2)</f>
        <v>1.46</v>
      </c>
      <c r="G20" s="222">
        <f>ROUND(data!U61,0)</f>
        <v>99529</v>
      </c>
      <c r="H20" s="222">
        <f>ROUND(data!U62,0)</f>
        <v>48275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0</v>
      </c>
      <c r="M20" s="66">
        <f>ROUND(data!U67,0)</f>
        <v>6828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234317</v>
      </c>
      <c r="AF20" s="222">
        <f>ROUND(data!U87,0)</f>
        <v>57420</v>
      </c>
      <c r="AG20" s="222">
        <f>IF(data!U90&gt;0,ROUND(data!U90,0),0)</f>
        <v>461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042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042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042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042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0</v>
      </c>
      <c r="F24" s="212">
        <f>ROUND(data!Y60,2)</f>
        <v>5.0199999999999996</v>
      </c>
      <c r="G24" s="222">
        <f>ROUND(data!Y61,0)</f>
        <v>370339</v>
      </c>
      <c r="H24" s="222">
        <f>ROUND(data!Y62,0)</f>
        <v>179626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0</v>
      </c>
      <c r="M24" s="66">
        <f>ROUND(data!Y67,0)</f>
        <v>45321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3916653</v>
      </c>
      <c r="AF24" s="222">
        <f>ROUND(data!Y87,0)</f>
        <v>144518</v>
      </c>
      <c r="AG24" s="222">
        <f>IF(data!Y90&gt;0,ROUND(data!Y90,0),0)</f>
        <v>3060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857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042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042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042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1.69</v>
      </c>
      <c r="G27" s="222">
        <f>ROUND(data!AB61,0)</f>
        <v>270774</v>
      </c>
      <c r="H27" s="222">
        <f>ROUND(data!AB62,0)</f>
        <v>131334</v>
      </c>
      <c r="I27" s="222">
        <f>ROUND(data!AB63,0)</f>
        <v>0</v>
      </c>
      <c r="J27" s="222">
        <f>ROUND(data!AB64,0)</f>
        <v>0</v>
      </c>
      <c r="K27" s="222">
        <f>ROUND(data!AB65,0)</f>
        <v>0</v>
      </c>
      <c r="L27" s="222">
        <f>ROUND(data!AB66,0)</f>
        <v>0</v>
      </c>
      <c r="M27" s="66">
        <f>ROUND(data!AB67,0)</f>
        <v>4443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2198181</v>
      </c>
      <c r="AF27" s="222">
        <f>ROUND(data!AB87,0)</f>
        <v>902214</v>
      </c>
      <c r="AG27" s="222">
        <f>IF(data!AB90&gt;0,ROUND(data!AB90,0),0)</f>
        <v>300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042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0</v>
      </c>
      <c r="F28" s="212">
        <f>ROUND(data!AC60,2)</f>
        <v>4.43</v>
      </c>
      <c r="G28" s="222">
        <f>ROUND(data!AC61,0)</f>
        <v>392171</v>
      </c>
      <c r="H28" s="222">
        <f>ROUND(data!AC62,0)</f>
        <v>190216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1526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384927</v>
      </c>
      <c r="AF28" s="222">
        <f>ROUND(data!AC87,0)</f>
        <v>266724</v>
      </c>
      <c r="AG28" s="222">
        <f>IF(data!AC90&gt;0,ROUND(data!AC90,0),0)</f>
        <v>103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042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042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0</v>
      </c>
      <c r="F30" s="212">
        <f>ROUND(data!AE60,2)</f>
        <v>8.1</v>
      </c>
      <c r="G30" s="222">
        <f>ROUND(data!AE61,0)</f>
        <v>641004</v>
      </c>
      <c r="H30" s="222">
        <f>ROUND(data!AE62,0)</f>
        <v>310908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109556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3153672</v>
      </c>
      <c r="AF30" s="222">
        <f>ROUND(data!AE87,0)</f>
        <v>89232</v>
      </c>
      <c r="AG30" s="222">
        <f>IF(data!AE90&gt;0,ROUND(data!AE90,0),0)</f>
        <v>7397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1092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042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042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042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042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042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0</v>
      </c>
      <c r="F35" s="212">
        <f>ROUND(data!AJ60,2)</f>
        <v>10.14</v>
      </c>
      <c r="G35" s="222">
        <f>ROUND(data!AJ61,0)</f>
        <v>909939</v>
      </c>
      <c r="H35" s="222">
        <f>ROUND(data!AJ62,0)</f>
        <v>441350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131476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4733860</v>
      </c>
      <c r="AF35" s="222">
        <f>ROUND(data!AJ87,0)</f>
        <v>8105</v>
      </c>
      <c r="AG35" s="222">
        <f>IF(data!AJ90&gt;0,ROUND(data!AJ90,0),0)</f>
        <v>8877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6161</v>
      </c>
      <c r="AK35" s="212">
        <f>IF(data!AJ94&gt;0,ROUND(data!AJ94,2),0)</f>
        <v>10.14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042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8.6300000000000008</v>
      </c>
      <c r="G36" s="222">
        <f>ROUND(data!AK61,0)</f>
        <v>745715</v>
      </c>
      <c r="H36" s="222">
        <f>ROUND(data!AK62,0)</f>
        <v>361696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92361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382048</v>
      </c>
      <c r="AF36" s="222">
        <f>ROUND(data!AK87,0)</f>
        <v>0</v>
      </c>
      <c r="AG36" s="222">
        <f>IF(data!AK90&gt;0,ROUND(data!AK90,0),0)</f>
        <v>6236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367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042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042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042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042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042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042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042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042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042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042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042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042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042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042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18139</v>
      </c>
      <c r="F50" s="212">
        <f>ROUND(data!AY60,2)</f>
        <v>4.45</v>
      </c>
      <c r="G50" s="222">
        <f>ROUND(data!AY61,0)</f>
        <v>236448</v>
      </c>
      <c r="H50" s="222">
        <f>ROUND(data!AY62,0)</f>
        <v>114685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71344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4817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042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21313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1439</v>
      </c>
      <c r="AH51" s="222">
        <f>IFERROR(IF(data!AZ$91&gt;0,ROUND(data!AZ$91,0),0),0)</f>
        <v>14651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042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23905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1614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042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7.09</v>
      </c>
      <c r="G53" s="222">
        <f>ROUND(data!BB61,0)</f>
        <v>584941</v>
      </c>
      <c r="H53" s="222">
        <f>ROUND(data!BB62,0)</f>
        <v>283715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27178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1835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042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042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3629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245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042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84173</v>
      </c>
      <c r="F56" s="212">
        <f>ROUND(data!BE60,2)</f>
        <v>4.6900000000000004</v>
      </c>
      <c r="G56" s="222">
        <f>ROUND(data!BE61,0)</f>
        <v>0</v>
      </c>
      <c r="H56" s="222">
        <f>ROUND(data!BE62,0)</f>
        <v>0</v>
      </c>
      <c r="I56" s="222">
        <f>ROUND(data!BE63,0)</f>
        <v>0</v>
      </c>
      <c r="J56" s="222">
        <f>ROUND(data!BE64,0)</f>
        <v>0</v>
      </c>
      <c r="K56" s="222">
        <f>ROUND(data!BE65,0)</f>
        <v>0</v>
      </c>
      <c r="L56" s="222">
        <f>ROUND(data!BE66,0)</f>
        <v>0</v>
      </c>
      <c r="M56" s="66">
        <f>ROUND(data!BE67,0)</f>
        <v>60547</v>
      </c>
      <c r="N56" s="222">
        <f>ROUND(data!BE68,0)</f>
        <v>0</v>
      </c>
      <c r="O56" s="222">
        <f>ROUND(data!BE69,0)</f>
        <v>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4088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042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8.57</v>
      </c>
      <c r="G57" s="222">
        <f>ROUND(data!BF61,0)</f>
        <v>393726</v>
      </c>
      <c r="H57" s="222">
        <f>ROUND(data!BF62,0)</f>
        <v>190970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10693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722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042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042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042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042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042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042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042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042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28.01</v>
      </c>
      <c r="G65" s="222">
        <f>ROUND(data!BN61,0)</f>
        <v>0</v>
      </c>
      <c r="H65" s="222">
        <f>ROUND(data!BN62,0)</f>
        <v>0</v>
      </c>
      <c r="I65" s="222">
        <f>ROUND(data!BN63,0)</f>
        <v>0</v>
      </c>
      <c r="J65" s="222">
        <f>ROUND(data!BN64,0)</f>
        <v>0</v>
      </c>
      <c r="K65" s="222">
        <f>ROUND(data!BN65,0)</f>
        <v>0</v>
      </c>
      <c r="L65" s="222">
        <f>ROUND(data!BN66,0)</f>
        <v>0</v>
      </c>
      <c r="M65" s="66">
        <f>ROUND(data!BN67,0)</f>
        <v>182870</v>
      </c>
      <c r="N65" s="222">
        <f>ROUND(data!BN68,0)</f>
        <v>0</v>
      </c>
      <c r="O65" s="222">
        <f>ROUND(data!BN69,0)</f>
        <v>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0</v>
      </c>
      <c r="AD65" s="222">
        <f>ROUND(data!BN84,0)</f>
        <v>0</v>
      </c>
      <c r="AE65" s="222"/>
      <c r="AF65" s="222"/>
      <c r="AG65" s="222">
        <f>IF(data!BN90&gt;0,ROUND(data!BN90,0),0)</f>
        <v>12347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042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042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042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042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2.35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5421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366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042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042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042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042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2.39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15714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1061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042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042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042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4.59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18765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1267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042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042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042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042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86999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5874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7" workbookViewId="0">
      <selection activeCell="C5" sqref="C5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Shriners Hospitals for Children - Spokane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H-042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911 W 5th Avenue Spokane Washington 99204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Washington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C32" s="346"/>
      <c r="D32" s="346"/>
      <c r="E32" s="346"/>
      <c r="F32" s="346"/>
      <c r="G32" s="346"/>
      <c r="H32" s="346"/>
      <c r="I32" s="346"/>
      <c r="J32" s="113"/>
    </row>
    <row r="33" spans="2:10" x14ac:dyDescent="0.35">
      <c r="B33" s="129" t="s">
        <v>233</v>
      </c>
      <c r="C33" s="347"/>
      <c r="D33" s="347"/>
      <c r="E33" s="347"/>
      <c r="F33" s="347"/>
      <c r="G33" s="347"/>
      <c r="H33" s="347"/>
      <c r="I33" s="34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 t="s">
        <v>1388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348" t="s">
        <v>1387</v>
      </c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C38" s="346"/>
      <c r="D38" s="346"/>
      <c r="E38" s="346"/>
      <c r="F38" s="346"/>
      <c r="G38" s="346"/>
      <c r="H38" s="346"/>
      <c r="I38" s="346"/>
      <c r="J38" s="113"/>
    </row>
    <row r="39" spans="2:10" x14ac:dyDescent="0.35">
      <c r="B39" s="129" t="s">
        <v>233</v>
      </c>
      <c r="C39" s="347"/>
      <c r="D39" s="347"/>
      <c r="E39" s="347"/>
      <c r="F39" s="347"/>
      <c r="G39" s="347"/>
      <c r="H39" s="347"/>
      <c r="I39" s="34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D17" sqref="D1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042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2515219</v>
      </c>
      <c r="C17" s="275">
        <f>data!E85</f>
        <v>3286221</v>
      </c>
      <c r="D17" s="275">
        <f>'Prior Year'!E60</f>
        <v>1112</v>
      </c>
      <c r="E17" s="1">
        <f>data!E59</f>
        <v>594</v>
      </c>
      <c r="F17" s="238">
        <f t="shared" si="0"/>
        <v>2261.8875899280574</v>
      </c>
      <c r="G17" s="238">
        <f t="shared" si="1"/>
        <v>5532.3585858585857</v>
      </c>
      <c r="H17" s="6">
        <f t="shared" si="2"/>
        <v>1.4459034173464609</v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3033368</v>
      </c>
      <c r="C28" s="275">
        <f>data!P85</f>
        <v>3402228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252313</v>
      </c>
      <c r="C29" s="275">
        <f>data!Q85</f>
        <v>304869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2512070</v>
      </c>
      <c r="C30" s="275">
        <f>data!R85</f>
        <v>101647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136269</v>
      </c>
      <c r="C31" s="275">
        <f>data!S85</f>
        <v>191372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140551</v>
      </c>
      <c r="C33" s="275">
        <f>data!U85</f>
        <v>154632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502571</v>
      </c>
      <c r="C37" s="275">
        <f>data!Y85</f>
        <v>595286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348193</v>
      </c>
      <c r="C40" s="275">
        <f>data!AB85</f>
        <v>406551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479456</v>
      </c>
      <c r="C41" s="275">
        <f>data!AC85</f>
        <v>583913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893183</v>
      </c>
      <c r="C43" s="275">
        <f>data!AE85</f>
        <v>1061468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0</v>
      </c>
      <c r="C45" s="275">
        <f>data!AG85</f>
        <v>0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132978</v>
      </c>
      <c r="C48" s="275">
        <f>data!AJ85</f>
        <v>1482765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1080837</v>
      </c>
      <c r="C49" s="275">
        <f>data!AK85</f>
        <v>1199772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1123448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405595</v>
      </c>
      <c r="C63" s="275">
        <f>data!AY85</f>
        <v>422477</v>
      </c>
      <c r="D63" s="275">
        <f>'Prior Year'!AY60</f>
        <v>16320</v>
      </c>
      <c r="E63" s="1">
        <f>data!AY59</f>
        <v>18139</v>
      </c>
      <c r="F63" s="238">
        <f>IF(B63=0,"",IF(D63=0,"",B63/D63))</f>
        <v>24.852634803921568</v>
      </c>
      <c r="G63" s="238">
        <f t="shared" si="5"/>
        <v>23.291085506367494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21133</v>
      </c>
      <c r="C64" s="275">
        <f>data!AZ85</f>
        <v>21313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23703</v>
      </c>
      <c r="C65" s="275">
        <f>data!BA85</f>
        <v>23905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833340</v>
      </c>
      <c r="C66" s="275">
        <f>data!BB85</f>
        <v>895834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3598</v>
      </c>
      <c r="C68" s="275">
        <f>data!BD85</f>
        <v>3629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689122</v>
      </c>
      <c r="C69" s="275">
        <f>data!BE85</f>
        <v>60547</v>
      </c>
      <c r="D69" s="275">
        <f>'Prior Year'!BE60</f>
        <v>89030</v>
      </c>
      <c r="E69" s="1">
        <f>data!BE59</f>
        <v>84173</v>
      </c>
      <c r="F69" s="238">
        <f>IF(B69=0,"",IF(D69=0,"",B69/D69))</f>
        <v>7.740334718634168</v>
      </c>
      <c r="G69" s="238">
        <f t="shared" si="5"/>
        <v>0.7193161702683758</v>
      </c>
      <c r="H69" s="6">
        <f>IF(B69=0,"",IF(C69=0,"",IF(D69=0,"",IF(E69=0,"",IF(G69/F69-1&lt;-0.25,G69/F69-1,IF(G69/F69-1&gt;0.25,G69/F69-1,""))))))</f>
        <v>-0.90706911310480076</v>
      </c>
      <c r="I69" s="275" t="str">
        <f t="shared" si="6"/>
        <v/>
      </c>
      <c r="M69" s="7"/>
    </row>
    <row r="70" spans="1:13" x14ac:dyDescent="0.35">
      <c r="A70" s="1" t="s">
        <v>764</v>
      </c>
      <c r="B70" s="275">
        <f>'Prior Year'!BF86</f>
        <v>513165</v>
      </c>
      <c r="C70" s="275">
        <f>data!BF85</f>
        <v>595389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0</v>
      </c>
      <c r="C76" s="275">
        <f>data!BL85</f>
        <v>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3685464</v>
      </c>
      <c r="C78" s="275">
        <f>data!BN85</f>
        <v>182870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245674</v>
      </c>
      <c r="C82" s="275">
        <f>data!BR85</f>
        <v>5421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244790</v>
      </c>
      <c r="C86" s="275">
        <f>data!BV85</f>
        <v>15714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902232</v>
      </c>
      <c r="C89" s="275">
        <f>data!BY85</f>
        <v>18765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1057808</v>
      </c>
      <c r="C93" s="275">
        <f>data!CC85</f>
        <v>86999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workbookViewId="0">
      <selection activeCell="D31" sqref="D31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0" t="s">
        <v>1347</v>
      </c>
    </row>
    <row r="3" spans="1:4" x14ac:dyDescent="0.35">
      <c r="A3" s="11" t="s">
        <v>789</v>
      </c>
    </row>
    <row r="4" spans="1:4" x14ac:dyDescent="0.35">
      <c r="A4" s="328" t="s">
        <v>1345</v>
      </c>
    </row>
    <row r="5" spans="1:4" x14ac:dyDescent="0.35">
      <c r="A5" s="329" t="s">
        <v>1343</v>
      </c>
    </row>
    <row r="6" spans="1:4" x14ac:dyDescent="0.35">
      <c r="A6" s="327"/>
    </row>
    <row r="7" spans="1:4" x14ac:dyDescent="0.35">
      <c r="A7" s="328" t="s">
        <v>1346</v>
      </c>
    </row>
    <row r="8" spans="1:4" x14ac:dyDescent="0.35">
      <c r="A8" s="329" t="s">
        <v>1344</v>
      </c>
    </row>
    <row r="11" spans="1:4" x14ac:dyDescent="0.35">
      <c r="A11" s="13" t="s">
        <v>790</v>
      </c>
      <c r="D11" s="276">
        <f>data!C380</f>
        <v>64899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238443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1380</v>
      </c>
      <c r="D29" s="15">
        <v>44250</v>
      </c>
    </row>
    <row r="30" spans="1:4" x14ac:dyDescent="0.35">
      <c r="A30" s="12" t="s">
        <v>1381</v>
      </c>
      <c r="D30" s="15">
        <f>110608+28083-71458</f>
        <v>67233</v>
      </c>
    </row>
    <row r="31" spans="1:4" x14ac:dyDescent="0.35">
      <c r="A31" s="12" t="s">
        <v>1382</v>
      </c>
      <c r="D31" s="15">
        <v>63718</v>
      </c>
    </row>
    <row r="32" spans="1:4" x14ac:dyDescent="0.35">
      <c r="A32" s="12" t="s">
        <v>1383</v>
      </c>
      <c r="D32" s="15">
        <v>23663</v>
      </c>
    </row>
    <row r="33" spans="1:4" x14ac:dyDescent="0.35">
      <c r="A33" s="12" t="s">
        <v>1384</v>
      </c>
      <c r="D33" s="15">
        <f>7310+2803</f>
        <v>10113</v>
      </c>
    </row>
    <row r="34" spans="1:4" x14ac:dyDescent="0.35">
      <c r="A34" s="12" t="s">
        <v>1385</v>
      </c>
      <c r="D34" s="15">
        <v>47655</v>
      </c>
    </row>
    <row r="35" spans="1:4" x14ac:dyDescent="0.35">
      <c r="A35" s="12" t="s">
        <v>1386</v>
      </c>
      <c r="D35" s="15">
        <v>18189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H-42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Shriners Hospitals for Children - Spokane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99204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"&amp;data!C103</f>
        <v xml:space="preserve">  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"&amp;data!C104</f>
        <v xml:space="preserve">  John McCabe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"&amp;data!C105</f>
        <v xml:space="preserve">  Sharon L Russell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156</v>
      </c>
      <c r="G23" s="81">
        <f>data!D127</f>
        <v>594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0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30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30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Shriners Hospitals for Children - Spokane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0</v>
      </c>
      <c r="C7" s="141">
        <f>data!B155</f>
        <v>0</v>
      </c>
      <c r="D7" s="141">
        <f>data!B156</f>
        <v>18</v>
      </c>
      <c r="E7" s="141">
        <f>data!B157</f>
        <v>0</v>
      </c>
      <c r="F7" s="141">
        <f>data!B158</f>
        <v>22530</v>
      </c>
      <c r="G7" s="141">
        <f>data!B157+data!B158</f>
        <v>22530</v>
      </c>
    </row>
    <row r="8" spans="1:7" ht="20.149999999999999" customHeight="1" x14ac:dyDescent="0.35">
      <c r="A8" s="77" t="s">
        <v>331</v>
      </c>
      <c r="B8" s="141">
        <f>data!C154</f>
        <v>75</v>
      </c>
      <c r="C8" s="141">
        <f>data!C155</f>
        <v>0</v>
      </c>
      <c r="D8" s="141">
        <f>data!C156</f>
        <v>9338</v>
      </c>
      <c r="E8" s="141">
        <f>data!C157</f>
        <v>5597990</v>
      </c>
      <c r="F8" s="141">
        <f>data!C158</f>
        <v>17675307</v>
      </c>
      <c r="G8" s="141">
        <f>data!C157+data!C158</f>
        <v>23273297</v>
      </c>
    </row>
    <row r="9" spans="1:7" ht="20.149999999999999" customHeight="1" x14ac:dyDescent="0.35">
      <c r="A9" s="77" t="s">
        <v>828</v>
      </c>
      <c r="B9" s="141">
        <f>data!D154</f>
        <v>81</v>
      </c>
      <c r="C9" s="141">
        <f>data!D155</f>
        <v>0</v>
      </c>
      <c r="D9" s="141">
        <f>data!D156</f>
        <v>10462</v>
      </c>
      <c r="E9" s="141">
        <f>data!D157</f>
        <v>6960129</v>
      </c>
      <c r="F9" s="141">
        <f>data!D158</f>
        <v>19467378</v>
      </c>
      <c r="G9" s="141">
        <f>data!D157+data!D158</f>
        <v>26427507</v>
      </c>
    </row>
    <row r="10" spans="1:7" ht="20.149999999999999" customHeight="1" x14ac:dyDescent="0.35">
      <c r="A10" s="92" t="s">
        <v>215</v>
      </c>
      <c r="B10" s="141">
        <f>data!E154</f>
        <v>156</v>
      </c>
      <c r="C10" s="141">
        <f>data!E155</f>
        <v>0</v>
      </c>
      <c r="D10" s="141">
        <f>data!E156</f>
        <v>19818</v>
      </c>
      <c r="E10" s="141">
        <f>data!E157</f>
        <v>12558119</v>
      </c>
      <c r="F10" s="141">
        <f>data!E158</f>
        <v>37165215</v>
      </c>
      <c r="G10" s="141">
        <f>E10+F10</f>
        <v>49723334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828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10127940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6977005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Shriners Hospitals for Children - Spokane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737620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8442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128451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2238960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31962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1330516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43605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6305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4525861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86580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12783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99363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309718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309718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44388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115527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159915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Shriners Hospitals for Children - Spokane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2862934</v>
      </c>
      <c r="D7" s="81">
        <f>data!C211</f>
        <v>0</v>
      </c>
      <c r="E7" s="81">
        <f>data!D211</f>
        <v>0</v>
      </c>
      <c r="F7" s="81">
        <f>data!E211</f>
        <v>2862934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206831</v>
      </c>
      <c r="D8" s="81">
        <f>data!C212</f>
        <v>0</v>
      </c>
      <c r="E8" s="81">
        <f>data!D212</f>
        <v>0</v>
      </c>
      <c r="F8" s="81">
        <f>data!E212</f>
        <v>206831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21361650</v>
      </c>
      <c r="D9" s="81">
        <f>data!C213</f>
        <v>0</v>
      </c>
      <c r="E9" s="81">
        <f>data!D213</f>
        <v>0</v>
      </c>
      <c r="F9" s="81">
        <f>data!E213</f>
        <v>21361650</v>
      </c>
    </row>
    <row r="10" spans="1:6" ht="20.149999999999999" customHeight="1" x14ac:dyDescent="0.35">
      <c r="A10" s="77">
        <v>4</v>
      </c>
      <c r="B10" s="81" t="s">
        <v>853</v>
      </c>
      <c r="C10" s="81">
        <f>data!B214</f>
        <v>2644296</v>
      </c>
      <c r="D10" s="81">
        <f>data!C214</f>
        <v>0</v>
      </c>
      <c r="E10" s="81">
        <f>data!D214</f>
        <v>0</v>
      </c>
      <c r="F10" s="81">
        <f>data!E214</f>
        <v>2644296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9153463</v>
      </c>
      <c r="D12" s="81">
        <f>data!C216</f>
        <v>0</v>
      </c>
      <c r="E12" s="81">
        <f>data!D216</f>
        <v>0</v>
      </c>
      <c r="F12" s="81">
        <f>data!E216</f>
        <v>9153463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5094</v>
      </c>
      <c r="D15" s="81">
        <f>data!C219</f>
        <v>0</v>
      </c>
      <c r="E15" s="81">
        <f>data!D219</f>
        <v>0</v>
      </c>
      <c r="F15" s="81">
        <f>data!E219</f>
        <v>5094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36234268</v>
      </c>
      <c r="D16" s="81">
        <f>data!C220</f>
        <v>0</v>
      </c>
      <c r="E16" s="81">
        <f>data!D220</f>
        <v>0</v>
      </c>
      <c r="F16" s="81">
        <f>data!E220</f>
        <v>36234268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175671</v>
      </c>
      <c r="D24" s="81">
        <f>data!C225</f>
        <v>0</v>
      </c>
      <c r="E24" s="81">
        <f>data!D225</f>
        <v>0</v>
      </c>
      <c r="F24" s="81">
        <f>data!E225</f>
        <v>175671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15674139</v>
      </c>
      <c r="D25" s="81">
        <f>data!C226</f>
        <v>0</v>
      </c>
      <c r="E25" s="81">
        <f>data!D226</f>
        <v>0</v>
      </c>
      <c r="F25" s="81">
        <f>data!E226</f>
        <v>15674139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1627950</v>
      </c>
      <c r="D26" s="81">
        <f>data!C227</f>
        <v>0</v>
      </c>
      <c r="E26" s="81">
        <f>data!D227</f>
        <v>0</v>
      </c>
      <c r="F26" s="81">
        <f>data!E227</f>
        <v>1627950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7095829</v>
      </c>
      <c r="D28" s="81">
        <f>data!C229</f>
        <v>0</v>
      </c>
      <c r="E28" s="81">
        <f>data!D229</f>
        <v>0</v>
      </c>
      <c r="F28" s="81">
        <f>data!E229</f>
        <v>7095829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24573589</v>
      </c>
      <c r="D32" s="81">
        <f>data!C233</f>
        <v>0</v>
      </c>
      <c r="E32" s="81">
        <f>data!D233</f>
        <v>0</v>
      </c>
      <c r="F32" s="81">
        <f>data!E233</f>
        <v>24573589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Shriners Hospitals for Children - Spokane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0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993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17798810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1021753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14554721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614830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33991107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1000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879814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1123572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2003386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348926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830863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data!D256</f>
        <v>1179789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