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A5E92040-672F-4172-8284-79E42FD5B7F1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7" i="6"/>
  <c r="D8" i="6"/>
  <c r="D9" i="6"/>
  <c r="D10" i="6"/>
  <c r="D11" i="6"/>
  <c r="D12" i="6"/>
  <c r="D13" i="6"/>
  <c r="D14" i="6"/>
  <c r="D15" i="6"/>
  <c r="D16" i="6"/>
  <c r="D7" i="6"/>
  <c r="I28" i="15"/>
  <c r="D35" i="17"/>
  <c r="D36" i="17"/>
  <c r="C370" i="24"/>
  <c r="C359" i="24"/>
  <c r="C331" i="24"/>
  <c r="C332" i="24"/>
  <c r="C315" i="24"/>
  <c r="C268" i="24"/>
  <c r="C288" i="24" l="1"/>
  <c r="C229" i="24"/>
  <c r="C227" i="24"/>
  <c r="C219" i="24"/>
  <c r="C211" i="24"/>
  <c r="C216" i="24"/>
  <c r="C213" i="24"/>
  <c r="C250" i="24" l="1"/>
  <c r="C243" i="24"/>
  <c r="C240" i="24"/>
  <c r="C239" i="24"/>
  <c r="C195" i="24" l="1"/>
  <c r="C192" i="24"/>
  <c r="C191" i="24"/>
  <c r="C187" i="24"/>
  <c r="C186" i="24"/>
  <c r="P59" i="24" l="1"/>
  <c r="AP59" i="24"/>
  <c r="AR59" i="24"/>
  <c r="AE59" i="24"/>
  <c r="AC59" i="24"/>
  <c r="W59" i="24"/>
  <c r="Y59" i="24"/>
  <c r="X59" i="24"/>
  <c r="U59" i="24"/>
  <c r="F59" i="24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AE14" i="31" s="1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AE22" i="31" s="1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E30" i="31" s="1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I90" i="32" l="1"/>
  <c r="F218" i="32"/>
  <c r="C154" i="32"/>
  <c r="H90" i="32"/>
  <c r="AU48" i="24"/>
  <c r="AU62" i="24" s="1"/>
  <c r="H46" i="31" s="1"/>
  <c r="G48" i="24"/>
  <c r="G62" i="24" s="1"/>
  <c r="G12" i="32" s="1"/>
  <c r="W48" i="24"/>
  <c r="W62" i="24" s="1"/>
  <c r="H22" i="31" s="1"/>
  <c r="BK48" i="24"/>
  <c r="BK62" i="24" s="1"/>
  <c r="H48" i="24"/>
  <c r="H62" i="24" s="1"/>
  <c r="H12" i="32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H48" i="31" s="1"/>
  <c r="J48" i="24"/>
  <c r="J62" i="24" s="1"/>
  <c r="R48" i="24"/>
  <c r="R62" i="24" s="1"/>
  <c r="H17" i="31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C300" i="32" s="1"/>
  <c r="BV48" i="24"/>
  <c r="BV62" i="24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C12" i="32" s="1"/>
  <c r="K48" i="24"/>
  <c r="K62" i="24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D300" i="32" s="1"/>
  <c r="BW48" i="24"/>
  <c r="BW62" i="24" s="1"/>
  <c r="I48" i="24"/>
  <c r="I62" i="24" s="1"/>
  <c r="I12" i="32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35" i="31" s="1"/>
  <c r="AR48" i="24"/>
  <c r="AR62" i="24" s="1"/>
  <c r="AZ48" i="24"/>
  <c r="AZ62" i="24" s="1"/>
  <c r="C236" i="32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H4" i="31" s="1"/>
  <c r="M48" i="24"/>
  <c r="M62" i="24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63" i="31"/>
  <c r="H268" i="32"/>
  <c r="E32" i="6"/>
  <c r="H73" i="31"/>
  <c r="D332" i="32"/>
  <c r="H74" i="31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H10" i="31"/>
  <c r="D44" i="32"/>
  <c r="O14" i="31"/>
  <c r="H51" i="32"/>
  <c r="O38" i="31"/>
  <c r="D179" i="32"/>
  <c r="O78" i="31"/>
  <c r="I339" i="32"/>
  <c r="H12" i="31"/>
  <c r="F44" i="32"/>
  <c r="G332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D204" i="32"/>
  <c r="D22" i="7"/>
  <c r="D258" i="24"/>
  <c r="H43" i="31"/>
  <c r="I172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9" i="31"/>
  <c r="C44" i="32"/>
  <c r="H62" i="31"/>
  <c r="G268" i="32"/>
  <c r="O10" i="31"/>
  <c r="D51" i="32"/>
  <c r="O26" i="31"/>
  <c r="F115" i="32"/>
  <c r="O34" i="31"/>
  <c r="G147" i="32"/>
  <c r="O50" i="31"/>
  <c r="I211" i="32"/>
  <c r="O66" i="31"/>
  <c r="D30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367" i="24"/>
  <c r="AC49" i="25"/>
  <c r="AC63" i="25" s="1"/>
  <c r="E234" i="25"/>
  <c r="CE70" i="25"/>
  <c r="D342" i="25"/>
  <c r="D351" i="25" s="1"/>
  <c r="BX52" i="24" l="1"/>
  <c r="BX67" i="24" s="1"/>
  <c r="M75" i="31" s="1"/>
  <c r="L52" i="24"/>
  <c r="L67" i="24" s="1"/>
  <c r="AV52" i="24"/>
  <c r="AV67" i="24" s="1"/>
  <c r="AV85" i="24" s="1"/>
  <c r="C60" i="15" s="1"/>
  <c r="X52" i="24"/>
  <c r="X67" i="24" s="1"/>
  <c r="H23" i="31"/>
  <c r="E76" i="32"/>
  <c r="H51" i="31"/>
  <c r="H39" i="31"/>
  <c r="H8" i="31"/>
  <c r="H7" i="31"/>
  <c r="D76" i="32"/>
  <c r="E236" i="32"/>
  <c r="H66" i="31"/>
  <c r="H65" i="31"/>
  <c r="G204" i="32"/>
  <c r="G236" i="32"/>
  <c r="H2" i="31"/>
  <c r="G76" i="32"/>
  <c r="H71" i="31"/>
  <c r="E12" i="32"/>
  <c r="H140" i="32"/>
  <c r="I76" i="32"/>
  <c r="F300" i="32"/>
  <c r="H37" i="31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AL53" i="25"/>
  <c r="AL68" i="25" s="1"/>
  <c r="AL86" i="25" s="1"/>
  <c r="AD53" i="25"/>
  <c r="AD68" i="25" s="1"/>
  <c r="AD86" i="25" s="1"/>
  <c r="V53" i="25"/>
  <c r="V68" i="25" s="1"/>
  <c r="V86" i="25" s="1"/>
  <c r="N53" i="25"/>
  <c r="N68" i="25" s="1"/>
  <c r="N86" i="25" s="1"/>
  <c r="F53" i="25"/>
  <c r="F68" i="25" s="1"/>
  <c r="F86" i="25" s="1"/>
  <c r="CC53" i="25"/>
  <c r="CC68" i="25" s="1"/>
  <c r="CC86" i="25" s="1"/>
  <c r="AG53" i="25"/>
  <c r="AG68" i="25" s="1"/>
  <c r="AG86" i="25" s="1"/>
  <c r="Q53" i="25"/>
  <c r="Q68" i="25" s="1"/>
  <c r="Q86" i="25" s="1"/>
  <c r="CB53" i="25"/>
  <c r="CB68" i="25" s="1"/>
  <c r="CB86" i="25" s="1"/>
  <c r="BL53" i="25"/>
  <c r="BL68" i="25" s="1"/>
  <c r="BL86" i="25" s="1"/>
  <c r="BD53" i="25"/>
  <c r="BD68" i="25" s="1"/>
  <c r="BD86" i="25" s="1"/>
  <c r="AN53" i="25"/>
  <c r="AN68" i="25" s="1"/>
  <c r="AN86" i="25" s="1"/>
  <c r="X53" i="25"/>
  <c r="X68" i="25" s="1"/>
  <c r="X86" i="25" s="1"/>
  <c r="CA53" i="25"/>
  <c r="CA68" i="25" s="1"/>
  <c r="CA86" i="25" s="1"/>
  <c r="BK53" i="25"/>
  <c r="BK68" i="25" s="1"/>
  <c r="BK86" i="25" s="1"/>
  <c r="BC53" i="25"/>
  <c r="BC68" i="25" s="1"/>
  <c r="BC86" i="25" s="1"/>
  <c r="AU53" i="25"/>
  <c r="AU68" i="25" s="1"/>
  <c r="AU86" i="25" s="1"/>
  <c r="AE53" i="25"/>
  <c r="AE68" i="25" s="1"/>
  <c r="AE86" i="25" s="1"/>
  <c r="O53" i="25"/>
  <c r="O68" i="25" s="1"/>
  <c r="O86" i="25" s="1"/>
  <c r="BY53" i="25"/>
  <c r="BY68" i="25" s="1"/>
  <c r="BY86" i="25" s="1"/>
  <c r="BQ53" i="25"/>
  <c r="BQ68" i="25" s="1"/>
  <c r="BQ86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U86" i="25" s="1"/>
  <c r="M53" i="25"/>
  <c r="M68" i="25" s="1"/>
  <c r="M86" i="25" s="1"/>
  <c r="E53" i="25"/>
  <c r="E68" i="25" s="1"/>
  <c r="E86" i="25" s="1"/>
  <c r="BM53" i="25"/>
  <c r="BM68" i="25" s="1"/>
  <c r="BM86" i="25" s="1"/>
  <c r="AW53" i="25"/>
  <c r="AW68" i="25" s="1"/>
  <c r="AW86" i="25" s="1"/>
  <c r="C632" i="25" s="1"/>
  <c r="AO53" i="25"/>
  <c r="AO68" i="25" s="1"/>
  <c r="AO86" i="25" s="1"/>
  <c r="Y53" i="25"/>
  <c r="Y68" i="25" s="1"/>
  <c r="Y86" i="25" s="1"/>
  <c r="I53" i="25"/>
  <c r="I68" i="25" s="1"/>
  <c r="I86" i="25" s="1"/>
  <c r="BT53" i="25"/>
  <c r="BT68" i="25" s="1"/>
  <c r="BT86" i="25" s="1"/>
  <c r="AV53" i="25"/>
  <c r="AV68" i="25" s="1"/>
  <c r="AV86" i="25" s="1"/>
  <c r="AF53" i="25"/>
  <c r="AF68" i="25" s="1"/>
  <c r="AF86" i="25" s="1"/>
  <c r="H53" i="25"/>
  <c r="H68" i="25" s="1"/>
  <c r="H86" i="25" s="1"/>
  <c r="BS53" i="25"/>
  <c r="BS68" i="25" s="1"/>
  <c r="BS86" i="25" s="1"/>
  <c r="AM53" i="25"/>
  <c r="AM68" i="25" s="1"/>
  <c r="AM86" i="25" s="1"/>
  <c r="W53" i="25"/>
  <c r="W68" i="25" s="1"/>
  <c r="W86" i="25" s="1"/>
  <c r="C689" i="25" s="1"/>
  <c r="G53" i="25"/>
  <c r="G68" i="25" s="1"/>
  <c r="G86" i="25" s="1"/>
  <c r="BX53" i="25"/>
  <c r="BX68" i="25" s="1"/>
  <c r="BX86" i="25" s="1"/>
  <c r="C645" i="25" s="1"/>
  <c r="BP53" i="25"/>
  <c r="BP68" i="25" s="1"/>
  <c r="BP86" i="25" s="1"/>
  <c r="BH53" i="25"/>
  <c r="BH68" i="25" s="1"/>
  <c r="BH86" i="25" s="1"/>
  <c r="AZ53" i="25"/>
  <c r="AZ68" i="25" s="1"/>
  <c r="AZ86" i="25" s="1"/>
  <c r="AR53" i="25"/>
  <c r="AR68" i="25" s="1"/>
  <c r="AR86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BW53" i="25"/>
  <c r="BW68" i="25" s="1"/>
  <c r="BW86" i="25" s="1"/>
  <c r="BO53" i="25"/>
  <c r="BO68" i="25" s="1"/>
  <c r="BO86" i="25" s="1"/>
  <c r="BG53" i="25"/>
  <c r="BG68" i="25" s="1"/>
  <c r="BG86" i="25" s="1"/>
  <c r="AY53" i="25"/>
  <c r="AY68" i="25" s="1"/>
  <c r="AY86" i="25" s="1"/>
  <c r="AQ53" i="25"/>
  <c r="AQ68" i="25" s="1"/>
  <c r="AQ86" i="25" s="1"/>
  <c r="AI53" i="25"/>
  <c r="AI68" i="25" s="1"/>
  <c r="AI86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BE53" i="25"/>
  <c r="BE68" i="25" s="1"/>
  <c r="BE86" i="25" s="1"/>
  <c r="C615" i="25" s="1"/>
  <c r="P53" i="25"/>
  <c r="P68" i="25" s="1"/>
  <c r="P86" i="25" s="1"/>
  <c r="CD53" i="25"/>
  <c r="BV53" i="25"/>
  <c r="BV68" i="25" s="1"/>
  <c r="BV86" i="25" s="1"/>
  <c r="BN53" i="25"/>
  <c r="BN68" i="25" s="1"/>
  <c r="BN86" i="25" s="1"/>
  <c r="B78" i="1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C700" i="25" s="1"/>
  <c r="Z53" i="25"/>
  <c r="Z68" i="25" s="1"/>
  <c r="Z86" i="25" s="1"/>
  <c r="R53" i="25"/>
  <c r="R68" i="25" s="1"/>
  <c r="R86" i="25" s="1"/>
  <c r="J53" i="25"/>
  <c r="J68" i="25" s="1"/>
  <c r="J86" i="25" s="1"/>
  <c r="BU53" i="25"/>
  <c r="BU68" i="25" s="1"/>
  <c r="BU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D350" i="24"/>
  <c r="M79" i="31"/>
  <c r="C369" i="32"/>
  <c r="CB85" i="24"/>
  <c r="M47" i="31"/>
  <c r="F209" i="32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50" i="8"/>
  <c r="D352" i="24"/>
  <c r="C103" i="8" s="1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121" i="8"/>
  <c r="D384" i="24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M23" i="31"/>
  <c r="C113" i="32"/>
  <c r="CE49" i="25"/>
  <c r="C63" i="25"/>
  <c r="Y52" i="24"/>
  <c r="Y67" i="24" s="1"/>
  <c r="BN52" i="24"/>
  <c r="BN67" i="24" s="1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M11" i="31"/>
  <c r="E49" i="32"/>
  <c r="AQ52" i="24"/>
  <c r="AQ67" i="24" s="1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F337" i="32" l="1"/>
  <c r="BX85" i="24"/>
  <c r="C88" i="15" s="1"/>
  <c r="G88" i="15" s="1"/>
  <c r="S85" i="24"/>
  <c r="E85" i="32" s="1"/>
  <c r="E85" i="24"/>
  <c r="C17" i="15" s="1"/>
  <c r="G17" i="15" s="1"/>
  <c r="E17" i="32"/>
  <c r="M61" i="31"/>
  <c r="C710" i="25"/>
  <c r="B56" i="15"/>
  <c r="C620" i="25"/>
  <c r="B69" i="15"/>
  <c r="C625" i="25"/>
  <c r="B68" i="15"/>
  <c r="C688" i="25"/>
  <c r="B34" i="15"/>
  <c r="F34" i="15" s="1"/>
  <c r="B89" i="15"/>
  <c r="F89" i="15" s="1"/>
  <c r="C646" i="25"/>
  <c r="C693" i="25"/>
  <c r="B39" i="15"/>
  <c r="F39" i="15" s="1"/>
  <c r="B86" i="15"/>
  <c r="C643" i="25"/>
  <c r="B19" i="15"/>
  <c r="H19" i="15" s="1"/>
  <c r="I19" i="15" s="1"/>
  <c r="C673" i="25"/>
  <c r="C697" i="25"/>
  <c r="B43" i="15"/>
  <c r="F43" i="15" s="1"/>
  <c r="C638" i="25"/>
  <c r="B76" i="15"/>
  <c r="F76" i="15" s="1"/>
  <c r="C696" i="25"/>
  <c r="B42" i="15"/>
  <c r="F42" i="15" s="1"/>
  <c r="C714" i="25"/>
  <c r="B60" i="15"/>
  <c r="B27" i="15"/>
  <c r="C681" i="25"/>
  <c r="C709" i="25"/>
  <c r="B55" i="15"/>
  <c r="F55" i="15" s="1"/>
  <c r="C694" i="25"/>
  <c r="B40" i="15"/>
  <c r="F40" i="15" s="1"/>
  <c r="C691" i="25"/>
  <c r="B37" i="15"/>
  <c r="F37" i="15" s="1"/>
  <c r="B49" i="15"/>
  <c r="F49" i="15" s="1"/>
  <c r="C703" i="25"/>
  <c r="C713" i="25"/>
  <c r="B59" i="15"/>
  <c r="H59" i="15" s="1"/>
  <c r="I59" i="15" s="1"/>
  <c r="C623" i="25"/>
  <c r="B92" i="15"/>
  <c r="F92" i="15" s="1"/>
  <c r="C704" i="25"/>
  <c r="B50" i="15"/>
  <c r="F50" i="15" s="1"/>
  <c r="C630" i="25"/>
  <c r="B70" i="15"/>
  <c r="F70" i="15" s="1"/>
  <c r="C647" i="25"/>
  <c r="B90" i="15"/>
  <c r="F90" i="15" s="1"/>
  <c r="C678" i="25"/>
  <c r="B24" i="15"/>
  <c r="H24" i="15" s="1"/>
  <c r="I24" i="15" s="1"/>
  <c r="C676" i="25"/>
  <c r="B22" i="15"/>
  <c r="H22" i="15" s="1"/>
  <c r="I22" i="15" s="1"/>
  <c r="C695" i="25"/>
  <c r="B41" i="15"/>
  <c r="F41" i="15" s="1"/>
  <c r="C692" i="25"/>
  <c r="B38" i="15"/>
  <c r="F38" i="15" s="1"/>
  <c r="C682" i="25"/>
  <c r="B28" i="15"/>
  <c r="C626" i="25"/>
  <c r="B63" i="15"/>
  <c r="F63" i="15" s="1"/>
  <c r="B48" i="15"/>
  <c r="F48" i="15" s="1"/>
  <c r="C702" i="25"/>
  <c r="C705" i="25"/>
  <c r="B51" i="15"/>
  <c r="F51" i="15" s="1"/>
  <c r="B53" i="15"/>
  <c r="F53" i="15" s="1"/>
  <c r="C707" i="25"/>
  <c r="C711" i="25"/>
  <c r="B57" i="15"/>
  <c r="F57" i="15" s="1"/>
  <c r="C634" i="25"/>
  <c r="B67" i="15"/>
  <c r="C683" i="25"/>
  <c r="B29" i="15"/>
  <c r="F29" i="15" s="1"/>
  <c r="B58" i="15"/>
  <c r="F58" i="15" s="1"/>
  <c r="C712" i="25"/>
  <c r="C622" i="25"/>
  <c r="B80" i="15"/>
  <c r="C680" i="25"/>
  <c r="B26" i="15"/>
  <c r="H26" i="15" s="1"/>
  <c r="I26" i="15" s="1"/>
  <c r="B84" i="15"/>
  <c r="H84" i="15" s="1"/>
  <c r="I84" i="15" s="1"/>
  <c r="C641" i="25"/>
  <c r="C701" i="25"/>
  <c r="B47" i="15"/>
  <c r="F47" i="15" s="1"/>
  <c r="B30" i="15"/>
  <c r="C684" i="25"/>
  <c r="C619" i="25"/>
  <c r="B71" i="15"/>
  <c r="F71" i="15" s="1"/>
  <c r="C640" i="25"/>
  <c r="B83" i="15"/>
  <c r="F83" i="15" s="1"/>
  <c r="C631" i="25"/>
  <c r="B65" i="15"/>
  <c r="F65" i="15" s="1"/>
  <c r="C636" i="25"/>
  <c r="B75" i="15"/>
  <c r="F75" i="15" s="1"/>
  <c r="C699" i="25"/>
  <c r="B45" i="15"/>
  <c r="F45" i="15" s="1"/>
  <c r="C633" i="25"/>
  <c r="B66" i="15"/>
  <c r="C670" i="25"/>
  <c r="B16" i="15"/>
  <c r="H16" i="15" s="1"/>
  <c r="I16" i="15" s="1"/>
  <c r="B52" i="15"/>
  <c r="F52" i="15" s="1"/>
  <c r="C706" i="25"/>
  <c r="C687" i="25"/>
  <c r="B33" i="15"/>
  <c r="F33" i="15" s="1"/>
  <c r="B21" i="15"/>
  <c r="H21" i="15" s="1"/>
  <c r="I21" i="15" s="1"/>
  <c r="C675" i="25"/>
  <c r="C628" i="25"/>
  <c r="B79" i="15"/>
  <c r="F79" i="15" s="1"/>
  <c r="C629" i="25"/>
  <c r="B64" i="15"/>
  <c r="F64" i="15" s="1"/>
  <c r="C674" i="25"/>
  <c r="B20" i="15"/>
  <c r="C639" i="25"/>
  <c r="B77" i="15"/>
  <c r="F77" i="15" s="1"/>
  <c r="C635" i="25"/>
  <c r="B73" i="15"/>
  <c r="B91" i="15"/>
  <c r="F91" i="15" s="1"/>
  <c r="C648" i="25"/>
  <c r="C621" i="25"/>
  <c r="B93" i="15"/>
  <c r="F93" i="15" s="1"/>
  <c r="C618" i="25"/>
  <c r="B74" i="15"/>
  <c r="C685" i="25"/>
  <c r="B31" i="15"/>
  <c r="F31" i="15" s="1"/>
  <c r="C679" i="25"/>
  <c r="B25" i="15"/>
  <c r="H25" i="15" s="1"/>
  <c r="I25" i="15" s="1"/>
  <c r="C642" i="25"/>
  <c r="B85" i="15"/>
  <c r="F85" i="15" s="1"/>
  <c r="B32" i="15"/>
  <c r="F32" i="15" s="1"/>
  <c r="C686" i="25"/>
  <c r="B62" i="15"/>
  <c r="C617" i="25"/>
  <c r="B23" i="15"/>
  <c r="F23" i="15" s="1"/>
  <c r="C677" i="25"/>
  <c r="C644" i="25"/>
  <c r="B87" i="15"/>
  <c r="H87" i="15" s="1"/>
  <c r="I87" i="15" s="1"/>
  <c r="C637" i="25"/>
  <c r="B72" i="15"/>
  <c r="F72" i="15" s="1"/>
  <c r="C698" i="25"/>
  <c r="B44" i="15"/>
  <c r="F44" i="15" s="1"/>
  <c r="C671" i="25"/>
  <c r="B17" i="15"/>
  <c r="F17" i="15" s="1"/>
  <c r="C624" i="25"/>
  <c r="B81" i="15"/>
  <c r="F81" i="15" s="1"/>
  <c r="B36" i="15"/>
  <c r="F36" i="15" s="1"/>
  <c r="C690" i="25"/>
  <c r="C672" i="25"/>
  <c r="B18" i="15"/>
  <c r="C627" i="25"/>
  <c r="B82" i="15"/>
  <c r="F82" i="15" s="1"/>
  <c r="B35" i="15"/>
  <c r="F35" i="15" s="1"/>
  <c r="B61" i="15"/>
  <c r="C68" i="25"/>
  <c r="CE68" i="25" s="1"/>
  <c r="CE53" i="25"/>
  <c r="B88" i="15"/>
  <c r="F88" i="15" s="1"/>
  <c r="B46" i="15"/>
  <c r="F46" i="15" s="1"/>
  <c r="B54" i="15"/>
  <c r="F54" i="15" s="1"/>
  <c r="M63" i="31"/>
  <c r="BL85" i="24"/>
  <c r="C637" i="24" s="1"/>
  <c r="M22" i="31"/>
  <c r="AD85" i="24"/>
  <c r="C42" i="15" s="1"/>
  <c r="G42" i="15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M6" i="31"/>
  <c r="G17" i="32"/>
  <c r="G85" i="24"/>
  <c r="M54" i="31"/>
  <c r="F241" i="32"/>
  <c r="BC85" i="24"/>
  <c r="M80" i="31"/>
  <c r="D369" i="32"/>
  <c r="CC85" i="24"/>
  <c r="E53" i="32"/>
  <c r="C24" i="15"/>
  <c r="G24" i="15" s="1"/>
  <c r="C677" i="24"/>
  <c r="M21" i="31"/>
  <c r="H81" i="32"/>
  <c r="V85" i="24"/>
  <c r="M28" i="31"/>
  <c r="H113" i="32"/>
  <c r="AC85" i="24"/>
  <c r="M69" i="31"/>
  <c r="G305" i="32"/>
  <c r="BR85" i="24"/>
  <c r="M35" i="31"/>
  <c r="H145" i="32"/>
  <c r="AJ85" i="24"/>
  <c r="M16" i="31"/>
  <c r="C81" i="32"/>
  <c r="Q85" i="24"/>
  <c r="M59" i="31"/>
  <c r="D273" i="32"/>
  <c r="BH85" i="24"/>
  <c r="M60" i="31"/>
  <c r="E273" i="32"/>
  <c r="BI85" i="24"/>
  <c r="M32" i="31"/>
  <c r="E145" i="32"/>
  <c r="AG85" i="24"/>
  <c r="M68" i="31"/>
  <c r="F305" i="32"/>
  <c r="BQ85" i="24"/>
  <c r="F56" i="15"/>
  <c r="F28" i="15"/>
  <c r="M76" i="31"/>
  <c r="G337" i="32"/>
  <c r="BY85" i="24"/>
  <c r="M31" i="31"/>
  <c r="D145" i="32"/>
  <c r="AF85" i="24"/>
  <c r="M45" i="31"/>
  <c r="D209" i="32"/>
  <c r="AT85" i="24"/>
  <c r="M19" i="31"/>
  <c r="F81" i="32"/>
  <c r="T85" i="24"/>
  <c r="M17" i="31"/>
  <c r="D81" i="32"/>
  <c r="R85" i="24"/>
  <c r="F78" i="15"/>
  <c r="M5" i="31"/>
  <c r="F17" i="32"/>
  <c r="F85" i="24"/>
  <c r="M12" i="31"/>
  <c r="F49" i="32"/>
  <c r="M85" i="24"/>
  <c r="C138" i="8"/>
  <c r="D417" i="24"/>
  <c r="M38" i="31"/>
  <c r="D177" i="32"/>
  <c r="AM85" i="24"/>
  <c r="M43" i="31"/>
  <c r="I177" i="32"/>
  <c r="AR85" i="24"/>
  <c r="M65" i="31"/>
  <c r="C305" i="32"/>
  <c r="BN85" i="24"/>
  <c r="M30" i="31"/>
  <c r="C145" i="32"/>
  <c r="AE85" i="24"/>
  <c r="M3" i="31"/>
  <c r="D17" i="32"/>
  <c r="D85" i="24"/>
  <c r="M66" i="31"/>
  <c r="D305" i="32"/>
  <c r="BO85" i="24"/>
  <c r="M53" i="31"/>
  <c r="E241" i="32"/>
  <c r="BB85" i="24"/>
  <c r="C67" i="24"/>
  <c r="CE52" i="24"/>
  <c r="M62" i="31"/>
  <c r="G273" i="32"/>
  <c r="BK85" i="24"/>
  <c r="M50" i="31"/>
  <c r="I209" i="32"/>
  <c r="AY85" i="24"/>
  <c r="G94" i="15"/>
  <c r="H94" i="15" s="1"/>
  <c r="I94" i="15" s="1"/>
  <c r="M15" i="31"/>
  <c r="I49" i="32"/>
  <c r="P85" i="24"/>
  <c r="M49" i="31"/>
  <c r="H209" i="32"/>
  <c r="AX85" i="24"/>
  <c r="M52" i="31"/>
  <c r="D241" i="32"/>
  <c r="BA85" i="24"/>
  <c r="M57" i="31"/>
  <c r="I241" i="32"/>
  <c r="BF85" i="24"/>
  <c r="F86" i="15"/>
  <c r="M24" i="31"/>
  <c r="D113" i="32"/>
  <c r="Y85" i="24"/>
  <c r="M40" i="31"/>
  <c r="F177" i="32"/>
  <c r="AO85" i="24"/>
  <c r="M39" i="31"/>
  <c r="E177" i="32"/>
  <c r="AN85" i="24"/>
  <c r="M26" i="31"/>
  <c r="F113" i="32"/>
  <c r="AA85" i="24"/>
  <c r="M25" i="31"/>
  <c r="E113" i="32"/>
  <c r="Z85" i="24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M72" i="31"/>
  <c r="C337" i="32"/>
  <c r="BU85" i="24"/>
  <c r="M51" i="31"/>
  <c r="C241" i="32"/>
  <c r="AZ85" i="24"/>
  <c r="M58" i="31"/>
  <c r="C273" i="32"/>
  <c r="BG85" i="24"/>
  <c r="M42" i="31"/>
  <c r="H177" i="32"/>
  <c r="AQ85" i="24"/>
  <c r="F73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H44" i="15"/>
  <c r="I44" i="15" s="1"/>
  <c r="C86" i="25"/>
  <c r="CE63" i="25"/>
  <c r="M9" i="31"/>
  <c r="C49" i="32"/>
  <c r="J85" i="24"/>
  <c r="M36" i="31"/>
  <c r="I145" i="32"/>
  <c r="AK85" i="24"/>
  <c r="M34" i="31"/>
  <c r="G145" i="32"/>
  <c r="AI85" i="24"/>
  <c r="M44" i="31"/>
  <c r="C209" i="32"/>
  <c r="AS85" i="24"/>
  <c r="D616" i="25"/>
  <c r="M8" i="31"/>
  <c r="I17" i="32"/>
  <c r="I85" i="24"/>
  <c r="C92" i="15"/>
  <c r="G92" i="15" s="1"/>
  <c r="C373" i="32"/>
  <c r="C622" i="24"/>
  <c r="F341" i="32" l="1"/>
  <c r="E21" i="32"/>
  <c r="C670" i="24"/>
  <c r="C644" i="24"/>
  <c r="C684" i="24"/>
  <c r="C31" i="15"/>
  <c r="G31" i="15" s="1"/>
  <c r="H31" i="15" s="1"/>
  <c r="I31" i="15" s="1"/>
  <c r="I117" i="32"/>
  <c r="C695" i="24"/>
  <c r="C74" i="15"/>
  <c r="G74" i="15" s="1"/>
  <c r="H277" i="32"/>
  <c r="H36" i="15"/>
  <c r="I36" i="15" s="1"/>
  <c r="H27" i="15"/>
  <c r="I27" i="15" s="1"/>
  <c r="H47" i="15"/>
  <c r="I47" i="15" s="1"/>
  <c r="H23" i="15"/>
  <c r="I23" i="15" s="1"/>
  <c r="F18" i="15"/>
  <c r="H53" i="15"/>
  <c r="I53" i="15" s="1"/>
  <c r="F16" i="15"/>
  <c r="H52" i="15"/>
  <c r="I52" i="15" s="1"/>
  <c r="F30" i="15"/>
  <c r="H46" i="15"/>
  <c r="I46" i="15" s="1"/>
  <c r="F74" i="15"/>
  <c r="F59" i="15"/>
  <c r="H54" i="15"/>
  <c r="I54" i="15" s="1"/>
  <c r="H57" i="15"/>
  <c r="I57" i="15" s="1"/>
  <c r="F19" i="15"/>
  <c r="H81" i="15"/>
  <c r="I81" i="15" s="1"/>
  <c r="F20" i="15"/>
  <c r="F87" i="15"/>
  <c r="C649" i="25"/>
  <c r="M717" i="25" s="1"/>
  <c r="F21" i="15"/>
  <c r="H85" i="15"/>
  <c r="I85" i="15" s="1"/>
  <c r="F26" i="15"/>
  <c r="F84" i="15"/>
  <c r="F27" i="15"/>
  <c r="F25" i="15"/>
  <c r="F80" i="15"/>
  <c r="H51" i="15"/>
  <c r="I51" i="15" s="1"/>
  <c r="H77" i="15"/>
  <c r="I77" i="15" s="1"/>
  <c r="F22" i="15"/>
  <c r="H55" i="15"/>
  <c r="I55" i="15" s="1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50" i="15"/>
  <c r="I50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D309" i="32"/>
  <c r="C627" i="24"/>
  <c r="C79" i="15"/>
  <c r="G79" i="15" s="1"/>
  <c r="G245" i="32"/>
  <c r="C68" i="15"/>
  <c r="G68" i="15" s="1"/>
  <c r="C624" i="24"/>
  <c r="H76" i="15" l="1"/>
  <c r="I76" i="15" s="1"/>
  <c r="H74" i="15"/>
  <c r="I74" i="15" s="1"/>
  <c r="H40" i="15"/>
  <c r="I40" i="15" s="1"/>
  <c r="H69" i="15"/>
  <c r="I69" i="15" s="1"/>
  <c r="H83" i="15"/>
  <c r="I83" i="15" s="1"/>
  <c r="H72" i="15"/>
  <c r="I72" i="15" s="1"/>
  <c r="H79" i="15"/>
  <c r="I79" i="15" s="1"/>
  <c r="H20" i="15"/>
  <c r="I20" i="15" s="1"/>
  <c r="H71" i="15"/>
  <c r="I71" i="15" s="1"/>
  <c r="H18" i="15"/>
  <c r="I18" i="15" s="1"/>
  <c r="H30" i="15"/>
  <c r="I30" i="15" s="1"/>
  <c r="H91" i="15"/>
  <c r="I91" i="15" s="1"/>
  <c r="H80" i="15"/>
  <c r="I80" i="15" s="1"/>
  <c r="C648" i="24"/>
  <c r="M716" i="24" s="1"/>
  <c r="G32" i="15"/>
  <c r="H32" i="15" s="1"/>
  <c r="I32" i="15" s="1"/>
  <c r="G38" i="15"/>
  <c r="H38" i="15" s="1"/>
  <c r="I38" i="15" s="1"/>
  <c r="G28" i="15"/>
  <c r="H28" i="15" s="1"/>
  <c r="G34" i="15"/>
  <c r="H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G82" i="15"/>
  <c r="H82" i="15" s="1"/>
  <c r="I82" i="15" s="1"/>
  <c r="F15" i="15"/>
  <c r="G90" i="15"/>
  <c r="H90" i="15" s="1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 s="1"/>
  <c r="G64" i="15"/>
  <c r="H64" i="15" s="1"/>
  <c r="I64" i="15" s="1"/>
  <c r="E613" i="25"/>
  <c r="G43" i="15"/>
  <c r="H43" i="15" s="1"/>
  <c r="I43" i="15" s="1"/>
  <c r="H15" i="15" l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J699" i="24"/>
  <c r="J690" i="24"/>
  <c r="J681" i="24"/>
  <c r="J685" i="24"/>
  <c r="J676" i="24"/>
  <c r="J674" i="24"/>
  <c r="J646" i="24"/>
  <c r="J716" i="24"/>
  <c r="J670" i="24"/>
  <c r="J701" i="24"/>
  <c r="J680" i="24"/>
  <c r="L647" i="24" l="1"/>
  <c r="L708" i="24" s="1"/>
  <c r="L687" i="25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J715" i="24"/>
  <c r="K710" i="25"/>
  <c r="M710" i="25" s="1"/>
  <c r="K702" i="25"/>
  <c r="K694" i="25"/>
  <c r="K686" i="25"/>
  <c r="K707" i="25"/>
  <c r="M707" i="25" s="1"/>
  <c r="K699" i="25"/>
  <c r="M699" i="25" s="1"/>
  <c r="K691" i="25"/>
  <c r="M691" i="25" s="1"/>
  <c r="K683" i="25"/>
  <c r="M683" i="25" s="1"/>
  <c r="K712" i="25"/>
  <c r="K704" i="25"/>
  <c r="K696" i="25"/>
  <c r="K688" i="25"/>
  <c r="K680" i="25"/>
  <c r="M680" i="25" s="1"/>
  <c r="K709" i="25"/>
  <c r="K701" i="25"/>
  <c r="M701" i="25" s="1"/>
  <c r="K693" i="25"/>
  <c r="K685" i="25"/>
  <c r="M685" i="25" s="1"/>
  <c r="K717" i="25"/>
  <c r="K708" i="25"/>
  <c r="K700" i="25"/>
  <c r="M700" i="25" s="1"/>
  <c r="K692" i="25"/>
  <c r="M692" i="25" s="1"/>
  <c r="K684" i="25"/>
  <c r="K714" i="25"/>
  <c r="K689" i="25"/>
  <c r="K687" i="25"/>
  <c r="M687" i="25" s="1"/>
  <c r="K678" i="25"/>
  <c r="K670" i="25"/>
  <c r="M670" i="25" s="1"/>
  <c r="K706" i="25"/>
  <c r="K681" i="25"/>
  <c r="K675" i="25"/>
  <c r="M675" i="25" s="1"/>
  <c r="K698" i="25"/>
  <c r="M698" i="25" s="1"/>
  <c r="K672" i="25"/>
  <c r="K690" i="25"/>
  <c r="M690" i="25" s="1"/>
  <c r="K677" i="25"/>
  <c r="M677" i="25" s="1"/>
  <c r="K669" i="25"/>
  <c r="K682" i="25"/>
  <c r="K674" i="25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L710" i="24" l="1"/>
  <c r="L697" i="24"/>
  <c r="L673" i="24"/>
  <c r="L682" i="24"/>
  <c r="L670" i="24"/>
  <c r="L687" i="24"/>
  <c r="L713" i="24"/>
  <c r="L668" i="24"/>
  <c r="L690" i="24"/>
  <c r="L686" i="24"/>
  <c r="L683" i="24"/>
  <c r="L672" i="24"/>
  <c r="L701" i="24"/>
  <c r="L706" i="24"/>
  <c r="L711" i="24"/>
  <c r="L676" i="24"/>
  <c r="L669" i="24"/>
  <c r="L689" i="24"/>
  <c r="L685" i="24"/>
  <c r="L681" i="24"/>
  <c r="L678" i="24"/>
  <c r="L694" i="24"/>
  <c r="L702" i="24"/>
  <c r="L707" i="24"/>
  <c r="L695" i="24"/>
  <c r="L698" i="24"/>
  <c r="L671" i="24"/>
  <c r="L693" i="24"/>
  <c r="L684" i="24"/>
  <c r="L699" i="24"/>
  <c r="L677" i="24"/>
  <c r="L680" i="24"/>
  <c r="L679" i="24"/>
  <c r="L703" i="24"/>
  <c r="L691" i="24"/>
  <c r="L692" i="24"/>
  <c r="L688" i="24"/>
  <c r="L675" i="24"/>
  <c r="L712" i="24"/>
  <c r="L709" i="24"/>
  <c r="L705" i="24"/>
  <c r="L674" i="24"/>
  <c r="L696" i="24"/>
  <c r="L704" i="24"/>
  <c r="L716" i="24"/>
  <c r="L700" i="24"/>
  <c r="M686" i="25"/>
  <c r="M706" i="25"/>
  <c r="M697" i="25"/>
  <c r="M708" i="25"/>
  <c r="M694" i="25"/>
  <c r="M684" i="25"/>
  <c r="M704" i="25"/>
  <c r="M672" i="25"/>
  <c r="M681" i="25"/>
  <c r="M689" i="25"/>
  <c r="M693" i="25"/>
  <c r="M674" i="25"/>
  <c r="M696" i="25"/>
  <c r="M714" i="25"/>
  <c r="M678" i="25"/>
  <c r="M702" i="25"/>
  <c r="M682" i="25"/>
  <c r="L716" i="25"/>
  <c r="M709" i="25"/>
  <c r="M712" i="25"/>
  <c r="K713" i="24"/>
  <c r="K703" i="24"/>
  <c r="K695" i="24"/>
  <c r="K712" i="24"/>
  <c r="K711" i="24"/>
  <c r="M711" i="24" s="1"/>
  <c r="D215" i="32" s="1"/>
  <c r="K707" i="24"/>
  <c r="K699" i="24"/>
  <c r="K691" i="24"/>
  <c r="K683" i="24"/>
  <c r="M683" i="24" s="1"/>
  <c r="D87" i="32" s="1"/>
  <c r="K694" i="24"/>
  <c r="K689" i="24"/>
  <c r="K684" i="24"/>
  <c r="K679" i="24"/>
  <c r="K672" i="24"/>
  <c r="M672" i="24" s="1"/>
  <c r="G23" i="32" s="1"/>
  <c r="K693" i="24"/>
  <c r="K688" i="24"/>
  <c r="K669" i="24"/>
  <c r="K716" i="24"/>
  <c r="K678" i="24"/>
  <c r="M678" i="24" s="1"/>
  <c r="F55" i="32" s="1"/>
  <c r="K674" i="24"/>
  <c r="K708" i="24"/>
  <c r="M708" i="24" s="1"/>
  <c r="H183" i="32" s="1"/>
  <c r="K668" i="24"/>
  <c r="K701" i="24"/>
  <c r="K706" i="24"/>
  <c r="K705" i="24"/>
  <c r="K704" i="24"/>
  <c r="M704" i="24" s="1"/>
  <c r="D183" i="32" s="1"/>
  <c r="K686" i="24"/>
  <c r="K681" i="24"/>
  <c r="K676" i="24"/>
  <c r="K673" i="24"/>
  <c r="K709" i="24"/>
  <c r="K702" i="24"/>
  <c r="K700" i="24"/>
  <c r="K696" i="24"/>
  <c r="K677" i="24"/>
  <c r="K675" i="24"/>
  <c r="M675" i="24" s="1"/>
  <c r="C55" i="32" s="1"/>
  <c r="K671" i="24"/>
  <c r="K690" i="24"/>
  <c r="K692" i="24"/>
  <c r="K685" i="24"/>
  <c r="K710" i="24"/>
  <c r="K698" i="24"/>
  <c r="K687" i="24"/>
  <c r="K670" i="24"/>
  <c r="K680" i="24"/>
  <c r="K697" i="24"/>
  <c r="K682" i="24"/>
  <c r="K716" i="25"/>
  <c r="M669" i="25"/>
  <c r="M668" i="24" l="1"/>
  <c r="C23" i="32" s="1"/>
  <c r="M697" i="24"/>
  <c r="D151" i="32" s="1"/>
  <c r="M670" i="24"/>
  <c r="E23" i="32" s="1"/>
  <c r="M707" i="24"/>
  <c r="G183" i="32" s="1"/>
  <c r="L715" i="24"/>
  <c r="M682" i="24"/>
  <c r="C87" i="32" s="1"/>
  <c r="M710" i="24"/>
  <c r="C215" i="32" s="1"/>
  <c r="M681" i="24"/>
  <c r="I55" i="32" s="1"/>
  <c r="M705" i="24"/>
  <c r="E183" i="32" s="1"/>
  <c r="M674" i="24"/>
  <c r="I23" i="32" s="1"/>
  <c r="M689" i="24"/>
  <c r="C119" i="32" s="1"/>
  <c r="M686" i="24"/>
  <c r="G87" i="32" s="1"/>
  <c r="M698" i="24"/>
  <c r="E151" i="32" s="1"/>
  <c r="M669" i="24"/>
  <c r="D23" i="32" s="1"/>
  <c r="M692" i="24"/>
  <c r="F119" i="32" s="1"/>
  <c r="M684" i="24"/>
  <c r="E87" i="32" s="1"/>
  <c r="M701" i="24"/>
  <c r="H151" i="32" s="1"/>
  <c r="M694" i="24"/>
  <c r="H119" i="32" s="1"/>
  <c r="M703" i="24"/>
  <c r="C183" i="32" s="1"/>
  <c r="M687" i="24"/>
  <c r="H87" i="32" s="1"/>
  <c r="M700" i="24"/>
  <c r="G151" i="32" s="1"/>
  <c r="M706" i="24"/>
  <c r="F183" i="32" s="1"/>
  <c r="M693" i="24"/>
  <c r="G119" i="32" s="1"/>
  <c r="M712" i="24"/>
  <c r="E215" i="32" s="1"/>
  <c r="M677" i="24"/>
  <c r="E55" i="32" s="1"/>
  <c r="M713" i="24"/>
  <c r="F215" i="32" s="1"/>
  <c r="M702" i="24"/>
  <c r="I151" i="32" s="1"/>
  <c r="M688" i="24"/>
  <c r="I87" i="32" s="1"/>
  <c r="M709" i="24"/>
  <c r="I183" i="32" s="1"/>
  <c r="M699" i="24"/>
  <c r="F151" i="32" s="1"/>
  <c r="M673" i="24"/>
  <c r="H23" i="32" s="1"/>
  <c r="M680" i="24"/>
  <c r="H55" i="32" s="1"/>
  <c r="M671" i="24"/>
  <c r="F23" i="32" s="1"/>
  <c r="M676" i="24"/>
  <c r="D55" i="32" s="1"/>
  <c r="M679" i="24"/>
  <c r="G55" i="32" s="1"/>
  <c r="M690" i="24"/>
  <c r="D119" i="32" s="1"/>
  <c r="M695" i="24"/>
  <c r="I119" i="32" s="1"/>
  <c r="M696" i="24"/>
  <c r="C151" i="32" s="1"/>
  <c r="M685" i="24"/>
  <c r="F87" i="32" s="1"/>
  <c r="M691" i="24"/>
  <c r="E119" i="32" s="1"/>
  <c r="M716" i="25"/>
  <c r="K715" i="24"/>
  <c r="M715" i="24" l="1"/>
</calcChain>
</file>

<file path=xl/sharedStrings.xml><?xml version="1.0" encoding="utf-8"?>
<sst xmlns="http://schemas.openxmlformats.org/spreadsheetml/2006/main" count="5810" uniqueCount="1424">
  <si>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</si>
  <si>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</si>
  <si>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</si>
  <si>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</si>
  <si>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</si>
  <si>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</si>
  <si>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</si>
  <si>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</si>
  <si>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</si>
  <si>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</si>
  <si>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</si>
  <si>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</si>
  <si>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</si>
  <si>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</si>
  <si>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</si>
  <si>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</si>
  <si>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</si>
  <si>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</si>
  <si>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</si>
  <si>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</si>
  <si>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</si>
  <si>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</si>
  <si>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</si>
  <si>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</si>
  <si>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</si>
  <si>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</si>
  <si>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</si>
  <si>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</si>
  <si>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</si>
  <si>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</si>
  <si>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</si>
  <si>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</si>
  <si>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</si>
  <si>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</si>
  <si>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</si>
  <si>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</si>
  <si>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</si>
  <si>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</si>
  <si>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</si>
  <si>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</si>
  <si>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</si>
  <si>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</si>
  <si>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</si>
  <si>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</si>
  <si>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</si>
  <si>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</si>
  <si>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</si>
  <si>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</si>
  <si>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</si>
  <si>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</si>
  <si>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</si>
  <si>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</si>
  <si>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</si>
  <si>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</si>
  <si>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</si>
  <si>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</si>
  <si>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</si>
  <si>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</si>
  <si>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</si>
  <si>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</si>
  <si>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</si>
  <si>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</si>
  <si>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</si>
  <si>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</si>
  <si>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</si>
  <si>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</si>
  <si>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</si>
  <si>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</si>
  <si>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</si>
  <si>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</si>
  <si>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</si>
  <si>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</si>
  <si>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</si>
  <si>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</si>
  <si>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</si>
  <si>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</si>
  <si>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</si>
  <si>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</si>
  <si>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</si>
  <si>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</si>
  <si>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</si>
  <si>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</si>
  <si>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</si>
  <si>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</si>
  <si>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</si>
  <si>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</si>
  <si>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</si>
  <si>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</si>
  <si>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</si>
  <si>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</si>
  <si>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</si>
  <si>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</si>
  <si>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</si>
  <si>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</si>
  <si>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</si>
  <si>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</si>
  <si>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</si>
  <si>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</si>
  <si>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</si>
  <si>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</si>
  <si>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</si>
  <si>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</si>
  <si>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</si>
  <si>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</si>
  <si>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</si>
  <si>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</si>
  <si>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</si>
  <si>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</si>
  <si>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</si>
  <si>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</si>
  <si>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</si>
  <si>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</si>
  <si>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</si>
  <si>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</si>
  <si>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</si>
  <si>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</si>
  <si>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</si>
  <si>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</si>
  <si>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</si>
  <si>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</si>
  <si>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</si>
  <si>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</si>
  <si>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</si>
  <si>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</si>
  <si>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</si>
  <si>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</si>
  <si>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</si>
  <si>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</si>
  <si>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</si>
  <si>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</si>
  <si>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</si>
  <si>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</si>
  <si>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</si>
  <si>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</si>
  <si>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</si>
  <si>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</si>
  <si>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</si>
  <si>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</si>
  <si>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</si>
  <si>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</si>
  <si>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</si>
  <si>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</si>
  <si>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</si>
  <si>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</si>
  <si>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</si>
  <si>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</si>
  <si>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</si>
  <si>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</si>
  <si>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</si>
  <si>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</si>
  <si>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</si>
  <si>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</si>
  <si>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</si>
  <si>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</si>
  <si>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</si>
  <si>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</si>
  <si>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</si>
  <si>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</si>
  <si>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</si>
  <si>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</si>
  <si>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</si>
  <si>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</si>
  <si>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</si>
  <si>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</si>
  <si>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</si>
  <si>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</si>
  <si>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</si>
  <si>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</si>
  <si>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</si>
  <si>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</si>
  <si>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</si>
  <si>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</si>
  <si>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</si>
  <si>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</si>
  <si>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</si>
  <si>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</si>
  <si>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</si>
  <si>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</si>
  <si>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</si>
  <si>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</si>
  <si>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</si>
  <si>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</si>
  <si>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</si>
  <si>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</si>
  <si>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</si>
  <si>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</si>
  <si>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</si>
  <si>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</si>
  <si>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</si>
  <si>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</si>
  <si>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</si>
  <si>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</si>
  <si>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</si>
  <si>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</si>
  <si>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</si>
  <si>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</si>
  <si>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</si>
  <si>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</si>
  <si>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</si>
  <si>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</si>
  <si>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</si>
  <si>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</si>
  <si>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</si>
  <si>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</si>
  <si>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</si>
  <si>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</si>
  <si>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</si>
  <si>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</si>
  <si>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</si>
  <si>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</si>
  <si>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</si>
  <si>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</si>
  <si>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</si>
  <si>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</si>
  <si>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</si>
  <si>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</si>
  <si>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</si>
  <si>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</si>
  <si>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</si>
  <si>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</si>
  <si>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</si>
  <si>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</si>
  <si>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</si>
  <si>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</si>
  <si>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</si>
  <si>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</si>
  <si>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</si>
  <si>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</si>
  <si>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</si>
  <si>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</si>
  <si>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</si>
  <si>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</si>
  <si>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</si>
  <si>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</si>
  <si>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</si>
  <si>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</si>
  <si>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</si>
  <si>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</si>
  <si>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</si>
  <si>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</si>
  <si>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</si>
  <si>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</si>
  <si>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</si>
  <si>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</si>
  <si>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</si>
  <si>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</si>
  <si>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</si>
  <si>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</si>
  <si>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</si>
  <si>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</si>
  <si>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</si>
  <si>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</si>
  <si>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</si>
  <si>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</si>
  <si>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</si>
  <si>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</si>
  <si>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</si>
  <si>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</si>
  <si>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</si>
  <si>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</si>
  <si>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</si>
  <si>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</si>
  <si>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</si>
  <si>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</si>
  <si>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</si>
  <si>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</si>
  <si>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</si>
  <si>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</si>
  <si>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</si>
  <si>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</si>
  <si>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</si>
  <si>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</si>
  <si>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</si>
  <si>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</si>
  <si>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</si>
  <si>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</si>
  <si>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</si>
  <si>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</si>
  <si>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</si>
  <si>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</si>
  <si>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</si>
  <si>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</si>
  <si>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</si>
  <si>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</si>
  <si>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</si>
  <si>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</si>
  <si>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</si>
  <si>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</si>
  <si>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</si>
  <si>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</si>
  <si>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</si>
  <si>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</si>
  <si>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</si>
  <si>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</si>
  <si>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</si>
  <si>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</si>
  <si>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</si>
  <si>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</si>
  <si>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</si>
  <si>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</si>
  <si>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</si>
  <si>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</si>
  <si>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</si>
  <si>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</si>
  <si>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</si>
  <si>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</si>
  <si>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</si>
  <si>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</si>
  <si>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</si>
  <si>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</si>
  <si>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</si>
  <si>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</si>
  <si>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</si>
  <si>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</si>
  <si>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</si>
  <si>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</si>
  <si>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</si>
  <si>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</si>
  <si>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</si>
  <si>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</si>
  <si>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</si>
  <si>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</si>
  <si>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</si>
  <si>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</si>
  <si>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</si>
  <si>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</si>
  <si>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</si>
  <si>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</si>
  <si>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</si>
  <si>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</si>
  <si>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</si>
  <si>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</si>
  <si>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</si>
  <si>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</si>
  <si>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</si>
  <si>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</si>
  <si>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</si>
  <si>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</si>
  <si>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</si>
  <si>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</si>
  <si>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</si>
  <si>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</si>
  <si>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</si>
  <si>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</si>
  <si>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</si>
  <si>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</si>
  <si>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</si>
  <si>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</si>
  <si>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</si>
  <si>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</si>
  <si>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</si>
  <si>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</si>
  <si>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</si>
  <si>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</si>
  <si>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</si>
  <si>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</si>
  <si>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</si>
  <si>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</si>
  <si>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</si>
  <si>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</si>
  <si>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</si>
  <si>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</si>
  <si>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</si>
  <si>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</si>
  <si>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</si>
  <si>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</si>
  <si>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</si>
  <si>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</si>
  <si>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</si>
  <si>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</si>
  <si>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</si>
  <si>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</si>
  <si>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</si>
  <si>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</si>
  <si>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</si>
  <si>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</si>
  <si>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</si>
  <si>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</si>
  <si>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</si>
  <si>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</si>
  <si>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</si>
  <si>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</si>
  <si>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</si>
  <si>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</si>
  <si>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</si>
  <si>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</si>
  <si>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</si>
  <si>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</si>
  <si>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</si>
  <si>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</si>
  <si>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</si>
  <si>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</si>
  <si>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</si>
  <si>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</si>
  <si>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</si>
  <si>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</si>
  <si>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</si>
  <si>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</si>
  <si>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</si>
  <si>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</si>
  <si>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</si>
  <si>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</si>
  <si>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</si>
  <si>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</si>
  <si>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</si>
  <si>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</si>
  <si>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</si>
  <si>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</si>
  <si>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</si>
  <si>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</si>
  <si>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</si>
  <si>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</si>
  <si>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</si>
  <si>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</si>
  <si>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</si>
  <si>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</si>
  <si>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</si>
  <si>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</si>
  <si>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</si>
  <si>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</si>
  <si>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</si>
  <si>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</si>
  <si>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</si>
  <si>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</si>
  <si>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</si>
  <si>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</si>
  <si>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</si>
  <si>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</si>
  <si>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</si>
  <si>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</si>
  <si>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</si>
  <si>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</si>
  <si>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</si>
  <si>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</si>
  <si>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</si>
  <si>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</si>
  <si>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</si>
  <si>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</si>
  <si>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</si>
  <si>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</si>
  <si>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</si>
  <si>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</si>
  <si>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</si>
  <si>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</si>
  <si>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</si>
  <si>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</si>
  <si>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</si>
  <si>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</si>
  <si>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</si>
  <si>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</si>
  <si>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</si>
  <si>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</si>
  <si>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</si>
  <si>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</si>
  <si>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</si>
  <si>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</si>
  <si>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</si>
  <si>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</si>
  <si>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</si>
  <si>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</si>
  <si>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</si>
  <si>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</si>
  <si>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</si>
  <si>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</si>
  <si>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</si>
  <si>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</si>
  <si>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</si>
  <si>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</si>
  <si>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</si>
  <si>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</si>
  <si>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</si>
  <si>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</si>
  <si>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</si>
  <si>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</si>
  <si>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</si>
  <si>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</si>
  <si>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</si>
  <si>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</si>
  <si>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</si>
  <si>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</si>
  <si>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</si>
  <si>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</si>
  <si>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</si>
  <si>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</si>
  <si>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</si>
  <si>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</si>
  <si>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</si>
  <si>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</si>
  <si>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</si>
  <si>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</si>
  <si>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</si>
  <si>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</si>
  <si>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</si>
  <si>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</si>
  <si>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</si>
  <si>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</si>
  <si>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</si>
  <si>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</si>
  <si>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</si>
  <si>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</si>
  <si>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</si>
  <si>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</si>
  <si>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</si>
  <si>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</si>
  <si>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</si>
  <si>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</si>
  <si>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</si>
  <si>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</si>
  <si>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</si>
  <si>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</si>
  <si>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</si>
  <si>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</si>
  <si>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</si>
  <si>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</si>
  <si>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</si>
  <si>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</si>
  <si>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</si>
  <si>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</si>
  <si>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</si>
  <si>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</si>
  <si>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</si>
  <si>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</si>
  <si>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</si>
  <si>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</si>
  <si>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</si>
  <si>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</si>
  <si>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</si>
  <si>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</si>
  <si>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</si>
  <si>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</si>
  <si>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</si>
  <si>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</si>
  <si>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</si>
  <si>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</si>
  <si>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</si>
  <si>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</si>
  <si>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</si>
  <si>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</si>
  <si>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</si>
  <si>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</si>
  <si>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</si>
  <si>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</si>
  <si>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</si>
  <si>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</si>
  <si>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</si>
  <si>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</si>
  <si>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</si>
  <si>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</si>
  <si>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</si>
  <si>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</si>
  <si>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</si>
  <si>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</si>
  <si>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</si>
  <si>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</si>
  <si>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</si>
  <si>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</si>
  <si>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</si>
  <si>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</si>
  <si>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</si>
  <si>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</si>
  <si>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</si>
  <si>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</si>
  <si>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</si>
  <si>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</si>
  <si>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</si>
  <si>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</si>
  <si>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</si>
  <si>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</si>
  <si>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</si>
  <si>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</si>
  <si>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</si>
  <si>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</si>
  <si>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</si>
  <si>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</si>
  <si>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</si>
  <si>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</si>
  <si>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</si>
  <si>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</si>
  <si>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</si>
  <si>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</si>
  <si>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</si>
  <si>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</si>
  <si>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</si>
  <si>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</si>
  <si>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</si>
  <si>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</si>
  <si>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</si>
  <si>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</si>
  <si>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</si>
  <si>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</si>
  <si>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</si>
  <si>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</si>
  <si>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</si>
  <si>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</si>
  <si>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</si>
  <si>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</si>
  <si>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</si>
  <si>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</si>
  <si>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</si>
  <si>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</si>
  <si>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</si>
  <si>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</si>
  <si>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</si>
  <si>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</si>
  <si>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</si>
  <si>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</si>
  <si>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</si>
  <si>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</si>
  <si>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</si>
  <si>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</si>
  <si>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</si>
  <si>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</si>
  <si>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</si>
  <si>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</si>
  <si>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</si>
  <si>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</si>
  <si>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</si>
  <si>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</si>
  <si>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</si>
  <si>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</si>
  <si>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</si>
  <si>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</si>
  <si>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</si>
  <si>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</si>
  <si>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</si>
  <si>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</si>
  <si>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</si>
  <si>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</si>
  <si>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</si>
  <si>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</si>
  <si>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</si>
  <si>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</si>
  <si>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</si>
  <si>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</si>
  <si>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</si>
  <si>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</si>
  <si>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</si>
  <si>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</si>
  <si>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</si>
  <si>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</si>
  <si>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</si>
  <si>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</si>
  <si>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</si>
  <si>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</si>
  <si>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</si>
  <si>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</si>
  <si>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</si>
  <si>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</si>
  <si>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</si>
  <si>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</si>
  <si>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</si>
  <si>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</si>
  <si>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</si>
  <si>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</si>
  <si>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</si>
  <si>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</si>
  <si>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</si>
  <si>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</si>
  <si>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</si>
  <si>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</si>
  <si>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</si>
  <si>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</si>
  <si>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</si>
  <si>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</si>
  <si>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</si>
  <si>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</si>
  <si>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</si>
  <si>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</si>
  <si>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</si>
  <si>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</si>
  <si>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</si>
  <si>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</si>
  <si>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</si>
  <si>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</si>
  <si>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</si>
  <si>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</si>
  <si>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</si>
  <si>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</si>
  <si>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</si>
  <si>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</si>
  <si>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</si>
  <si>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</si>
  <si>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</si>
  <si>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</si>
  <si>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</si>
  <si>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</si>
  <si>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</si>
  <si>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</si>
  <si>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</si>
  <si>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</si>
  <si>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</si>
  <si>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</si>
  <si>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</si>
  <si>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</si>
  <si>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</si>
  <si>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</si>
  <si>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</si>
  <si>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</si>
  <si>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</si>
  <si>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</si>
  <si>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</si>
  <si>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</si>
  <si>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</si>
  <si>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</si>
  <si>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</si>
  <si>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</si>
  <si>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</si>
  <si>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</si>
  <si>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</si>
  <si>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</si>
  <si>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</si>
  <si>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</si>
  <si>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</si>
  <si>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</si>
  <si>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</si>
  <si>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</si>
  <si>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</si>
  <si>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</si>
  <si>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</si>
  <si>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</si>
  <si>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</si>
  <si>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</si>
  <si>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</si>
  <si>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</si>
  <si>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</si>
  <si>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</si>
  <si>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</si>
  <si>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</si>
  <si>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</si>
  <si>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</si>
  <si>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</si>
  <si>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</si>
  <si>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</si>
  <si>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</si>
  <si>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</si>
  <si>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</si>
  <si>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</si>
  <si>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</si>
  <si>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</si>
  <si>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</si>
  <si>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</si>
  <si>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</si>
  <si>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</si>
  <si>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</si>
  <si>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</si>
  <si>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</si>
  <si>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</si>
  <si>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</si>
  <si>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</si>
  <si>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</si>
  <si>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</si>
  <si>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</si>
  <si>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</si>
  <si>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</si>
  <si>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</si>
  <si>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</si>
  <si>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</si>
  <si>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</si>
  <si>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</si>
  <si>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</si>
  <si>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</si>
  <si>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</si>
  <si>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</si>
  <si>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</si>
  <si>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</si>
  <si>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</si>
  <si>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</si>
  <si>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</si>
  <si>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</si>
  <si>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</si>
  <si>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</si>
  <si>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</si>
  <si>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</si>
  <si>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</si>
  <si>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</si>
  <si>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</si>
  <si>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</si>
  <si>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</si>
  <si>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</si>
  <si>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</si>
  <si>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</si>
  <si>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</si>
  <si>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</si>
  <si>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</si>
  <si>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</si>
  <si>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</si>
  <si>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</si>
  <si>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</si>
  <si>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</si>
  <si>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</si>
  <si>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</si>
  <si>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</si>
  <si>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</si>
  <si>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</si>
  <si>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</si>
  <si>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</si>
  <si>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</si>
  <si>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</si>
  <si>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</si>
  <si>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</si>
  <si>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</si>
  <si>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</si>
  <si>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</si>
  <si>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</si>
  <si>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</si>
  <si>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</si>
  <si>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</si>
  <si>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</si>
  <si>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</si>
  <si>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</si>
  <si>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</si>
  <si>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</si>
  <si>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</si>
  <si>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</si>
  <si>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</si>
  <si>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</si>
  <si>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</si>
  <si>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</si>
  <si>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</si>
  <si>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</si>
  <si>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</si>
  <si>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</si>
  <si>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</si>
  <si>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</si>
  <si>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</si>
  <si>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</si>
  <si>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</si>
  <si>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</si>
  <si>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</si>
  <si>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</si>
  <si>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</si>
  <si>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</si>
  <si>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</si>
  <si>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</si>
  <si>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</si>
  <si>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</si>
  <si>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</si>
  <si>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</si>
  <si>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</si>
  <si>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</si>
  <si>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</si>
  <si>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</si>
  <si>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</si>
  <si>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</si>
  <si>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</si>
  <si>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</si>
  <si>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</si>
  <si>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</si>
  <si>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</si>
  <si>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</si>
  <si>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</si>
  <si>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</si>
  <si>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</si>
  <si>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</si>
  <si>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</si>
  <si>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</si>
  <si>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</si>
  <si>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</si>
  <si>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</si>
  <si>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</si>
  <si>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</si>
  <si>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</si>
  <si>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</si>
  <si>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</si>
  <si>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</si>
  <si>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</si>
  <si>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</si>
  <si>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</si>
  <si>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</si>
  <si>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</si>
  <si>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</si>
  <si>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</si>
  <si>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</si>
  <si>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</si>
  <si>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</si>
  <si>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</si>
  <si>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</si>
  <si>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</si>
  <si>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</si>
  <si>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</si>
  <si>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</si>
  <si>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</si>
  <si>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</si>
  <si>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</si>
  <si>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</si>
  <si>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</si>
  <si>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</si>
  <si>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</si>
  <si>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</si>
  <si>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</si>
  <si>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</si>
  <si>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</si>
  <si>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</si>
  <si>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</si>
  <si>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</si>
  <si>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</si>
  <si>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</si>
  <si>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</si>
  <si>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</si>
  <si>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</si>
  <si>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</si>
  <si>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</si>
  <si>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</si>
  <si>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</si>
  <si>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</si>
  <si>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</si>
  <si>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</si>
  <si>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</si>
  <si>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</si>
  <si>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</si>
  <si>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</si>
  <si>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</si>
  <si>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</si>
  <si>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</si>
  <si>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</si>
  <si>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</si>
  <si>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</si>
  <si>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</si>
  <si>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</si>
  <si>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</si>
  <si>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</si>
  <si>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</si>
  <si>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</si>
  <si>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</si>
  <si>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</si>
  <si>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</si>
  <si>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</si>
  <si>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</si>
  <si>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</si>
  <si>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</si>
  <si>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</si>
  <si>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</si>
  <si>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</si>
  <si>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</si>
  <si>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</si>
  <si>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</si>
  <si>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</si>
  <si>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</si>
  <si>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</si>
  <si>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</si>
  <si>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</si>
  <si>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</si>
  <si>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</si>
  <si>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</si>
  <si>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</si>
  <si>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</si>
  <si>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</si>
  <si>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</si>
  <si>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</si>
  <si>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</si>
  <si>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</si>
  <si>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</si>
  <si>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</si>
  <si>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</si>
  <si>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</si>
  <si>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</si>
  <si>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</si>
  <si>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</si>
  <si>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</si>
  <si>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</si>
  <si>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</si>
  <si>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</si>
  <si>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</si>
  <si>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</si>
  <si>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</si>
  <si>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</si>
  <si>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</si>
  <si>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</si>
  <si>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</si>
  <si>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</si>
  <si>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</si>
  <si>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</si>
  <si>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</si>
  <si>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</si>
  <si>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</si>
  <si>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</si>
  <si>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</si>
  <si>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</si>
  <si>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</si>
  <si>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</si>
  <si>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</si>
  <si>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</si>
  <si>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</si>
  <si>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</si>
  <si>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</si>
  <si>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</si>
  <si>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</si>
  <si>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</si>
  <si>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</si>
  <si>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</si>
  <si>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</si>
  <si>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</si>
  <si>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</si>
  <si>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</si>
  <si>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</si>
  <si>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</si>
  <si>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</si>
  <si>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</si>
  <si>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</si>
  <si>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</si>
  <si>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</si>
  <si>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</si>
  <si>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</si>
  <si>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</si>
  <si>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</si>
  <si>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</si>
  <si>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</si>
  <si>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</si>
  <si>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</si>
  <si>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</si>
  <si>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</si>
  <si>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</si>
  <si>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</si>
  <si>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</si>
  <si>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</si>
  <si>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</si>
  <si>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</si>
  <si>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</si>
  <si>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</si>
  <si>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</si>
  <si>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</si>
  <si>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</si>
  <si>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</si>
  <si>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</si>
  <si>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</si>
  <si>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</si>
  <si>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</si>
  <si>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</si>
  <si>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</si>
  <si>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</si>
  <si>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</si>
  <si>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</si>
  <si>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</si>
  <si>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</si>
  <si>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</si>
  <si>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</si>
  <si>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</si>
  <si>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</si>
  <si>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</si>
  <si>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</si>
  <si>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</si>
  <si>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</si>
  <si>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</si>
  <si>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</si>
  <si>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</si>
  <si>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</si>
  <si>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</si>
  <si>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</si>
  <si>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</si>
  <si>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</si>
  <si>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</si>
  <si>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</si>
  <si>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</si>
  <si>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</si>
  <si>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</si>
  <si>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</si>
  <si>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</si>
  <si>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</si>
  <si>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</si>
  <si>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</si>
  <si>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</si>
  <si>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</si>
  <si>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</si>
  <si>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</si>
  <si>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</si>
  <si>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</si>
  <si>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</si>
  <si>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</si>
  <si>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</si>
  <si>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</si>
  <si>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</si>
  <si>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</si>
  <si>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</si>
  <si>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</si>
  <si>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</si>
  <si>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</si>
  <si>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</si>
  <si>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</si>
  <si>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</si>
  <si>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</si>
  <si>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</si>
  <si>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</si>
  <si>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</si>
  <si>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</si>
  <si>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</si>
  <si>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</si>
  <si>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</si>
  <si>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</si>
  <si>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</si>
  <si>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</si>
  <si>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</si>
  <si>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</si>
  <si>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</si>
  <si>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</si>
  <si>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</si>
  <si>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</si>
  <si>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</si>
  <si>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</si>
  <si>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</si>
  <si>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</si>
  <si>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</si>
  <si>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</si>
  <si>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</si>
  <si>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</si>
  <si>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</si>
  <si>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</si>
  <si>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</si>
  <si>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</si>
  <si>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</si>
  <si>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</si>
  <si>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</si>
  <si>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</si>
  <si>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</si>
  <si>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</si>
  <si>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</si>
  <si>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</si>
  <si>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</si>
  <si>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</si>
  <si>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</si>
  <si>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</si>
  <si>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</si>
  <si>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</si>
  <si>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</si>
  <si>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</si>
  <si>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</si>
  <si>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</si>
  <si>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</si>
  <si>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</si>
  <si>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</si>
  <si>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</si>
  <si>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</si>
  <si>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</si>
  <si>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</si>
  <si>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</si>
  <si>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</si>
  <si>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</si>
  <si>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</si>
  <si>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</si>
  <si>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</si>
  <si>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</si>
  <si>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</si>
  <si>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</si>
  <si>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</si>
  <si>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</si>
  <si>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</si>
  <si>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</si>
  <si>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</si>
  <si>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</si>
  <si>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</si>
  <si>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</si>
  <si>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</si>
  <si>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</si>
  <si>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</si>
  <si>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</si>
  <si>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</si>
  <si>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</si>
  <si>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</si>
  <si>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</si>
  <si>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</si>
  <si>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</si>
  <si>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</si>
  <si>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</si>
  <si>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</si>
  <si>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</si>
  <si>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</si>
  <si>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</si>
  <si>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</si>
  <si>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</si>
  <si>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</si>
  <si>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</si>
  <si>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</si>
  <si>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</si>
  <si>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</si>
  <si>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</si>
  <si>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</si>
  <si>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</si>
  <si>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</si>
  <si>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</si>
  <si>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</si>
  <si>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</si>
  <si>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</si>
  <si>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</si>
  <si>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</si>
  <si>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</si>
  <si>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</si>
  <si>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</si>
  <si>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</si>
  <si>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</si>
  <si>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</si>
  <si>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</si>
  <si>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</si>
  <si>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</si>
  <si>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</si>
  <si>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</si>
  <si>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</si>
  <si>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</si>
  <si>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</si>
  <si>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</si>
  <si>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</si>
  <si>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</si>
  <si>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</si>
  <si>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</si>
  <si>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</si>
  <si>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</si>
  <si>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</si>
  <si>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</si>
  <si>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</si>
  <si>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</si>
  <si>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</si>
  <si>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</si>
  <si>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</si>
  <si>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</si>
  <si>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</si>
  <si>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</si>
  <si>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</si>
  <si>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</si>
  <si>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</si>
  <si>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</si>
  <si>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</si>
  <si>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</si>
  <si>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</si>
  <si>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</si>
  <si>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</si>
  <si>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</si>
  <si>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</si>
  <si>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</si>
  <si>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</si>
  <si>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</si>
  <si>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</si>
  <si>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</si>
  <si>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</si>
  <si>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</si>
  <si>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</si>
  <si>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</si>
  <si>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</si>
  <si>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</si>
  <si>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</si>
  <si>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</si>
  <si>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</si>
  <si>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</si>
  <si>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</si>
  <si>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</si>
  <si>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</si>
  <si>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</si>
  <si>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</si>
  <si>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</si>
  <si>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</si>
  <si>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</si>
  <si>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</si>
  <si>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</si>
  <si>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</si>
  <si>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</si>
  <si>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</si>
  <si>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</si>
  <si>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</si>
  <si>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</si>
  <si>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</si>
  <si>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</si>
  <si>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</si>
  <si>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</si>
  <si>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</si>
  <si>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</si>
  <si>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</si>
  <si>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</si>
  <si>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</si>
  <si>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</si>
  <si>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</si>
  <si>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</si>
  <si>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</si>
  <si>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</si>
  <si>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</si>
  <si>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</si>
  <si>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</si>
  <si>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</si>
  <si>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</si>
  <si>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</si>
  <si>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</si>
  <si>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</si>
  <si>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</si>
  <si>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</si>
  <si>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</si>
  <si>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</si>
  <si>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</si>
  <si>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</si>
  <si>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</si>
  <si>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</si>
  <si>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</si>
  <si>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</si>
  <si>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</si>
  <si>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</si>
  <si>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</si>
  <si>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</si>
  <si>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</si>
  <si>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</si>
  <si>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</si>
  <si>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</si>
  <si>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</si>
  <si>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</si>
  <si>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</si>
  <si>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</si>
  <si>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</si>
  <si>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</si>
  <si>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</si>
  <si>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</si>
  <si>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</si>
  <si>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</si>
  <si>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</si>
  <si>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</si>
  <si>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</si>
  <si>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</si>
  <si>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</si>
  <si>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</si>
  <si>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</si>
  <si>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</si>
  <si>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</si>
  <si>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</si>
  <si>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</si>
  <si>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</si>
  <si>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</si>
  <si>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</si>
  <si>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</si>
  <si>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</si>
  <si>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</si>
  <si>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</si>
  <si>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</si>
  <si>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</si>
  <si>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</si>
  <si>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</si>
  <si>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</si>
  <si>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</si>
  <si>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</si>
  <si>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</si>
  <si>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</si>
  <si>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</si>
  <si>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</si>
  <si>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</si>
  <si>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</si>
  <si>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</si>
  <si>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</si>
  <si>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</si>
  <si>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</si>
  <si>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</si>
  <si>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</si>
  <si>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</si>
  <si>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</si>
  <si>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</si>
  <si>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</si>
  <si>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</si>
  <si>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</si>
  <si>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</si>
  <si>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</si>
  <si>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</si>
  <si>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</si>
  <si>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</si>
  <si>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</si>
  <si>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</si>
  <si>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</si>
  <si>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</si>
  <si>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</si>
  <si>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</si>
  <si>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</si>
  <si>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</si>
  <si>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058</t>
  </si>
  <si>
    <t xml:space="preserve">YAKIMA VALLEY MEMORIAL </t>
  </si>
  <si>
    <t>2811 TIETON DR</t>
  </si>
  <si>
    <t>WA</t>
  </si>
  <si>
    <t>YAKIMA</t>
  </si>
  <si>
    <t>Yakima</t>
  </si>
  <si>
    <t>CAROLE PEET</t>
  </si>
  <si>
    <t>SUSAN SAUDER</t>
  </si>
  <si>
    <t>DAVE HARGREAVES</t>
  </si>
  <si>
    <t>(509) 575-8000</t>
  </si>
  <si>
    <t>(509) 575-8863</t>
  </si>
  <si>
    <t>12/31/2022</t>
  </si>
  <si>
    <t>2811 TIETON DRIVE</t>
  </si>
  <si>
    <t>WASHINGTON</t>
  </si>
  <si>
    <t>TAMMY BUYOK</t>
  </si>
  <si>
    <t>JASON MITCHELL</t>
  </si>
  <si>
    <t>ANNE BEAUVAIS</t>
  </si>
  <si>
    <t>ANNE.BEAUVAIS@MULTICARE.ORG</t>
  </si>
  <si>
    <t>Interest Revenue</t>
  </si>
  <si>
    <t>Fee Revenue</t>
  </si>
  <si>
    <t>FEMA Reimbursement</t>
  </si>
  <si>
    <t>Network Management Fee</t>
  </si>
  <si>
    <t>Disposal of Fixed Assets</t>
  </si>
  <si>
    <t>Lease Termination</t>
  </si>
  <si>
    <t>Misc Operating revenue</t>
  </si>
  <si>
    <t>Equipment/ Supplies</t>
  </si>
  <si>
    <t>Minor Equipment</t>
  </si>
  <si>
    <t>Telecommunications</t>
  </si>
  <si>
    <t>Infectious Waste</t>
  </si>
  <si>
    <t>Janitorial</t>
  </si>
  <si>
    <t>Building Services</t>
  </si>
  <si>
    <t>Miscellaneous Expense</t>
  </si>
  <si>
    <t>Advertising</t>
  </si>
  <si>
    <t>Airfare</t>
  </si>
  <si>
    <t>Lodging</t>
  </si>
  <si>
    <t>Car Rental</t>
  </si>
  <si>
    <t>Local Transportation</t>
  </si>
  <si>
    <t>Vehicle Expense</t>
  </si>
  <si>
    <t>Patient Transportation</t>
  </si>
  <si>
    <t>Travel - Other</t>
  </si>
  <si>
    <t>Meals/Entertainment</t>
  </si>
  <si>
    <t>Community Contributions</t>
  </si>
  <si>
    <t>Uncollectible Pledge Expense</t>
  </si>
  <si>
    <t>Gift Annuity Expense</t>
  </si>
  <si>
    <t>Grant Expense</t>
  </si>
  <si>
    <t>Grant Expense - PPE</t>
  </si>
  <si>
    <t>Bank Service Fees</t>
  </si>
  <si>
    <t>Late Fees</t>
  </si>
  <si>
    <t>Dues</t>
  </si>
  <si>
    <t>Postage/Shipping</t>
  </si>
  <si>
    <t>Printing/Repoductions</t>
  </si>
  <si>
    <t>Books/Subscriptions</t>
  </si>
  <si>
    <t>Vehicle Maintenance</t>
  </si>
  <si>
    <t>Special Events</t>
  </si>
  <si>
    <t>Bad Debt Expense</t>
  </si>
  <si>
    <t>Lost Patinet Articles</t>
  </si>
  <si>
    <t>Unitrust Moen Expense</t>
  </si>
  <si>
    <t>Cash over/short</t>
  </si>
  <si>
    <t>Building Supplies</t>
  </si>
  <si>
    <t>To Danny Martinec</t>
  </si>
  <si>
    <t>Increase due to use of contract staffing.</t>
  </si>
  <si>
    <t>Increase due use of more drugs, supplies and equipment for home infusion, also large hike in inflation  for supplies.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</si>
</sst>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9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38" fontId="15" fillId="4" borderId="14" xfId="0" quotePrefix="1" applyNumberFormat="1" applyFont="1" applyFill="1" applyBorder="1" applyProtection="1">
      <protection locked="0"/>
    </xf>
    <xf numFmtId="0" fontId="6" fillId="0" borderId="0" xfId="2">
      <alignment vertical="top"/>
      <protection locked="0"/>
    </xf>
    <xf numFmtId="9" fontId="5" fillId="0" borderId="0" xfId="4"/>
    <xf numFmtId="37" fontId="33" fillId="0" borderId="0" xfId="0" applyFont="1" applyAlignment="1">
      <alignment vertical="center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NNE.BEAUVAIS@MULTICAR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205" transitionEvaluation="1" transitionEntry="1" codeName="Sheet1">
    <tabColor rgb="FF92D050"/>
    <pageSetUpPr autoPageBreaks="0" fitToPage="1"/>
  </sheetPr>
  <dimension ref="A1:CF716"/>
  <sheetViews>
    <sheetView tabSelected="1" topLeftCell="A205" zoomScaleNormal="100" workbookViewId="0">
      <selection activeCell="D179" sqref="D179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1349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1328</v>
      </c>
    </row>
    <row r="6" spans="1:3" x14ac:dyDescent="0.35">
      <c r="A6" s="12" t="s">
        <v>4</v>
      </c>
    </row>
    <row r="7" spans="1:3" x14ac:dyDescent="0.35">
      <c r="A7" s="12" t="s">
        <v>1350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1351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1352</v>
      </c>
    </row>
    <row r="18" spans="1:10" ht="14.5" customHeight="1" x14ac:dyDescent="0.35">
      <c r="A18" s="18" t="s">
        <v>1353</v>
      </c>
    </row>
    <row r="19" spans="1:10" ht="14.5" customHeight="1" x14ac:dyDescent="0.35">
      <c r="A19" s="18" t="s">
        <v>1354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1355</v>
      </c>
      <c r="E23" s="71"/>
      <c r="F23" s="71"/>
      <c r="G23" s="71"/>
      <c r="I23" s="71"/>
      <c r="J23" s="71"/>
    </row>
    <row r="24" spans="1:10" x14ac:dyDescent="0.35">
      <c r="A24" s="18" t="s">
        <v>1356</v>
      </c>
    </row>
    <row r="25" spans="1:10" x14ac:dyDescent="0.35">
      <c r="A25" s="18" t="s">
        <v>1357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1358</v>
      </c>
      <c r="C28" s="17"/>
    </row>
    <row r="29" spans="1:10" x14ac:dyDescent="0.35">
      <c r="C29" s="17"/>
    </row>
    <row r="30" spans="1:10" x14ac:dyDescent="0.35">
      <c r="A30" s="12" t="s">
        <v>1347</v>
      </c>
      <c r="C30" s="333" t="s">
        <v>1348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35">
      <c r="A37" s="337" t="s">
        <v>1340</v>
      </c>
      <c r="B37" s="338"/>
      <c r="C37" s="336"/>
      <c r="D37" s="335"/>
      <c r="E37" s="335"/>
      <c r="F37" s="335"/>
      <c r="G37" s="335"/>
    </row>
    <row r="38" spans="1:83" x14ac:dyDescent="0.35">
      <c r="A38" s="341" t="s">
        <v>1359</v>
      </c>
      <c r="B38" s="338"/>
      <c r="C38" s="336"/>
      <c r="D38" s="335"/>
      <c r="E38" s="335"/>
      <c r="F38" s="335"/>
      <c r="G38" s="335"/>
    </row>
    <row r="39" spans="1:83" x14ac:dyDescent="0.35">
      <c r="A39" s="340" t="s">
        <v>1341</v>
      </c>
      <c r="B39" s="335"/>
      <c r="C39" s="336"/>
      <c r="D39" s="335"/>
      <c r="E39" s="335"/>
      <c r="F39" s="335"/>
      <c r="G39" s="335"/>
    </row>
    <row r="40" spans="1:83" x14ac:dyDescent="0.35">
      <c r="A40" s="341" t="s">
        <v>1360</v>
      </c>
      <c r="B40" s="335"/>
      <c r="C40" s="336"/>
      <c r="D40" s="335"/>
      <c r="E40" s="335"/>
      <c r="F40" s="335"/>
      <c r="G40" s="335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0</v>
      </c>
    </row>
    <row r="48" spans="1:83" x14ac:dyDescent="0.35">
      <c r="A48" s="32" t="s">
        <v>217</v>
      </c>
      <c r="B48" s="312">
        <v>52294983</v>
      </c>
      <c r="C48" s="32">
        <f>IF($B$48,(ROUND((($B$48/$CE$61)*C61),0)))</f>
        <v>1394386</v>
      </c>
      <c r="D48" s="32">
        <f t="shared" ref="D48:BO48" si="0">IF($B$48,(ROUND((($B$48/$CE$61)*D61),0)))</f>
        <v>0</v>
      </c>
      <c r="E48" s="32">
        <f t="shared" si="0"/>
        <v>4826386</v>
      </c>
      <c r="F48" s="32">
        <f t="shared" si="0"/>
        <v>1075467</v>
      </c>
      <c r="G48" s="32">
        <f t="shared" si="0"/>
        <v>0</v>
      </c>
      <c r="H48" s="32">
        <f t="shared" si="0"/>
        <v>832746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1152411</v>
      </c>
      <c r="P48" s="32">
        <f t="shared" si="0"/>
        <v>2051599</v>
      </c>
      <c r="Q48" s="32">
        <f t="shared" si="0"/>
        <v>803994</v>
      </c>
      <c r="R48" s="32">
        <f t="shared" si="0"/>
        <v>32783</v>
      </c>
      <c r="S48" s="32">
        <f t="shared" si="0"/>
        <v>248332</v>
      </c>
      <c r="T48" s="32">
        <f t="shared" si="0"/>
        <v>245261</v>
      </c>
      <c r="U48" s="32">
        <f t="shared" si="0"/>
        <v>1132192</v>
      </c>
      <c r="V48" s="32">
        <f t="shared" si="0"/>
        <v>17224</v>
      </c>
      <c r="W48" s="32">
        <f t="shared" si="0"/>
        <v>215073</v>
      </c>
      <c r="X48" s="32">
        <f t="shared" si="0"/>
        <v>317372</v>
      </c>
      <c r="Y48" s="32">
        <f t="shared" si="0"/>
        <v>1322193</v>
      </c>
      <c r="Z48" s="32">
        <f t="shared" si="0"/>
        <v>287206</v>
      </c>
      <c r="AA48" s="32">
        <f t="shared" si="0"/>
        <v>114485</v>
      </c>
      <c r="AB48" s="32">
        <f t="shared" si="0"/>
        <v>1404500</v>
      </c>
      <c r="AC48" s="32">
        <f t="shared" si="0"/>
        <v>427484</v>
      </c>
      <c r="AD48" s="32">
        <f t="shared" si="0"/>
        <v>0</v>
      </c>
      <c r="AE48" s="32">
        <f t="shared" si="0"/>
        <v>543742</v>
      </c>
      <c r="AF48" s="32">
        <f t="shared" si="0"/>
        <v>0</v>
      </c>
      <c r="AG48" s="32">
        <f t="shared" si="0"/>
        <v>2026335</v>
      </c>
      <c r="AH48" s="32">
        <f t="shared" si="0"/>
        <v>0</v>
      </c>
      <c r="AI48" s="32">
        <f t="shared" si="0"/>
        <v>0</v>
      </c>
      <c r="AJ48" s="32">
        <f t="shared" si="0"/>
        <v>1763223</v>
      </c>
      <c r="AK48" s="32">
        <f t="shared" si="0"/>
        <v>0</v>
      </c>
      <c r="AL48" s="32">
        <f t="shared" si="0"/>
        <v>0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13442013</v>
      </c>
      <c r="AQ48" s="32">
        <f t="shared" si="0"/>
        <v>0</v>
      </c>
      <c r="AR48" s="32">
        <f t="shared" si="0"/>
        <v>1882933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4887765</v>
      </c>
      <c r="AW48" s="32">
        <f t="shared" si="0"/>
        <v>0</v>
      </c>
      <c r="AX48" s="32">
        <f t="shared" si="0"/>
        <v>0</v>
      </c>
      <c r="AY48" s="32">
        <f t="shared" si="0"/>
        <v>398759</v>
      </c>
      <c r="AZ48" s="32">
        <f t="shared" si="0"/>
        <v>221607</v>
      </c>
      <c r="BA48" s="32">
        <f t="shared" si="0"/>
        <v>29537</v>
      </c>
      <c r="BB48" s="32">
        <f t="shared" si="0"/>
        <v>0</v>
      </c>
      <c r="BC48" s="32">
        <f t="shared" si="0"/>
        <v>0</v>
      </c>
      <c r="BD48" s="32">
        <f t="shared" si="0"/>
        <v>241131</v>
      </c>
      <c r="BE48" s="32">
        <f t="shared" si="0"/>
        <v>327244</v>
      </c>
      <c r="BF48" s="32">
        <f t="shared" si="0"/>
        <v>556232</v>
      </c>
      <c r="BG48" s="32">
        <f t="shared" si="0"/>
        <v>32919</v>
      </c>
      <c r="BH48" s="32">
        <f t="shared" si="0"/>
        <v>453308</v>
      </c>
      <c r="BI48" s="32">
        <f t="shared" si="0"/>
        <v>282116</v>
      </c>
      <c r="BJ48" s="32">
        <f t="shared" si="0"/>
        <v>152236</v>
      </c>
      <c r="BK48" s="32">
        <f t="shared" si="0"/>
        <v>573081</v>
      </c>
      <c r="BL48" s="32">
        <f t="shared" si="0"/>
        <v>535172</v>
      </c>
      <c r="BM48" s="32">
        <f t="shared" si="0"/>
        <v>200588</v>
      </c>
      <c r="BN48" s="32">
        <f t="shared" si="0"/>
        <v>823873</v>
      </c>
      <c r="BO48" s="32">
        <f t="shared" si="0"/>
        <v>180403</v>
      </c>
      <c r="BP48" s="32">
        <f t="shared" ref="BP48:CD48" si="1">IF($B$48,(ROUND((($B$48/$CE$61)*BP61),0)))</f>
        <v>57504</v>
      </c>
      <c r="BQ48" s="32">
        <f t="shared" si="1"/>
        <v>0</v>
      </c>
      <c r="BR48" s="32">
        <f t="shared" si="1"/>
        <v>424090</v>
      </c>
      <c r="BS48" s="32">
        <f t="shared" si="1"/>
        <v>26506</v>
      </c>
      <c r="BT48" s="32">
        <f t="shared" si="1"/>
        <v>47209</v>
      </c>
      <c r="BU48" s="32">
        <f t="shared" si="1"/>
        <v>0</v>
      </c>
      <c r="BV48" s="32">
        <f t="shared" si="1"/>
        <v>605318</v>
      </c>
      <c r="BW48" s="32">
        <f t="shared" si="1"/>
        <v>69082</v>
      </c>
      <c r="BX48" s="32">
        <f t="shared" si="1"/>
        <v>1151381</v>
      </c>
      <c r="BY48" s="32">
        <f t="shared" si="1"/>
        <v>288642</v>
      </c>
      <c r="BZ48" s="32">
        <f t="shared" si="1"/>
        <v>423243</v>
      </c>
      <c r="CA48" s="32">
        <f t="shared" si="1"/>
        <v>44719</v>
      </c>
      <c r="CB48" s="32">
        <f t="shared" si="1"/>
        <v>0</v>
      </c>
      <c r="CC48" s="32">
        <f t="shared" si="1"/>
        <v>1701980</v>
      </c>
      <c r="CD48" s="32">
        <f t="shared" si="1"/>
        <v>0</v>
      </c>
      <c r="CE48" s="32">
        <f>SUM(C48:CD48)</f>
        <v>52294985</v>
      </c>
    </row>
    <row r="49" spans="1:83" x14ac:dyDescent="0.35">
      <c r="A49" s="20" t="s">
        <v>218</v>
      </c>
      <c r="B49" s="32">
        <f>B47+B48</f>
        <v>52294983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83" x14ac:dyDescent="0.35">
      <c r="A52" s="39" t="s">
        <v>220</v>
      </c>
      <c r="B52" s="313">
        <v>19484016.890000001</v>
      </c>
      <c r="C52" s="32">
        <f>IF($B$52,ROUND(($B$52/($CE$90+$CF$90)*C90),0))</f>
        <v>206654</v>
      </c>
      <c r="D52" s="32">
        <f t="shared" ref="D52:BO52" si="2">IF($B$52,ROUND(($B$52/($CE$90+$CF$90)*D90),0))</f>
        <v>0</v>
      </c>
      <c r="E52" s="32">
        <f t="shared" si="2"/>
        <v>1158095</v>
      </c>
      <c r="F52" s="32">
        <f t="shared" si="2"/>
        <v>341233</v>
      </c>
      <c r="G52" s="32">
        <f t="shared" si="2"/>
        <v>0</v>
      </c>
      <c r="H52" s="32">
        <f t="shared" si="2"/>
        <v>242664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192843</v>
      </c>
      <c r="P52" s="32">
        <f t="shared" si="2"/>
        <v>776339</v>
      </c>
      <c r="Q52" s="32">
        <f t="shared" si="2"/>
        <v>51131</v>
      </c>
      <c r="R52" s="32">
        <f t="shared" si="2"/>
        <v>11391</v>
      </c>
      <c r="S52" s="32">
        <f t="shared" si="2"/>
        <v>624911</v>
      </c>
      <c r="T52" s="32">
        <f t="shared" si="2"/>
        <v>5313</v>
      </c>
      <c r="U52" s="32">
        <f t="shared" si="2"/>
        <v>215097</v>
      </c>
      <c r="V52" s="32">
        <f t="shared" si="2"/>
        <v>4112</v>
      </c>
      <c r="W52" s="32">
        <f t="shared" si="2"/>
        <v>41414</v>
      </c>
      <c r="X52" s="32">
        <f t="shared" si="2"/>
        <v>43507</v>
      </c>
      <c r="Y52" s="32">
        <f t="shared" si="2"/>
        <v>735962</v>
      </c>
      <c r="Z52" s="32">
        <f t="shared" si="2"/>
        <v>231000</v>
      </c>
      <c r="AA52" s="32">
        <f t="shared" si="2"/>
        <v>41633</v>
      </c>
      <c r="AB52" s="32">
        <f t="shared" si="2"/>
        <v>187475</v>
      </c>
      <c r="AC52" s="32">
        <f t="shared" si="2"/>
        <v>55971</v>
      </c>
      <c r="AD52" s="32">
        <f t="shared" si="2"/>
        <v>4858</v>
      </c>
      <c r="AE52" s="32">
        <f t="shared" si="2"/>
        <v>200722</v>
      </c>
      <c r="AF52" s="32">
        <f t="shared" si="2"/>
        <v>0</v>
      </c>
      <c r="AG52" s="32">
        <f t="shared" si="2"/>
        <v>326039</v>
      </c>
      <c r="AH52" s="32">
        <f t="shared" si="2"/>
        <v>0</v>
      </c>
      <c r="AI52" s="32">
        <f t="shared" si="2"/>
        <v>0</v>
      </c>
      <c r="AJ52" s="32">
        <f t="shared" si="2"/>
        <v>309007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3147027</v>
      </c>
      <c r="AQ52" s="32">
        <f t="shared" si="2"/>
        <v>0</v>
      </c>
      <c r="AR52" s="32">
        <f t="shared" si="2"/>
        <v>626658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198120</v>
      </c>
      <c r="AW52" s="32">
        <f t="shared" si="2"/>
        <v>0</v>
      </c>
      <c r="AX52" s="32">
        <f t="shared" si="2"/>
        <v>0</v>
      </c>
      <c r="AY52" s="32">
        <f t="shared" si="2"/>
        <v>120659</v>
      </c>
      <c r="AZ52" s="32">
        <f t="shared" si="2"/>
        <v>80081</v>
      </c>
      <c r="BA52" s="32">
        <f t="shared" si="2"/>
        <v>47783</v>
      </c>
      <c r="BB52" s="32">
        <f t="shared" si="2"/>
        <v>0</v>
      </c>
      <c r="BC52" s="32">
        <f t="shared" si="2"/>
        <v>0</v>
      </c>
      <c r="BD52" s="32">
        <f t="shared" si="2"/>
        <v>121223</v>
      </c>
      <c r="BE52" s="32">
        <f t="shared" si="2"/>
        <v>7764504</v>
      </c>
      <c r="BF52" s="32">
        <f t="shared" si="2"/>
        <v>25820</v>
      </c>
      <c r="BG52" s="32">
        <f t="shared" si="2"/>
        <v>3566</v>
      </c>
      <c r="BH52" s="32">
        <f t="shared" si="2"/>
        <v>115218</v>
      </c>
      <c r="BI52" s="32">
        <f t="shared" si="2"/>
        <v>17305</v>
      </c>
      <c r="BJ52" s="32">
        <f t="shared" si="2"/>
        <v>48038</v>
      </c>
      <c r="BK52" s="32">
        <f t="shared" si="2"/>
        <v>154103</v>
      </c>
      <c r="BL52" s="32">
        <f t="shared" si="2"/>
        <v>71711</v>
      </c>
      <c r="BM52" s="32">
        <f t="shared" si="2"/>
        <v>40923</v>
      </c>
      <c r="BN52" s="32">
        <f t="shared" si="2"/>
        <v>32080</v>
      </c>
      <c r="BO52" s="32">
        <f t="shared" si="2"/>
        <v>45745</v>
      </c>
      <c r="BP52" s="32">
        <f t="shared" ref="BP52:CD52" si="3">IF($B$52,ROUND(($B$52/($CE$90+$CF$90)*BP90),0))</f>
        <v>67362</v>
      </c>
      <c r="BQ52" s="32">
        <f t="shared" si="3"/>
        <v>0</v>
      </c>
      <c r="BR52" s="32">
        <f t="shared" si="3"/>
        <v>64596</v>
      </c>
      <c r="BS52" s="32">
        <f t="shared" si="3"/>
        <v>9207</v>
      </c>
      <c r="BT52" s="32">
        <f t="shared" si="3"/>
        <v>5441</v>
      </c>
      <c r="BU52" s="32">
        <f t="shared" si="3"/>
        <v>0</v>
      </c>
      <c r="BV52" s="32">
        <f t="shared" si="3"/>
        <v>67362</v>
      </c>
      <c r="BW52" s="32">
        <f t="shared" si="3"/>
        <v>31607</v>
      </c>
      <c r="BX52" s="32">
        <f t="shared" si="3"/>
        <v>37666</v>
      </c>
      <c r="BY52" s="32">
        <f t="shared" si="3"/>
        <v>5459</v>
      </c>
      <c r="BZ52" s="32">
        <f t="shared" si="3"/>
        <v>7697</v>
      </c>
      <c r="CA52" s="32">
        <f t="shared" si="3"/>
        <v>28805</v>
      </c>
      <c r="CB52" s="32">
        <f t="shared" si="3"/>
        <v>377625</v>
      </c>
      <c r="CC52" s="32">
        <f t="shared" si="3"/>
        <v>113253</v>
      </c>
      <c r="CD52" s="32">
        <f t="shared" si="3"/>
        <v>0</v>
      </c>
      <c r="CE52" s="32">
        <f>SUM(C52:CD52)</f>
        <v>19484015</v>
      </c>
    </row>
    <row r="53" spans="1:83" x14ac:dyDescent="0.35">
      <c r="A53" s="20" t="s">
        <v>218</v>
      </c>
      <c r="B53" s="32">
        <f>B51+B52</f>
        <v>19484016.890000001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5379</v>
      </c>
      <c r="D59" s="24"/>
      <c r="E59" s="24">
        <v>42734</v>
      </c>
      <c r="F59" s="24">
        <f>5117+3466</f>
        <v>8583</v>
      </c>
      <c r="G59" s="24"/>
      <c r="H59" s="24">
        <v>4680</v>
      </c>
      <c r="I59" s="24"/>
      <c r="J59" s="24"/>
      <c r="K59" s="24"/>
      <c r="L59" s="24"/>
      <c r="M59" s="24"/>
      <c r="N59" s="24"/>
      <c r="O59" s="24">
        <v>21595</v>
      </c>
      <c r="P59" s="30">
        <f>938040+20265</f>
        <v>958305</v>
      </c>
      <c r="Q59" s="30">
        <v>1228800</v>
      </c>
      <c r="R59" s="30">
        <v>805060</v>
      </c>
      <c r="S59" s="314"/>
      <c r="T59" s="314"/>
      <c r="U59" s="31">
        <f>2804849+20657</f>
        <v>2825506</v>
      </c>
      <c r="V59" s="30">
        <v>822562</v>
      </c>
      <c r="W59" s="30">
        <f>31381+20004</f>
        <v>51385</v>
      </c>
      <c r="X59" s="30">
        <f>33216+108982</f>
        <v>142198</v>
      </c>
      <c r="Y59" s="30">
        <f>12968+13652+1837+32676+62737+25586+47771+1956</f>
        <v>199183</v>
      </c>
      <c r="Z59" s="30">
        <v>34811</v>
      </c>
      <c r="AA59" s="30">
        <v>20659</v>
      </c>
      <c r="AB59" s="314"/>
      <c r="AC59" s="30">
        <f>20205+150</f>
        <v>20355</v>
      </c>
      <c r="AD59" s="30"/>
      <c r="AE59" s="30">
        <f>39453+11602+10867</f>
        <v>61922</v>
      </c>
      <c r="AF59" s="30"/>
      <c r="AG59" s="30">
        <v>90053</v>
      </c>
      <c r="AH59" s="30"/>
      <c r="AI59" s="30"/>
      <c r="AJ59" s="30">
        <v>27989</v>
      </c>
      <c r="AK59" s="30"/>
      <c r="AL59" s="30"/>
      <c r="AM59" s="30"/>
      <c r="AN59" s="30"/>
      <c r="AO59" s="30"/>
      <c r="AP59" s="30">
        <f>5995+33957+1760</f>
        <v>41712</v>
      </c>
      <c r="AQ59" s="30"/>
      <c r="AR59" s="30">
        <f>15190+23549+2491+142+3060</f>
        <v>44432</v>
      </c>
      <c r="AS59" s="30"/>
      <c r="AT59" s="30"/>
      <c r="AU59" s="30"/>
      <c r="AV59" s="314"/>
      <c r="AW59" s="314"/>
      <c r="AX59" s="314"/>
      <c r="AY59" s="30">
        <v>197802.78</v>
      </c>
      <c r="AZ59" s="30"/>
      <c r="BA59" s="314"/>
      <c r="BB59" s="314"/>
      <c r="BC59" s="314"/>
      <c r="BD59" s="314"/>
      <c r="BE59" s="30">
        <v>1070776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15">
        <v>53.87</v>
      </c>
      <c r="D60" s="315"/>
      <c r="E60" s="315">
        <v>254.21</v>
      </c>
      <c r="F60" s="315">
        <v>44.29</v>
      </c>
      <c r="G60" s="315"/>
      <c r="H60" s="315">
        <v>37.729999999999997</v>
      </c>
      <c r="I60" s="315"/>
      <c r="J60" s="315"/>
      <c r="K60" s="315"/>
      <c r="L60" s="315"/>
      <c r="M60" s="315"/>
      <c r="N60" s="315"/>
      <c r="O60" s="315">
        <v>49.44</v>
      </c>
      <c r="P60" s="316">
        <v>107.76</v>
      </c>
      <c r="Q60" s="316">
        <v>33.130000000000003</v>
      </c>
      <c r="R60" s="316">
        <v>2.57</v>
      </c>
      <c r="S60" s="317">
        <v>22.56</v>
      </c>
      <c r="T60" s="317">
        <v>8.6300000000000008</v>
      </c>
      <c r="U60" s="318">
        <v>81.87</v>
      </c>
      <c r="V60" s="316">
        <v>1.74</v>
      </c>
      <c r="W60" s="316">
        <v>10.88</v>
      </c>
      <c r="X60" s="316">
        <v>17.39</v>
      </c>
      <c r="Y60" s="316">
        <v>75.87</v>
      </c>
      <c r="Z60" s="316">
        <v>13.61</v>
      </c>
      <c r="AA60" s="316">
        <v>5.98</v>
      </c>
      <c r="AB60" s="317">
        <v>75.37</v>
      </c>
      <c r="AC60" s="316">
        <v>19.46</v>
      </c>
      <c r="AD60" s="316"/>
      <c r="AE60" s="316">
        <v>26.55</v>
      </c>
      <c r="AF60" s="316"/>
      <c r="AG60" s="316">
        <v>96.02</v>
      </c>
      <c r="AH60" s="316"/>
      <c r="AI60" s="316"/>
      <c r="AJ60" s="316">
        <v>73.260000000000005</v>
      </c>
      <c r="AK60" s="316"/>
      <c r="AL60" s="316"/>
      <c r="AM60" s="316"/>
      <c r="AN60" s="316"/>
      <c r="AO60" s="316"/>
      <c r="AP60" s="316">
        <v>397.98</v>
      </c>
      <c r="AQ60" s="316"/>
      <c r="AR60" s="316">
        <v>90.05</v>
      </c>
      <c r="AS60" s="316"/>
      <c r="AT60" s="316"/>
      <c r="AU60" s="316"/>
      <c r="AV60" s="317">
        <v>131.6</v>
      </c>
      <c r="AW60" s="317"/>
      <c r="AX60" s="317"/>
      <c r="AY60" s="316">
        <v>36.5</v>
      </c>
      <c r="AZ60" s="316">
        <v>24.93</v>
      </c>
      <c r="BA60" s="317">
        <v>3.51</v>
      </c>
      <c r="BB60" s="317"/>
      <c r="BC60" s="317"/>
      <c r="BD60" s="317">
        <v>19.64</v>
      </c>
      <c r="BE60" s="316">
        <v>22.92</v>
      </c>
      <c r="BF60" s="317">
        <v>68.680000000000007</v>
      </c>
      <c r="BG60" s="317">
        <v>3.64</v>
      </c>
      <c r="BH60" s="317">
        <v>25.2</v>
      </c>
      <c r="BI60" s="317">
        <v>29.1</v>
      </c>
      <c r="BJ60" s="317">
        <v>10.55</v>
      </c>
      <c r="BK60" s="317">
        <v>52.95</v>
      </c>
      <c r="BL60" s="317">
        <v>50.45</v>
      </c>
      <c r="BM60" s="317">
        <v>9.33</v>
      </c>
      <c r="BN60" s="317">
        <v>15.8</v>
      </c>
      <c r="BO60" s="317">
        <v>8.89</v>
      </c>
      <c r="BP60" s="317">
        <v>2.8</v>
      </c>
      <c r="BQ60" s="317"/>
      <c r="BR60" s="317">
        <v>20.5</v>
      </c>
      <c r="BS60" s="317">
        <v>1.75</v>
      </c>
      <c r="BT60" s="317">
        <v>3.12</v>
      </c>
      <c r="BU60" s="317"/>
      <c r="BV60" s="317">
        <v>54.36</v>
      </c>
      <c r="BW60" s="317">
        <v>4.53</v>
      </c>
      <c r="BX60" s="317">
        <v>53.39</v>
      </c>
      <c r="BY60" s="317">
        <v>12.89</v>
      </c>
      <c r="BZ60" s="317">
        <v>21.85</v>
      </c>
      <c r="CA60" s="317">
        <v>1.77</v>
      </c>
      <c r="CB60" s="317"/>
      <c r="CC60" s="317">
        <v>100.6</v>
      </c>
      <c r="CD60" s="247" t="s">
        <v>233</v>
      </c>
      <c r="CE60" s="268">
        <f t="shared" ref="CE60:CE68" si="4">SUM(C60:CD60)</f>
        <v>2391.4700000000003</v>
      </c>
    </row>
    <row r="61" spans="1:83" x14ac:dyDescent="0.35">
      <c r="A61" s="39" t="s">
        <v>248</v>
      </c>
      <c r="B61" s="20"/>
      <c r="C61" s="24">
        <v>6397275.0999999996</v>
      </c>
      <c r="D61" s="24"/>
      <c r="E61" s="24">
        <v>22142877.989999998</v>
      </c>
      <c r="F61" s="24">
        <v>4934114.0599999996</v>
      </c>
      <c r="G61" s="24"/>
      <c r="H61" s="24">
        <v>3820537.34</v>
      </c>
      <c r="I61" s="24"/>
      <c r="J61" s="24"/>
      <c r="K61" s="24"/>
      <c r="L61" s="24"/>
      <c r="M61" s="24"/>
      <c r="N61" s="24"/>
      <c r="O61" s="24">
        <v>5287121.74</v>
      </c>
      <c r="P61" s="30">
        <v>9412489.8000000007</v>
      </c>
      <c r="Q61" s="30">
        <v>3688626.62</v>
      </c>
      <c r="R61" s="30">
        <v>150403.64000000001</v>
      </c>
      <c r="S61" s="319">
        <v>1139315.18</v>
      </c>
      <c r="T61" s="319">
        <v>1125226.3899999999</v>
      </c>
      <c r="U61" s="31">
        <v>5194358.8</v>
      </c>
      <c r="V61" s="30">
        <v>79022.149999999994</v>
      </c>
      <c r="W61" s="30">
        <v>986729.06</v>
      </c>
      <c r="X61" s="30">
        <v>1456065.58</v>
      </c>
      <c r="Y61" s="30">
        <v>6066060.7300000004</v>
      </c>
      <c r="Z61" s="30">
        <v>1317668.27</v>
      </c>
      <c r="AA61" s="30">
        <v>525244.81000000006</v>
      </c>
      <c r="AB61" s="320">
        <v>6443676.2300000004</v>
      </c>
      <c r="AC61" s="30">
        <v>1961246.22</v>
      </c>
      <c r="AD61" s="30"/>
      <c r="AE61" s="30">
        <v>2494622.5499999998</v>
      </c>
      <c r="AF61" s="30"/>
      <c r="AG61" s="30">
        <v>9296582.4600000009</v>
      </c>
      <c r="AH61" s="30"/>
      <c r="AI61" s="30"/>
      <c r="AJ61" s="30">
        <v>8089455.0800000001</v>
      </c>
      <c r="AK61" s="30"/>
      <c r="AL61" s="30"/>
      <c r="AM61" s="30"/>
      <c r="AN61" s="30"/>
      <c r="AO61" s="30"/>
      <c r="AP61" s="30">
        <v>61670335.840000004</v>
      </c>
      <c r="AQ61" s="30"/>
      <c r="AR61" s="30">
        <v>8638668.9800000004</v>
      </c>
      <c r="AS61" s="30"/>
      <c r="AT61" s="30"/>
      <c r="AU61" s="30"/>
      <c r="AV61" s="319">
        <v>22424478.260000002</v>
      </c>
      <c r="AW61" s="319"/>
      <c r="AX61" s="319"/>
      <c r="AY61" s="30">
        <v>1829459.29</v>
      </c>
      <c r="AZ61" s="30">
        <v>1016708.18</v>
      </c>
      <c r="BA61" s="319">
        <v>135513.01</v>
      </c>
      <c r="BB61" s="319"/>
      <c r="BC61" s="319"/>
      <c r="BD61" s="319">
        <v>1106278.55</v>
      </c>
      <c r="BE61" s="30">
        <v>1501355.29</v>
      </c>
      <c r="BF61" s="319">
        <v>2551926.65</v>
      </c>
      <c r="BG61" s="319">
        <v>151027.10999999999</v>
      </c>
      <c r="BH61" s="319">
        <v>2079720.58</v>
      </c>
      <c r="BI61" s="319">
        <v>1294313.42</v>
      </c>
      <c r="BJ61" s="319">
        <v>698442.11</v>
      </c>
      <c r="BK61" s="319">
        <v>2629225.37</v>
      </c>
      <c r="BL61" s="319">
        <v>2455303.42</v>
      </c>
      <c r="BM61" s="319">
        <v>920274.76</v>
      </c>
      <c r="BN61" s="319">
        <v>3779831.45</v>
      </c>
      <c r="BO61" s="319">
        <v>827668.86</v>
      </c>
      <c r="BP61" s="319">
        <v>263821.93</v>
      </c>
      <c r="BQ61" s="319"/>
      <c r="BR61" s="319">
        <v>1945672.37</v>
      </c>
      <c r="BS61" s="319">
        <v>121606.33</v>
      </c>
      <c r="BT61" s="319">
        <v>216590.73</v>
      </c>
      <c r="BU61" s="319"/>
      <c r="BV61" s="319">
        <v>2777124.63</v>
      </c>
      <c r="BW61" s="319">
        <v>316939.42</v>
      </c>
      <c r="BX61" s="319">
        <v>5282395.72</v>
      </c>
      <c r="BY61" s="319">
        <v>1324255.04</v>
      </c>
      <c r="BZ61" s="319">
        <v>1941786.77</v>
      </c>
      <c r="CA61" s="319">
        <v>205164.82</v>
      </c>
      <c r="CB61" s="319"/>
      <c r="CC61" s="319">
        <v>7808479.3200000003</v>
      </c>
      <c r="CD61" s="29" t="s">
        <v>233</v>
      </c>
      <c r="CE61" s="32">
        <f t="shared" si="4"/>
        <v>239923088.00999996</v>
      </c>
    </row>
    <row r="62" spans="1:83" x14ac:dyDescent="0.35">
      <c r="A62" s="39" t="s">
        <v>9</v>
      </c>
      <c r="B62" s="20"/>
      <c r="C62" s="32">
        <f>ROUND(C47+C48,0)</f>
        <v>1394386</v>
      </c>
      <c r="D62" s="32">
        <f t="shared" ref="D62:BO62" si="5">ROUND(D47+D48,0)</f>
        <v>0</v>
      </c>
      <c r="E62" s="32">
        <f t="shared" si="5"/>
        <v>4826386</v>
      </c>
      <c r="F62" s="32">
        <f t="shared" si="5"/>
        <v>1075467</v>
      </c>
      <c r="G62" s="32">
        <f t="shared" si="5"/>
        <v>0</v>
      </c>
      <c r="H62" s="32">
        <f t="shared" si="5"/>
        <v>832746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1152411</v>
      </c>
      <c r="P62" s="32">
        <f t="shared" si="5"/>
        <v>2051599</v>
      </c>
      <c r="Q62" s="32">
        <f t="shared" si="5"/>
        <v>803994</v>
      </c>
      <c r="R62" s="32">
        <f t="shared" si="5"/>
        <v>32783</v>
      </c>
      <c r="S62" s="32">
        <f t="shared" si="5"/>
        <v>248332</v>
      </c>
      <c r="T62" s="32">
        <f t="shared" si="5"/>
        <v>245261</v>
      </c>
      <c r="U62" s="32">
        <f t="shared" si="5"/>
        <v>1132192</v>
      </c>
      <c r="V62" s="32">
        <f t="shared" si="5"/>
        <v>17224</v>
      </c>
      <c r="W62" s="32">
        <f t="shared" si="5"/>
        <v>215073</v>
      </c>
      <c r="X62" s="32">
        <f t="shared" si="5"/>
        <v>317372</v>
      </c>
      <c r="Y62" s="32">
        <f t="shared" si="5"/>
        <v>1322193</v>
      </c>
      <c r="Z62" s="32">
        <f t="shared" si="5"/>
        <v>287206</v>
      </c>
      <c r="AA62" s="32">
        <f t="shared" si="5"/>
        <v>114485</v>
      </c>
      <c r="AB62" s="32">
        <f t="shared" si="5"/>
        <v>1404500</v>
      </c>
      <c r="AC62" s="32">
        <f t="shared" si="5"/>
        <v>427484</v>
      </c>
      <c r="AD62" s="32">
        <f t="shared" si="5"/>
        <v>0</v>
      </c>
      <c r="AE62" s="32">
        <f t="shared" si="5"/>
        <v>543742</v>
      </c>
      <c r="AF62" s="32">
        <f t="shared" si="5"/>
        <v>0</v>
      </c>
      <c r="AG62" s="32">
        <f t="shared" si="5"/>
        <v>2026335</v>
      </c>
      <c r="AH62" s="32">
        <f t="shared" si="5"/>
        <v>0</v>
      </c>
      <c r="AI62" s="32">
        <f t="shared" si="5"/>
        <v>0</v>
      </c>
      <c r="AJ62" s="32">
        <f t="shared" si="5"/>
        <v>1763223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13442013</v>
      </c>
      <c r="AQ62" s="32">
        <f t="shared" si="5"/>
        <v>0</v>
      </c>
      <c r="AR62" s="32">
        <f t="shared" si="5"/>
        <v>1882933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4887765</v>
      </c>
      <c r="AW62" s="32">
        <f t="shared" si="5"/>
        <v>0</v>
      </c>
      <c r="AX62" s="32">
        <f t="shared" si="5"/>
        <v>0</v>
      </c>
      <c r="AY62" s="32">
        <f t="shared" si="5"/>
        <v>398759</v>
      </c>
      <c r="AZ62" s="32">
        <f t="shared" si="5"/>
        <v>221607</v>
      </c>
      <c r="BA62" s="32">
        <f t="shared" si="5"/>
        <v>29537</v>
      </c>
      <c r="BB62" s="32">
        <f t="shared" si="5"/>
        <v>0</v>
      </c>
      <c r="BC62" s="32">
        <f t="shared" si="5"/>
        <v>0</v>
      </c>
      <c r="BD62" s="32">
        <f t="shared" si="5"/>
        <v>241131</v>
      </c>
      <c r="BE62" s="32">
        <f t="shared" si="5"/>
        <v>327244</v>
      </c>
      <c r="BF62" s="32">
        <f t="shared" si="5"/>
        <v>556232</v>
      </c>
      <c r="BG62" s="32">
        <f t="shared" si="5"/>
        <v>32919</v>
      </c>
      <c r="BH62" s="32">
        <f t="shared" si="5"/>
        <v>453308</v>
      </c>
      <c r="BI62" s="32">
        <f t="shared" si="5"/>
        <v>282116</v>
      </c>
      <c r="BJ62" s="32">
        <f t="shared" si="5"/>
        <v>152236</v>
      </c>
      <c r="BK62" s="32">
        <f t="shared" si="5"/>
        <v>573081</v>
      </c>
      <c r="BL62" s="32">
        <f t="shared" si="5"/>
        <v>535172</v>
      </c>
      <c r="BM62" s="32">
        <f t="shared" si="5"/>
        <v>200588</v>
      </c>
      <c r="BN62" s="32">
        <f t="shared" si="5"/>
        <v>823873</v>
      </c>
      <c r="BO62" s="32">
        <f t="shared" si="5"/>
        <v>180403</v>
      </c>
      <c r="BP62" s="32">
        <f t="shared" ref="BP62:CC62" si="6">ROUND(BP47+BP48,0)</f>
        <v>57504</v>
      </c>
      <c r="BQ62" s="32">
        <f t="shared" si="6"/>
        <v>0</v>
      </c>
      <c r="BR62" s="32">
        <f t="shared" si="6"/>
        <v>424090</v>
      </c>
      <c r="BS62" s="32">
        <f t="shared" si="6"/>
        <v>26506</v>
      </c>
      <c r="BT62" s="32">
        <f t="shared" si="6"/>
        <v>47209</v>
      </c>
      <c r="BU62" s="32">
        <f t="shared" si="6"/>
        <v>0</v>
      </c>
      <c r="BV62" s="32">
        <f t="shared" si="6"/>
        <v>605318</v>
      </c>
      <c r="BW62" s="32">
        <f t="shared" si="6"/>
        <v>69082</v>
      </c>
      <c r="BX62" s="32">
        <f t="shared" si="6"/>
        <v>1151381</v>
      </c>
      <c r="BY62" s="32">
        <f t="shared" si="6"/>
        <v>288642</v>
      </c>
      <c r="BZ62" s="32">
        <f t="shared" si="6"/>
        <v>423243</v>
      </c>
      <c r="CA62" s="32">
        <f t="shared" si="6"/>
        <v>44719</v>
      </c>
      <c r="CB62" s="32">
        <f t="shared" si="6"/>
        <v>0</v>
      </c>
      <c r="CC62" s="32">
        <f t="shared" si="6"/>
        <v>1701980</v>
      </c>
      <c r="CD62" s="29" t="s">
        <v>233</v>
      </c>
      <c r="CE62" s="32">
        <f t="shared" si="4"/>
        <v>52294985</v>
      </c>
    </row>
    <row r="63" spans="1:83" x14ac:dyDescent="0.35">
      <c r="A63" s="39" t="s">
        <v>249</v>
      </c>
      <c r="B63" s="20"/>
      <c r="C63" s="24">
        <v>436886.3</v>
      </c>
      <c r="D63" s="24"/>
      <c r="E63" s="24"/>
      <c r="F63" s="24"/>
      <c r="G63" s="24"/>
      <c r="H63" s="24">
        <v>4525</v>
      </c>
      <c r="I63" s="24"/>
      <c r="J63" s="24"/>
      <c r="K63" s="24"/>
      <c r="L63" s="24"/>
      <c r="M63" s="24"/>
      <c r="N63" s="24"/>
      <c r="O63" s="24"/>
      <c r="P63" s="30">
        <v>-212623.06</v>
      </c>
      <c r="Q63" s="30"/>
      <c r="R63" s="30">
        <v>0</v>
      </c>
      <c r="S63" s="319"/>
      <c r="T63" s="319"/>
      <c r="U63" s="31">
        <v>174000</v>
      </c>
      <c r="V63" s="30">
        <v>0</v>
      </c>
      <c r="W63" s="30"/>
      <c r="X63" s="30"/>
      <c r="Y63" s="30">
        <v>135205.69</v>
      </c>
      <c r="Z63" s="30">
        <v>0</v>
      </c>
      <c r="AA63" s="30"/>
      <c r="AB63" s="320"/>
      <c r="AC63" s="30">
        <v>0</v>
      </c>
      <c r="AD63" s="30"/>
      <c r="AE63" s="30">
        <v>0</v>
      </c>
      <c r="AF63" s="30"/>
      <c r="AG63" s="30">
        <v>12451261.539999999</v>
      </c>
      <c r="AH63" s="30"/>
      <c r="AI63" s="30"/>
      <c r="AJ63" s="30">
        <v>-119241</v>
      </c>
      <c r="AK63" s="30"/>
      <c r="AL63" s="30"/>
      <c r="AM63" s="30"/>
      <c r="AN63" s="30"/>
      <c r="AO63" s="30"/>
      <c r="AP63" s="30">
        <v>8132359.8300000001</v>
      </c>
      <c r="AQ63" s="30"/>
      <c r="AR63" s="30">
        <v>0</v>
      </c>
      <c r="AS63" s="30"/>
      <c r="AT63" s="30"/>
      <c r="AU63" s="30"/>
      <c r="AV63" s="319">
        <v>3169615.49</v>
      </c>
      <c r="AW63" s="319"/>
      <c r="AX63" s="319"/>
      <c r="AY63" s="30">
        <v>0</v>
      </c>
      <c r="AZ63" s="30">
        <v>0</v>
      </c>
      <c r="BA63" s="319">
        <v>0</v>
      </c>
      <c r="BB63" s="319"/>
      <c r="BC63" s="319"/>
      <c r="BD63" s="319">
        <v>0</v>
      </c>
      <c r="BE63" s="30">
        <v>0</v>
      </c>
      <c r="BF63" s="319">
        <v>0</v>
      </c>
      <c r="BG63" s="319">
        <v>0</v>
      </c>
      <c r="BH63" s="319">
        <v>58972.5</v>
      </c>
      <c r="BI63" s="319">
        <v>2708333.29</v>
      </c>
      <c r="BJ63" s="319">
        <v>0</v>
      </c>
      <c r="BK63" s="319">
        <v>0</v>
      </c>
      <c r="BL63" s="319">
        <v>0</v>
      </c>
      <c r="BM63" s="319">
        <v>0</v>
      </c>
      <c r="BN63" s="319">
        <v>655696</v>
      </c>
      <c r="BO63" s="319">
        <v>0</v>
      </c>
      <c r="BP63" s="319">
        <v>0</v>
      </c>
      <c r="BQ63" s="319"/>
      <c r="BR63" s="319">
        <v>-1440</v>
      </c>
      <c r="BS63" s="319">
        <v>0</v>
      </c>
      <c r="BT63" s="319">
        <v>0</v>
      </c>
      <c r="BU63" s="319"/>
      <c r="BV63" s="319">
        <v>0</v>
      </c>
      <c r="BW63" s="319">
        <v>54000</v>
      </c>
      <c r="BX63" s="319">
        <v>0</v>
      </c>
      <c r="BY63" s="319">
        <v>0</v>
      </c>
      <c r="BZ63" s="319">
        <v>0</v>
      </c>
      <c r="CA63" s="319">
        <v>0</v>
      </c>
      <c r="CB63" s="319"/>
      <c r="CC63" s="319">
        <v>35731.33</v>
      </c>
      <c r="CD63" s="29" t="s">
        <v>233</v>
      </c>
      <c r="CE63" s="32">
        <f t="shared" si="4"/>
        <v>27683282.909999996</v>
      </c>
    </row>
    <row r="64" spans="1:83" x14ac:dyDescent="0.35">
      <c r="A64" s="39" t="s">
        <v>250</v>
      </c>
      <c r="B64" s="20"/>
      <c r="C64" s="24">
        <v>551826.44999999995</v>
      </c>
      <c r="D64" s="24"/>
      <c r="E64" s="24">
        <v>1833737.29</v>
      </c>
      <c r="F64" s="24">
        <v>177017.23</v>
      </c>
      <c r="G64" s="24"/>
      <c r="H64" s="24">
        <v>59881.18</v>
      </c>
      <c r="I64" s="24"/>
      <c r="J64" s="24"/>
      <c r="K64" s="24"/>
      <c r="L64" s="24"/>
      <c r="M64" s="24"/>
      <c r="N64" s="24"/>
      <c r="O64" s="24">
        <v>703342.18</v>
      </c>
      <c r="P64" s="30">
        <v>17767203.620000001</v>
      </c>
      <c r="Q64" s="30">
        <v>83597.740000000005</v>
      </c>
      <c r="R64" s="30">
        <v>422729.3</v>
      </c>
      <c r="S64" s="319">
        <v>436579.41</v>
      </c>
      <c r="T64" s="319">
        <v>361956.96</v>
      </c>
      <c r="U64" s="31">
        <v>5230531.1900000004</v>
      </c>
      <c r="V64" s="30">
        <v>2598.9</v>
      </c>
      <c r="W64" s="30">
        <v>54482.720000000001</v>
      </c>
      <c r="X64" s="30">
        <v>334727.94</v>
      </c>
      <c r="Y64" s="30">
        <v>9369706</v>
      </c>
      <c r="Z64" s="30">
        <v>37874.730000000003</v>
      </c>
      <c r="AA64" s="30">
        <v>572441.93000000005</v>
      </c>
      <c r="AB64" s="320">
        <v>12103510.300000001</v>
      </c>
      <c r="AC64" s="30">
        <v>571728.28</v>
      </c>
      <c r="AD64" s="30"/>
      <c r="AE64" s="30">
        <v>20158.47</v>
      </c>
      <c r="AF64" s="30"/>
      <c r="AG64" s="30">
        <v>2174610.86</v>
      </c>
      <c r="AH64" s="30"/>
      <c r="AI64" s="30"/>
      <c r="AJ64" s="30">
        <v>25994577.870000001</v>
      </c>
      <c r="AK64" s="30"/>
      <c r="AL64" s="30"/>
      <c r="AM64" s="30"/>
      <c r="AN64" s="30"/>
      <c r="AO64" s="30"/>
      <c r="AP64" s="30">
        <v>3150694.2</v>
      </c>
      <c r="AQ64" s="30"/>
      <c r="AR64" s="30">
        <v>1678197.5</v>
      </c>
      <c r="AS64" s="30"/>
      <c r="AT64" s="30"/>
      <c r="AU64" s="30"/>
      <c r="AV64" s="319">
        <v>9546769.1099999994</v>
      </c>
      <c r="AW64" s="319"/>
      <c r="AX64" s="319"/>
      <c r="AY64" s="30">
        <v>597160.79</v>
      </c>
      <c r="AZ64" s="30">
        <v>933337.1</v>
      </c>
      <c r="BA64" s="319">
        <v>382666.36</v>
      </c>
      <c r="BB64" s="319"/>
      <c r="BC64" s="319"/>
      <c r="BD64" s="319">
        <v>-4340.3</v>
      </c>
      <c r="BE64" s="30">
        <v>157430.44</v>
      </c>
      <c r="BF64" s="319">
        <v>303187.36</v>
      </c>
      <c r="BG64" s="319">
        <v>171.67</v>
      </c>
      <c r="BH64" s="319">
        <v>10094.73</v>
      </c>
      <c r="BI64" s="319">
        <v>18774.650000000001</v>
      </c>
      <c r="BJ64" s="319">
        <v>2784.33</v>
      </c>
      <c r="BK64" s="319">
        <v>10405.11</v>
      </c>
      <c r="BL64" s="319">
        <v>50632.44</v>
      </c>
      <c r="BM64" s="319">
        <v>1659.07</v>
      </c>
      <c r="BN64" s="319">
        <v>45607.07</v>
      </c>
      <c r="BO64" s="319">
        <v>108743.61</v>
      </c>
      <c r="BP64" s="319">
        <v>7126.08</v>
      </c>
      <c r="BQ64" s="319"/>
      <c r="BR64" s="319">
        <v>4262.8100000000004</v>
      </c>
      <c r="BS64" s="319">
        <v>204.92</v>
      </c>
      <c r="BT64" s="319">
        <v>67.33</v>
      </c>
      <c r="BU64" s="319"/>
      <c r="BV64" s="319">
        <v>21.66</v>
      </c>
      <c r="BW64" s="319">
        <v>-34.770000000000003</v>
      </c>
      <c r="BX64" s="319">
        <v>6486.46</v>
      </c>
      <c r="BY64" s="319">
        <v>2057.94</v>
      </c>
      <c r="BZ64" s="319">
        <v>645.4</v>
      </c>
      <c r="CA64" s="319">
        <v>16683.849999999999</v>
      </c>
      <c r="CB64" s="319"/>
      <c r="CC64" s="319">
        <v>144975.76</v>
      </c>
      <c r="CD64" s="29" t="s">
        <v>233</v>
      </c>
      <c r="CE64" s="32">
        <f t="shared" si="4"/>
        <v>96041293.229999989</v>
      </c>
    </row>
    <row r="65" spans="1:83" x14ac:dyDescent="0.35">
      <c r="A65" s="39" t="s">
        <v>251</v>
      </c>
      <c r="B65" s="20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30">
        <v>46479.5</v>
      </c>
      <c r="Q65" s="30"/>
      <c r="R65" s="30"/>
      <c r="S65" s="319"/>
      <c r="T65" s="319"/>
      <c r="U65" s="31">
        <v>3578.6</v>
      </c>
      <c r="V65" s="30"/>
      <c r="W65" s="30"/>
      <c r="X65" s="30"/>
      <c r="Y65" s="30">
        <v>146018.16</v>
      </c>
      <c r="Z65" s="30"/>
      <c r="AA65" s="30"/>
      <c r="AB65" s="320">
        <v>4500.37</v>
      </c>
      <c r="AC65" s="30"/>
      <c r="AD65" s="30"/>
      <c r="AE65" s="30">
        <v>11861.61</v>
      </c>
      <c r="AF65" s="30"/>
      <c r="AG65" s="30"/>
      <c r="AH65" s="30"/>
      <c r="AI65" s="30"/>
      <c r="AJ65" s="30">
        <v>157754.66</v>
      </c>
      <c r="AK65" s="30"/>
      <c r="AL65" s="30"/>
      <c r="AM65" s="30"/>
      <c r="AN65" s="30"/>
      <c r="AO65" s="30"/>
      <c r="AP65" s="30">
        <v>384058.11</v>
      </c>
      <c r="AQ65" s="30"/>
      <c r="AR65" s="30">
        <v>68135.460000000006</v>
      </c>
      <c r="AS65" s="30"/>
      <c r="AT65" s="30"/>
      <c r="AU65" s="30"/>
      <c r="AV65" s="319">
        <v>57761.77</v>
      </c>
      <c r="AW65" s="319"/>
      <c r="AX65" s="319"/>
      <c r="AY65" s="30"/>
      <c r="AZ65" s="30"/>
      <c r="BA65" s="319"/>
      <c r="BB65" s="319"/>
      <c r="BC65" s="319"/>
      <c r="BD65" s="319"/>
      <c r="BE65" s="30">
        <v>2023754.33</v>
      </c>
      <c r="BF65" s="319">
        <v>100132.83</v>
      </c>
      <c r="BG65" s="319"/>
      <c r="BH65" s="319"/>
      <c r="BI65" s="319">
        <v>1381.47</v>
      </c>
      <c r="BJ65" s="319"/>
      <c r="BK65" s="319"/>
      <c r="BL65" s="319"/>
      <c r="BM65" s="319">
        <v>18238.099999999999</v>
      </c>
      <c r="BN65" s="319">
        <v>402.61</v>
      </c>
      <c r="BO65" s="319"/>
      <c r="BP65" s="319">
        <v>4663.76</v>
      </c>
      <c r="BQ65" s="319"/>
      <c r="BR65" s="319"/>
      <c r="BS65" s="319"/>
      <c r="BT65" s="319"/>
      <c r="BU65" s="319"/>
      <c r="BV65" s="319"/>
      <c r="BW65" s="319"/>
      <c r="BX65" s="319"/>
      <c r="BY65" s="319"/>
      <c r="BZ65" s="319"/>
      <c r="CA65" s="319"/>
      <c r="CB65" s="319"/>
      <c r="CC65" s="319">
        <v>151777.76999999999</v>
      </c>
      <c r="CD65" s="29" t="s">
        <v>233</v>
      </c>
      <c r="CE65" s="32">
        <f t="shared" si="4"/>
        <v>3180499.1100000003</v>
      </c>
    </row>
    <row r="66" spans="1:83" x14ac:dyDescent="0.35">
      <c r="A66" s="39" t="s">
        <v>252</v>
      </c>
      <c r="B66" s="20"/>
      <c r="C66" s="24">
        <v>14696.43</v>
      </c>
      <c r="D66" s="24"/>
      <c r="E66" s="24">
        <v>4761.8599999999997</v>
      </c>
      <c r="F66" s="24"/>
      <c r="G66" s="24"/>
      <c r="H66" s="24">
        <v>-49714</v>
      </c>
      <c r="I66" s="24"/>
      <c r="J66" s="24"/>
      <c r="K66" s="24"/>
      <c r="L66" s="24"/>
      <c r="M66" s="24"/>
      <c r="N66" s="24"/>
      <c r="O66" s="24"/>
      <c r="P66" s="30">
        <v>681775.38</v>
      </c>
      <c r="Q66" s="30">
        <v>406.13</v>
      </c>
      <c r="R66" s="30">
        <v>16528.45</v>
      </c>
      <c r="S66" s="319">
        <v>1296</v>
      </c>
      <c r="T66" s="319"/>
      <c r="U66" s="31">
        <v>1673305.45</v>
      </c>
      <c r="V66" s="30"/>
      <c r="W66" s="30">
        <v>417150.4</v>
      </c>
      <c r="X66" s="30">
        <v>226407.75</v>
      </c>
      <c r="Y66" s="30">
        <v>655474.9</v>
      </c>
      <c r="Z66" s="30">
        <v>799695.88</v>
      </c>
      <c r="AA66" s="30">
        <v>44366.79</v>
      </c>
      <c r="AB66" s="320">
        <v>54263.25</v>
      </c>
      <c r="AC66" s="30">
        <v>1573.93</v>
      </c>
      <c r="AD66" s="30">
        <v>1395604.31</v>
      </c>
      <c r="AE66" s="30">
        <v>2482.1799999999998</v>
      </c>
      <c r="AF66" s="30"/>
      <c r="AG66" s="30">
        <v>1087773.4099999999</v>
      </c>
      <c r="AH66" s="30"/>
      <c r="AI66" s="30"/>
      <c r="AJ66" s="30">
        <v>40421.919999999998</v>
      </c>
      <c r="AK66" s="30"/>
      <c r="AL66" s="30"/>
      <c r="AM66" s="30"/>
      <c r="AN66" s="30"/>
      <c r="AO66" s="30"/>
      <c r="AP66" s="30">
        <v>3707010.56</v>
      </c>
      <c r="AQ66" s="30"/>
      <c r="AR66" s="30">
        <v>440143.39</v>
      </c>
      <c r="AS66" s="30"/>
      <c r="AT66" s="30"/>
      <c r="AU66" s="30"/>
      <c r="AV66" s="319">
        <v>378599.16</v>
      </c>
      <c r="AW66" s="319"/>
      <c r="AX66" s="319"/>
      <c r="AY66" s="30"/>
      <c r="AZ66" s="30">
        <v>675.79</v>
      </c>
      <c r="BA66" s="319">
        <v>52445.19</v>
      </c>
      <c r="BB66" s="319"/>
      <c r="BC66" s="319"/>
      <c r="BD66" s="319">
        <v>3807.27</v>
      </c>
      <c r="BE66" s="30">
        <v>313906.94</v>
      </c>
      <c r="BF66" s="319">
        <v>239186.3</v>
      </c>
      <c r="BG66" s="319">
        <v>46653.22</v>
      </c>
      <c r="BH66" s="319">
        <v>541852.29</v>
      </c>
      <c r="BI66" s="319">
        <v>550652.35</v>
      </c>
      <c r="BJ66" s="319">
        <v>49332.56</v>
      </c>
      <c r="BK66" s="319">
        <v>7117236.5800000001</v>
      </c>
      <c r="BL66" s="319">
        <v>1377641.48</v>
      </c>
      <c r="BM66" s="319">
        <v>108064.74</v>
      </c>
      <c r="BN66" s="319">
        <v>1959300.84</v>
      </c>
      <c r="BO66" s="319">
        <v>150827.48000000001</v>
      </c>
      <c r="BP66" s="319">
        <v>56788.24</v>
      </c>
      <c r="BQ66" s="319"/>
      <c r="BR66" s="319">
        <v>278364.44</v>
      </c>
      <c r="BS66" s="319"/>
      <c r="BT66" s="319"/>
      <c r="BU66" s="319"/>
      <c r="BV66" s="319">
        <v>1256380.8400000001</v>
      </c>
      <c r="BW66" s="319"/>
      <c r="BX66" s="319">
        <v>1013502.85</v>
      </c>
      <c r="BY66" s="319">
        <v>15111.49</v>
      </c>
      <c r="BZ66" s="319"/>
      <c r="CA66" s="319">
        <v>56298.01</v>
      </c>
      <c r="CB66" s="319"/>
      <c r="CC66" s="319">
        <v>810559.42</v>
      </c>
      <c r="CD66" s="29" t="s">
        <v>233</v>
      </c>
      <c r="CE66" s="32">
        <f t="shared" si="4"/>
        <v>27592611.850000005</v>
      </c>
    </row>
    <row r="67" spans="1:83" x14ac:dyDescent="0.35">
      <c r="A67" s="39" t="s">
        <v>11</v>
      </c>
      <c r="B67" s="20"/>
      <c r="C67" s="32">
        <f t="shared" ref="C67:BN67" si="7">ROUND(C51+C52,0)</f>
        <v>206654</v>
      </c>
      <c r="D67" s="32">
        <f t="shared" si="7"/>
        <v>0</v>
      </c>
      <c r="E67" s="32">
        <f t="shared" si="7"/>
        <v>1158095</v>
      </c>
      <c r="F67" s="32">
        <f t="shared" si="7"/>
        <v>341233</v>
      </c>
      <c r="G67" s="32">
        <f t="shared" si="7"/>
        <v>0</v>
      </c>
      <c r="H67" s="32">
        <f t="shared" si="7"/>
        <v>242664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192843</v>
      </c>
      <c r="P67" s="32">
        <f t="shared" si="7"/>
        <v>776339</v>
      </c>
      <c r="Q67" s="32">
        <f t="shared" si="7"/>
        <v>51131</v>
      </c>
      <c r="R67" s="32">
        <f t="shared" si="7"/>
        <v>11391</v>
      </c>
      <c r="S67" s="32">
        <f t="shared" si="7"/>
        <v>624911</v>
      </c>
      <c r="T67" s="32">
        <f t="shared" si="7"/>
        <v>5313</v>
      </c>
      <c r="U67" s="32">
        <f t="shared" si="7"/>
        <v>215097</v>
      </c>
      <c r="V67" s="32">
        <f t="shared" si="7"/>
        <v>4112</v>
      </c>
      <c r="W67" s="32">
        <f t="shared" si="7"/>
        <v>41414</v>
      </c>
      <c r="X67" s="32">
        <f t="shared" si="7"/>
        <v>43507</v>
      </c>
      <c r="Y67" s="32">
        <f t="shared" si="7"/>
        <v>735962</v>
      </c>
      <c r="Z67" s="32">
        <f t="shared" si="7"/>
        <v>231000</v>
      </c>
      <c r="AA67" s="32">
        <f t="shared" si="7"/>
        <v>41633</v>
      </c>
      <c r="AB67" s="32">
        <f t="shared" si="7"/>
        <v>187475</v>
      </c>
      <c r="AC67" s="32">
        <f t="shared" si="7"/>
        <v>55971</v>
      </c>
      <c r="AD67" s="32">
        <f t="shared" si="7"/>
        <v>4858</v>
      </c>
      <c r="AE67" s="32">
        <f t="shared" si="7"/>
        <v>200722</v>
      </c>
      <c r="AF67" s="32">
        <f t="shared" si="7"/>
        <v>0</v>
      </c>
      <c r="AG67" s="32">
        <f t="shared" si="7"/>
        <v>326039</v>
      </c>
      <c r="AH67" s="32">
        <f t="shared" si="7"/>
        <v>0</v>
      </c>
      <c r="AI67" s="32">
        <f t="shared" si="7"/>
        <v>0</v>
      </c>
      <c r="AJ67" s="32">
        <f t="shared" si="7"/>
        <v>309007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3147027</v>
      </c>
      <c r="AQ67" s="32">
        <f t="shared" si="7"/>
        <v>0</v>
      </c>
      <c r="AR67" s="32">
        <f t="shared" si="7"/>
        <v>626658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198120</v>
      </c>
      <c r="AW67" s="32">
        <f t="shared" si="7"/>
        <v>0</v>
      </c>
      <c r="AX67" s="32">
        <f t="shared" si="7"/>
        <v>0</v>
      </c>
      <c r="AY67" s="32">
        <f t="shared" si="7"/>
        <v>120659</v>
      </c>
      <c r="AZ67" s="32">
        <f t="shared" si="7"/>
        <v>80081</v>
      </c>
      <c r="BA67" s="32">
        <f t="shared" si="7"/>
        <v>47783</v>
      </c>
      <c r="BB67" s="32">
        <f t="shared" si="7"/>
        <v>0</v>
      </c>
      <c r="BC67" s="32">
        <f t="shared" si="7"/>
        <v>0</v>
      </c>
      <c r="BD67" s="32">
        <f t="shared" si="7"/>
        <v>121223</v>
      </c>
      <c r="BE67" s="32">
        <f t="shared" si="7"/>
        <v>7764504</v>
      </c>
      <c r="BF67" s="32">
        <f t="shared" si="7"/>
        <v>25820</v>
      </c>
      <c r="BG67" s="32">
        <f t="shared" si="7"/>
        <v>3566</v>
      </c>
      <c r="BH67" s="32">
        <f t="shared" si="7"/>
        <v>115218</v>
      </c>
      <c r="BI67" s="32">
        <f t="shared" si="7"/>
        <v>17305</v>
      </c>
      <c r="BJ67" s="32">
        <f t="shared" si="7"/>
        <v>48038</v>
      </c>
      <c r="BK67" s="32">
        <f t="shared" si="7"/>
        <v>154103</v>
      </c>
      <c r="BL67" s="32">
        <f t="shared" si="7"/>
        <v>71711</v>
      </c>
      <c r="BM67" s="32">
        <f t="shared" si="7"/>
        <v>40923</v>
      </c>
      <c r="BN67" s="32">
        <f t="shared" si="7"/>
        <v>32080</v>
      </c>
      <c r="BO67" s="32">
        <f t="shared" ref="BO67:CC67" si="8">ROUND(BO51+BO52,0)</f>
        <v>45745</v>
      </c>
      <c r="BP67" s="32">
        <f t="shared" si="8"/>
        <v>67362</v>
      </c>
      <c r="BQ67" s="32">
        <f t="shared" si="8"/>
        <v>0</v>
      </c>
      <c r="BR67" s="32">
        <f t="shared" si="8"/>
        <v>64596</v>
      </c>
      <c r="BS67" s="32">
        <f t="shared" si="8"/>
        <v>9207</v>
      </c>
      <c r="BT67" s="32">
        <f t="shared" si="8"/>
        <v>5441</v>
      </c>
      <c r="BU67" s="32">
        <f t="shared" si="8"/>
        <v>0</v>
      </c>
      <c r="BV67" s="32">
        <f t="shared" si="8"/>
        <v>67362</v>
      </c>
      <c r="BW67" s="32">
        <f t="shared" si="8"/>
        <v>31607</v>
      </c>
      <c r="BX67" s="32">
        <f t="shared" si="8"/>
        <v>37666</v>
      </c>
      <c r="BY67" s="32">
        <f t="shared" si="8"/>
        <v>5459</v>
      </c>
      <c r="BZ67" s="32">
        <f t="shared" si="8"/>
        <v>7697</v>
      </c>
      <c r="CA67" s="32">
        <f t="shared" si="8"/>
        <v>28805</v>
      </c>
      <c r="CB67" s="32">
        <f t="shared" si="8"/>
        <v>377625</v>
      </c>
      <c r="CC67" s="32">
        <f t="shared" si="8"/>
        <v>113253</v>
      </c>
      <c r="CD67" s="29" t="s">
        <v>233</v>
      </c>
      <c r="CE67" s="32">
        <f t="shared" si="4"/>
        <v>19484015</v>
      </c>
    </row>
    <row r="68" spans="1:83" x14ac:dyDescent="0.35">
      <c r="A68" s="39" t="s">
        <v>253</v>
      </c>
      <c r="B68" s="32"/>
      <c r="C68" s="24">
        <v>2004.49</v>
      </c>
      <c r="D68" s="24"/>
      <c r="E68" s="24">
        <v>13941.44</v>
      </c>
      <c r="F68" s="24">
        <v>27470.799999999999</v>
      </c>
      <c r="G68" s="24"/>
      <c r="H68" s="24">
        <v>3792.13</v>
      </c>
      <c r="I68" s="24"/>
      <c r="J68" s="24"/>
      <c r="K68" s="24"/>
      <c r="L68" s="24"/>
      <c r="M68" s="24"/>
      <c r="N68" s="24"/>
      <c r="O68" s="24">
        <v>1184.8599999999999</v>
      </c>
      <c r="P68" s="30">
        <v>796310.51</v>
      </c>
      <c r="Q68" s="30">
        <v>1170.45</v>
      </c>
      <c r="R68" s="30">
        <v>47.05</v>
      </c>
      <c r="S68" s="319">
        <v>69617.53</v>
      </c>
      <c r="T68" s="319">
        <v>278.43</v>
      </c>
      <c r="U68" s="31">
        <v>571763.76</v>
      </c>
      <c r="V68" s="30">
        <v>19895.7</v>
      </c>
      <c r="W68" s="30">
        <v>761.69</v>
      </c>
      <c r="X68" s="30">
        <v>1147.95</v>
      </c>
      <c r="Y68" s="30">
        <v>313699.03999999998</v>
      </c>
      <c r="Z68" s="30">
        <v>4843.1099999999997</v>
      </c>
      <c r="AA68" s="30">
        <v>1093.42</v>
      </c>
      <c r="AB68" s="320">
        <v>100716</v>
      </c>
      <c r="AC68" s="30">
        <v>31965.31</v>
      </c>
      <c r="AD68" s="30"/>
      <c r="AE68" s="30">
        <v>121576.31</v>
      </c>
      <c r="AF68" s="30"/>
      <c r="AG68" s="30">
        <v>7683.48</v>
      </c>
      <c r="AH68" s="30"/>
      <c r="AI68" s="30"/>
      <c r="AJ68" s="30">
        <v>99815.77</v>
      </c>
      <c r="AK68" s="30"/>
      <c r="AL68" s="30"/>
      <c r="AM68" s="30"/>
      <c r="AN68" s="30"/>
      <c r="AO68" s="30"/>
      <c r="AP68" s="30">
        <v>4507049.59</v>
      </c>
      <c r="AQ68" s="30"/>
      <c r="AR68" s="30">
        <v>215919.39</v>
      </c>
      <c r="AS68" s="30"/>
      <c r="AT68" s="30"/>
      <c r="AU68" s="30"/>
      <c r="AV68" s="319">
        <v>496181.86</v>
      </c>
      <c r="AW68" s="319"/>
      <c r="AX68" s="319"/>
      <c r="AY68" s="30">
        <v>13089.93</v>
      </c>
      <c r="AZ68" s="30">
        <v>104.742</v>
      </c>
      <c r="BA68" s="319">
        <v>209744.67</v>
      </c>
      <c r="BB68" s="319"/>
      <c r="BC68" s="319"/>
      <c r="BD68" s="319">
        <v>14284.95</v>
      </c>
      <c r="BE68" s="30">
        <v>-49663.37</v>
      </c>
      <c r="BF68" s="319">
        <v>3311.09</v>
      </c>
      <c r="BG68" s="319">
        <v>325.08</v>
      </c>
      <c r="BH68" s="319">
        <v>33900.379999999997</v>
      </c>
      <c r="BI68" s="319">
        <v>1029.5</v>
      </c>
      <c r="BJ68" s="319">
        <v>3299.77</v>
      </c>
      <c r="BK68" s="319">
        <v>5661.65</v>
      </c>
      <c r="BL68" s="319">
        <v>15861.29</v>
      </c>
      <c r="BM68" s="319">
        <v>497.51</v>
      </c>
      <c r="BN68" s="319">
        <v>17487.150000000001</v>
      </c>
      <c r="BO68" s="319">
        <v>52859.92</v>
      </c>
      <c r="BP68" s="319">
        <v>2230.11</v>
      </c>
      <c r="BQ68" s="319"/>
      <c r="BR68" s="319">
        <v>245675.19</v>
      </c>
      <c r="BS68" s="319">
        <v>64.099999999999994</v>
      </c>
      <c r="BT68" s="319">
        <v>58.23</v>
      </c>
      <c r="BU68" s="319"/>
      <c r="BV68" s="319">
        <v>60519.3</v>
      </c>
      <c r="BW68" s="319">
        <v>2488.58</v>
      </c>
      <c r="BX68" s="319">
        <v>72149.919999999998</v>
      </c>
      <c r="BY68" s="319">
        <v>357.28</v>
      </c>
      <c r="BZ68" s="319">
        <v>260.55</v>
      </c>
      <c r="CA68" s="319">
        <v>-41.7</v>
      </c>
      <c r="CB68" s="319"/>
      <c r="CC68" s="319">
        <v>159071.1</v>
      </c>
      <c r="CD68" s="29" t="s">
        <v>233</v>
      </c>
      <c r="CE68" s="32">
        <f t="shared" si="4"/>
        <v>8274556.9919999996</v>
      </c>
    </row>
    <row r="69" spans="1:83" x14ac:dyDescent="0.35">
      <c r="A69" s="39" t="s">
        <v>254</v>
      </c>
      <c r="B69" s="20"/>
      <c r="C69" s="32">
        <f t="shared" ref="C69:BN69" si="9">SUM(C70:C83)</f>
        <v>3850767.52</v>
      </c>
      <c r="D69" s="32">
        <f t="shared" si="9"/>
        <v>0</v>
      </c>
      <c r="E69" s="32">
        <f t="shared" si="9"/>
        <v>7985701.2199999997</v>
      </c>
      <c r="F69" s="32">
        <f t="shared" si="9"/>
        <v>128929.26</v>
      </c>
      <c r="G69" s="32">
        <f t="shared" si="9"/>
        <v>0</v>
      </c>
      <c r="H69" s="32">
        <f t="shared" si="9"/>
        <v>60088.75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126722.45</v>
      </c>
      <c r="P69" s="32">
        <f t="shared" si="9"/>
        <v>1621883.25</v>
      </c>
      <c r="Q69" s="32">
        <f t="shared" si="9"/>
        <v>28703.5</v>
      </c>
      <c r="R69" s="32">
        <f t="shared" si="9"/>
        <v>41512.410000000003</v>
      </c>
      <c r="S69" s="32">
        <f t="shared" si="9"/>
        <v>176417.52</v>
      </c>
      <c r="T69" s="32">
        <f t="shared" si="9"/>
        <v>5213.8599999999997</v>
      </c>
      <c r="U69" s="32">
        <f t="shared" si="9"/>
        <v>3581739.05</v>
      </c>
      <c r="V69" s="32">
        <f t="shared" si="9"/>
        <v>804762.27</v>
      </c>
      <c r="W69" s="32">
        <f t="shared" si="9"/>
        <v>11515.84</v>
      </c>
      <c r="X69" s="32">
        <f t="shared" si="9"/>
        <v>172007.57000000004</v>
      </c>
      <c r="Y69" s="32">
        <f t="shared" si="9"/>
        <v>1712857.7</v>
      </c>
      <c r="Z69" s="32">
        <f t="shared" si="9"/>
        <v>909067.48</v>
      </c>
      <c r="AA69" s="32">
        <f t="shared" si="9"/>
        <v>355613.91000000003</v>
      </c>
      <c r="AB69" s="32">
        <f t="shared" si="9"/>
        <v>670003.91</v>
      </c>
      <c r="AC69" s="32">
        <f t="shared" si="9"/>
        <v>1674502.62</v>
      </c>
      <c r="AD69" s="32">
        <f t="shared" si="9"/>
        <v>7444.39</v>
      </c>
      <c r="AE69" s="32">
        <f t="shared" si="9"/>
        <v>27101.29</v>
      </c>
      <c r="AF69" s="32">
        <f t="shared" si="9"/>
        <v>0</v>
      </c>
      <c r="AG69" s="32">
        <f t="shared" si="9"/>
        <v>3548483.4899999998</v>
      </c>
      <c r="AH69" s="32">
        <f t="shared" si="9"/>
        <v>0</v>
      </c>
      <c r="AI69" s="32">
        <f t="shared" si="9"/>
        <v>0</v>
      </c>
      <c r="AJ69" s="32">
        <f t="shared" si="9"/>
        <v>787169.73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4576903.5399999991</v>
      </c>
      <c r="AQ69" s="32">
        <f t="shared" si="9"/>
        <v>0</v>
      </c>
      <c r="AR69" s="32">
        <f t="shared" si="9"/>
        <v>773675.39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1981890.88</v>
      </c>
      <c r="AW69" s="32">
        <f t="shared" si="9"/>
        <v>0</v>
      </c>
      <c r="AX69" s="32">
        <f t="shared" si="9"/>
        <v>0</v>
      </c>
      <c r="AY69" s="32">
        <f t="shared" si="9"/>
        <v>131379.99</v>
      </c>
      <c r="AZ69" s="32">
        <f t="shared" si="9"/>
        <v>201243.28</v>
      </c>
      <c r="BA69" s="32">
        <f t="shared" si="9"/>
        <v>540488.68000000005</v>
      </c>
      <c r="BB69" s="32">
        <f t="shared" si="9"/>
        <v>0</v>
      </c>
      <c r="BC69" s="32">
        <f t="shared" si="9"/>
        <v>0</v>
      </c>
      <c r="BD69" s="32">
        <f t="shared" si="9"/>
        <v>805489.91999999993</v>
      </c>
      <c r="BE69" s="32">
        <f t="shared" si="9"/>
        <v>2168372.3899999997</v>
      </c>
      <c r="BF69" s="32">
        <f t="shared" si="9"/>
        <v>1242582.3900000001</v>
      </c>
      <c r="BG69" s="32">
        <f t="shared" si="9"/>
        <v>211282.84</v>
      </c>
      <c r="BH69" s="32">
        <f t="shared" si="9"/>
        <v>10682100.119999999</v>
      </c>
      <c r="BI69" s="32">
        <f t="shared" si="9"/>
        <v>266723.26</v>
      </c>
      <c r="BJ69" s="32">
        <f t="shared" si="9"/>
        <v>473628.53200000001</v>
      </c>
      <c r="BK69" s="32">
        <f t="shared" si="9"/>
        <v>321615.05</v>
      </c>
      <c r="BL69" s="32">
        <f t="shared" si="9"/>
        <v>53355.170000000006</v>
      </c>
      <c r="BM69" s="32">
        <f t="shared" si="9"/>
        <v>149637.72</v>
      </c>
      <c r="BN69" s="32">
        <f t="shared" si="9"/>
        <v>12448368.389999999</v>
      </c>
      <c r="BO69" s="32">
        <f t="shared" ref="BO69:CD69" si="10">SUM(BO70:BO83)</f>
        <v>50685.899999999994</v>
      </c>
      <c r="BP69" s="32">
        <f t="shared" si="10"/>
        <v>162563.30000000002</v>
      </c>
      <c r="BQ69" s="32">
        <f t="shared" si="10"/>
        <v>0</v>
      </c>
      <c r="BR69" s="32">
        <f t="shared" si="10"/>
        <v>1352347.3099999998</v>
      </c>
      <c r="BS69" s="32">
        <f t="shared" si="10"/>
        <v>21522.959999999999</v>
      </c>
      <c r="BT69" s="32">
        <f t="shared" si="10"/>
        <v>9372.2199999999993</v>
      </c>
      <c r="BU69" s="32">
        <f t="shared" si="10"/>
        <v>0</v>
      </c>
      <c r="BV69" s="32">
        <f t="shared" si="10"/>
        <v>-7406.48</v>
      </c>
      <c r="BW69" s="32">
        <f t="shared" si="10"/>
        <v>244906.41</v>
      </c>
      <c r="BX69" s="32">
        <f t="shared" si="10"/>
        <v>308932.59999999998</v>
      </c>
      <c r="BY69" s="32">
        <f t="shared" si="10"/>
        <v>185220</v>
      </c>
      <c r="BZ69" s="32">
        <f t="shared" si="10"/>
        <v>92017.060000000012</v>
      </c>
      <c r="CA69" s="32">
        <f t="shared" si="10"/>
        <v>82537.490000000005</v>
      </c>
      <c r="CB69" s="32">
        <f t="shared" si="10"/>
        <v>0</v>
      </c>
      <c r="CC69" s="32">
        <f t="shared" si="10"/>
        <v>3812465.3</v>
      </c>
      <c r="CD69" s="32">
        <f t="shared" si="10"/>
        <v>-14102983</v>
      </c>
      <c r="CE69" s="32">
        <f>SUM(CE70:CE84)</f>
        <v>92070014.701999992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>
        <v>1550242.04</v>
      </c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1550242.04</v>
      </c>
    </row>
    <row r="71" spans="1:83" x14ac:dyDescent="0.35">
      <c r="A71" s="33" t="s">
        <v>256</v>
      </c>
      <c r="B71" s="34"/>
      <c r="C71" s="274">
        <v>3685230.55</v>
      </c>
      <c r="D71" s="274"/>
      <c r="E71" s="274">
        <v>7497402.2199999997</v>
      </c>
      <c r="F71" s="274">
        <v>0</v>
      </c>
      <c r="G71" s="274"/>
      <c r="H71" s="274">
        <v>4304.91</v>
      </c>
      <c r="I71" s="274"/>
      <c r="J71" s="274"/>
      <c r="K71" s="274"/>
      <c r="L71" s="274"/>
      <c r="M71" s="274"/>
      <c r="N71" s="274"/>
      <c r="O71" s="274"/>
      <c r="P71" s="274">
        <v>454835.59</v>
      </c>
      <c r="Q71" s="274"/>
      <c r="R71" s="274"/>
      <c r="S71" s="274">
        <v>126844.62</v>
      </c>
      <c r="T71" s="274"/>
      <c r="U71" s="274">
        <v>474159.54</v>
      </c>
      <c r="V71" s="274">
        <v>801516.7</v>
      </c>
      <c r="W71" s="274"/>
      <c r="X71" s="274"/>
      <c r="Y71" s="274">
        <v>793204.98</v>
      </c>
      <c r="Z71" s="274">
        <v>18452.86</v>
      </c>
      <c r="AA71" s="274"/>
      <c r="AB71" s="274"/>
      <c r="AC71" s="274">
        <v>1625484.59</v>
      </c>
      <c r="AD71" s="274"/>
      <c r="AE71" s="274"/>
      <c r="AF71" s="274"/>
      <c r="AG71" s="274">
        <v>3316401.1</v>
      </c>
      <c r="AH71" s="274"/>
      <c r="AI71" s="274"/>
      <c r="AJ71" s="274"/>
      <c r="AK71" s="274"/>
      <c r="AL71" s="274"/>
      <c r="AM71" s="274"/>
      <c r="AN71" s="274"/>
      <c r="AO71" s="274"/>
      <c r="AP71" s="274">
        <v>38230.129999999997</v>
      </c>
      <c r="AQ71" s="274"/>
      <c r="AR71" s="274">
        <v>-488.36</v>
      </c>
      <c r="AS71" s="274"/>
      <c r="AT71" s="274"/>
      <c r="AU71" s="274"/>
      <c r="AV71" s="274">
        <v>918440.95999999996</v>
      </c>
      <c r="AW71" s="274"/>
      <c r="AX71" s="274"/>
      <c r="AY71" s="274"/>
      <c r="AZ71" s="274"/>
      <c r="BA71" s="274"/>
      <c r="BB71" s="274"/>
      <c r="BC71" s="274"/>
      <c r="BD71" s="274"/>
      <c r="BE71" s="274"/>
      <c r="BF71" s="274">
        <v>92174.15</v>
      </c>
      <c r="BG71" s="274"/>
      <c r="BH71" s="274"/>
      <c r="BI71" s="274"/>
      <c r="BJ71" s="274"/>
      <c r="BK71" s="274"/>
      <c r="BL71" s="274"/>
      <c r="BM71" s="274"/>
      <c r="BN71" s="274">
        <v>1041.3599999999999</v>
      </c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>
        <v>12797.1</v>
      </c>
      <c r="CA71" s="274"/>
      <c r="CB71" s="274"/>
      <c r="CC71" s="274">
        <v>67913.88</v>
      </c>
      <c r="CD71" s="274"/>
      <c r="CE71" s="32">
        <f t="shared" ref="CE71:CE85" si="11">SUM(C71:CD71)</f>
        <v>19927946.879999995</v>
      </c>
    </row>
    <row r="72" spans="1:83" x14ac:dyDescent="0.35">
      <c r="A72" s="33" t="s">
        <v>257</v>
      </c>
      <c r="B72" s="34"/>
      <c r="C72" s="274">
        <v>1267.6600000000001</v>
      </c>
      <c r="D72" s="274"/>
      <c r="E72" s="274">
        <v>3069.12</v>
      </c>
      <c r="F72" s="274">
        <v>17188.29</v>
      </c>
      <c r="G72" s="274"/>
      <c r="H72" s="274">
        <v>10035.58</v>
      </c>
      <c r="I72" s="274"/>
      <c r="J72" s="274"/>
      <c r="K72" s="274"/>
      <c r="L72" s="274"/>
      <c r="M72" s="274"/>
      <c r="N72" s="274"/>
      <c r="O72" s="274">
        <v>942.22</v>
      </c>
      <c r="P72" s="274">
        <v>166486.59</v>
      </c>
      <c r="Q72" s="274"/>
      <c r="R72" s="274"/>
      <c r="S72" s="274">
        <v>2555.88</v>
      </c>
      <c r="T72" s="274"/>
      <c r="U72" s="274">
        <v>472400.59</v>
      </c>
      <c r="V72" s="274"/>
      <c r="W72" s="274">
        <v>3655.13</v>
      </c>
      <c r="X72" s="274">
        <v>152455.23000000001</v>
      </c>
      <c r="Y72" s="274">
        <v>841449.87</v>
      </c>
      <c r="Z72" s="274">
        <v>913008.42</v>
      </c>
      <c r="AA72" s="274"/>
      <c r="AB72" s="274">
        <v>395947.49</v>
      </c>
      <c r="AC72" s="274">
        <v>1366.59</v>
      </c>
      <c r="AD72" s="274"/>
      <c r="AE72" s="274">
        <v>4306.8100000000004</v>
      </c>
      <c r="AF72" s="274"/>
      <c r="AG72" s="274">
        <v>5700.32</v>
      </c>
      <c r="AH72" s="274"/>
      <c r="AI72" s="274"/>
      <c r="AJ72" s="274">
        <v>279561.28999999998</v>
      </c>
      <c r="AK72" s="274"/>
      <c r="AL72" s="274"/>
      <c r="AM72" s="274"/>
      <c r="AN72" s="274"/>
      <c r="AO72" s="274"/>
      <c r="AP72" s="274">
        <v>1180094.26</v>
      </c>
      <c r="AQ72" s="274"/>
      <c r="AR72" s="274">
        <v>30920.75</v>
      </c>
      <c r="AS72" s="274"/>
      <c r="AT72" s="274"/>
      <c r="AU72" s="274"/>
      <c r="AV72" s="274">
        <v>173256.99</v>
      </c>
      <c r="AW72" s="274"/>
      <c r="AX72" s="274"/>
      <c r="AY72" s="274">
        <v>88150.79</v>
      </c>
      <c r="AZ72" s="274">
        <v>25846.33</v>
      </c>
      <c r="BA72" s="274"/>
      <c r="BB72" s="274"/>
      <c r="BC72" s="274"/>
      <c r="BD72" s="274">
        <v>112796.72</v>
      </c>
      <c r="BE72" s="274">
        <v>1656886.76</v>
      </c>
      <c r="BF72" s="274"/>
      <c r="BG72" s="274"/>
      <c r="BH72" s="274">
        <v>10310429.34</v>
      </c>
      <c r="BI72" s="274">
        <v>6656.53</v>
      </c>
      <c r="BJ72" s="274">
        <v>83075.37</v>
      </c>
      <c r="BK72" s="274">
        <v>10473.629999999999</v>
      </c>
      <c r="BL72" s="274">
        <v>24010.400000000001</v>
      </c>
      <c r="BM72" s="274">
        <v>103459.24</v>
      </c>
      <c r="BN72" s="274">
        <v>101545.7</v>
      </c>
      <c r="BO72" s="274">
        <v>202.16</v>
      </c>
      <c r="BP72" s="274">
        <v>2977.21</v>
      </c>
      <c r="BQ72" s="274"/>
      <c r="BR72" s="274">
        <v>1065482.97</v>
      </c>
      <c r="BS72" s="274">
        <v>14332.37</v>
      </c>
      <c r="BT72" s="274"/>
      <c r="BU72" s="274"/>
      <c r="BV72" s="274"/>
      <c r="BW72" s="274">
        <v>134926.53</v>
      </c>
      <c r="BX72" s="274">
        <v>48014.36</v>
      </c>
      <c r="BY72" s="274">
        <v>145540.32</v>
      </c>
      <c r="BZ72" s="274">
        <v>74714.12</v>
      </c>
      <c r="CA72" s="274">
        <v>69498.070000000007</v>
      </c>
      <c r="CB72" s="274"/>
      <c r="CC72" s="274">
        <v>1248610.77</v>
      </c>
      <c r="CD72" s="274">
        <v>40134.85</v>
      </c>
      <c r="CE72" s="32">
        <f t="shared" si="11"/>
        <v>20023433.620000001</v>
      </c>
    </row>
    <row r="73" spans="1:83" x14ac:dyDescent="0.35">
      <c r="A73" s="33" t="s">
        <v>258</v>
      </c>
      <c r="B73" s="34"/>
      <c r="C73" s="274">
        <v>773.18</v>
      </c>
      <c r="D73" s="274"/>
      <c r="E73" s="274"/>
      <c r="F73" s="274"/>
      <c r="G73" s="274"/>
      <c r="H73" s="274">
        <v>9714.3700000000008</v>
      </c>
      <c r="I73" s="274"/>
      <c r="J73" s="274"/>
      <c r="K73" s="274"/>
      <c r="L73" s="274"/>
      <c r="M73" s="274"/>
      <c r="N73" s="274"/>
      <c r="O73" s="274"/>
      <c r="P73" s="274"/>
      <c r="Q73" s="274">
        <v>623.67999999999995</v>
      </c>
      <c r="R73" s="274">
        <v>3258.96</v>
      </c>
      <c r="S73" s="274"/>
      <c r="T73" s="274"/>
      <c r="U73" s="274"/>
      <c r="V73" s="274"/>
      <c r="W73" s="274"/>
      <c r="X73" s="274"/>
      <c r="Y73" s="274">
        <v>6043.42</v>
      </c>
      <c r="Z73" s="274"/>
      <c r="AA73" s="274">
        <v>341390.02</v>
      </c>
      <c r="AB73" s="274"/>
      <c r="AC73" s="274"/>
      <c r="AD73" s="274"/>
      <c r="AE73" s="274"/>
      <c r="AF73" s="274"/>
      <c r="AG73" s="274"/>
      <c r="AH73" s="274"/>
      <c r="AI73" s="274"/>
      <c r="AJ73" s="274">
        <v>3963.12</v>
      </c>
      <c r="AK73" s="274"/>
      <c r="AL73" s="274"/>
      <c r="AM73" s="274"/>
      <c r="AN73" s="274"/>
      <c r="AO73" s="274"/>
      <c r="AP73" s="274">
        <v>1398869.11</v>
      </c>
      <c r="AQ73" s="274"/>
      <c r="AR73" s="274">
        <v>289369.34999999998</v>
      </c>
      <c r="AS73" s="274"/>
      <c r="AT73" s="274"/>
      <c r="AU73" s="274"/>
      <c r="AV73" s="274">
        <v>662062.99</v>
      </c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>
        <v>160699.23000000001</v>
      </c>
      <c r="BJ73" s="274"/>
      <c r="BK73" s="274"/>
      <c r="BL73" s="274"/>
      <c r="BM73" s="274">
        <v>9143.4599999999991</v>
      </c>
      <c r="BN73" s="274">
        <v>110726.7</v>
      </c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>
        <v>6348.31</v>
      </c>
      <c r="CE73" s="32">
        <f t="shared" si="11"/>
        <v>3002985.9000000004</v>
      </c>
    </row>
    <row r="74" spans="1:83" x14ac:dyDescent="0.35">
      <c r="A74" s="33" t="s">
        <v>259</v>
      </c>
      <c r="B74" s="34"/>
      <c r="C74" s="274">
        <v>48923.53</v>
      </c>
      <c r="D74" s="274"/>
      <c r="E74" s="274">
        <v>448199.71</v>
      </c>
      <c r="F74" s="274">
        <v>80432.639999999999</v>
      </c>
      <c r="G74" s="274"/>
      <c r="H74" s="274">
        <v>26261.55</v>
      </c>
      <c r="I74" s="274"/>
      <c r="J74" s="274"/>
      <c r="K74" s="274"/>
      <c r="L74" s="274"/>
      <c r="M74" s="274"/>
      <c r="N74" s="274"/>
      <c r="O74" s="274">
        <v>112293.75999999999</v>
      </c>
      <c r="P74" s="274">
        <v>202583.76</v>
      </c>
      <c r="Q74" s="274">
        <v>22614.93</v>
      </c>
      <c r="R74" s="274"/>
      <c r="S74" s="274">
        <v>13424.55</v>
      </c>
      <c r="T74" s="274"/>
      <c r="U74" s="274"/>
      <c r="V74" s="274">
        <v>0.98</v>
      </c>
      <c r="W74" s="274">
        <v>5042.04</v>
      </c>
      <c r="X74" s="274">
        <v>15339.42</v>
      </c>
      <c r="Y74" s="274">
        <v>38288.949999999997</v>
      </c>
      <c r="Z74" s="274"/>
      <c r="AA74" s="274">
        <v>2682.56</v>
      </c>
      <c r="AB74" s="274">
        <v>2279.9</v>
      </c>
      <c r="AC74" s="274"/>
      <c r="AD74" s="274"/>
      <c r="AE74" s="274">
        <v>1454.16</v>
      </c>
      <c r="AF74" s="274"/>
      <c r="AG74" s="274">
        <v>195480.98</v>
      </c>
      <c r="AH74" s="274"/>
      <c r="AI74" s="274"/>
      <c r="AJ74" s="274">
        <v>755.45</v>
      </c>
      <c r="AK74" s="274"/>
      <c r="AL74" s="274"/>
      <c r="AM74" s="274"/>
      <c r="AN74" s="274"/>
      <c r="AO74" s="274"/>
      <c r="AP74" s="274">
        <v>52355.59</v>
      </c>
      <c r="AQ74" s="274"/>
      <c r="AR74" s="274">
        <v>48915.13</v>
      </c>
      <c r="AS74" s="274"/>
      <c r="AT74" s="274"/>
      <c r="AU74" s="274"/>
      <c r="AV74" s="274">
        <v>13360.84</v>
      </c>
      <c r="AW74" s="274"/>
      <c r="AX74" s="274"/>
      <c r="AY74" s="274"/>
      <c r="AZ74" s="274"/>
      <c r="BA74" s="274">
        <v>540206.64</v>
      </c>
      <c r="BB74" s="274"/>
      <c r="BC74" s="274"/>
      <c r="BD74" s="274"/>
      <c r="BE74" s="274">
        <v>65.88</v>
      </c>
      <c r="BF74" s="274">
        <v>18422.47</v>
      </c>
      <c r="BG74" s="274"/>
      <c r="BH74" s="274"/>
      <c r="BI74" s="274"/>
      <c r="BJ74" s="274"/>
      <c r="BK74" s="274"/>
      <c r="BL74" s="274"/>
      <c r="BM74" s="274"/>
      <c r="BN74" s="274"/>
      <c r="BO74" s="274">
        <v>-13.11</v>
      </c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>
        <v>2405.41</v>
      </c>
      <c r="CD74" s="274"/>
      <c r="CE74" s="32">
        <f t="shared" si="11"/>
        <v>1891777.72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>
        <v>398765.13</v>
      </c>
      <c r="BK75" s="274"/>
      <c r="BL75" s="274"/>
      <c r="BM75" s="274">
        <v>19571.75</v>
      </c>
      <c r="BN75" s="274">
        <v>2359629.13</v>
      </c>
      <c r="BO75" s="274"/>
      <c r="BP75" s="274"/>
      <c r="BQ75" s="274"/>
      <c r="BR75" s="274"/>
      <c r="BS75" s="274"/>
      <c r="BT75" s="274"/>
      <c r="BU75" s="274"/>
      <c r="BV75" s="274">
        <v>-22000</v>
      </c>
      <c r="BW75" s="274"/>
      <c r="BX75" s="274">
        <v>15556</v>
      </c>
      <c r="BY75" s="274"/>
      <c r="BZ75" s="274"/>
      <c r="CA75" s="274"/>
      <c r="CB75" s="274"/>
      <c r="CC75" s="274">
        <v>456766.01</v>
      </c>
      <c r="CD75" s="274">
        <v>44771.5</v>
      </c>
      <c r="CE75" s="32">
        <f t="shared" si="11"/>
        <v>3273059.5199999996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>
        <v>759313.48</v>
      </c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>
        <v>6391</v>
      </c>
      <c r="AK76" s="274"/>
      <c r="AL76" s="274"/>
      <c r="AM76" s="274"/>
      <c r="AN76" s="274"/>
      <c r="AO76" s="274"/>
      <c r="AP76" s="274">
        <v>-439953.13</v>
      </c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>
        <v>15050.54</v>
      </c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340801.88999999996</v>
      </c>
    </row>
    <row r="77" spans="1:83" x14ac:dyDescent="0.35">
      <c r="A77" s="33" t="s">
        <v>262</v>
      </c>
      <c r="B77" s="34"/>
      <c r="C77" s="274">
        <v>4835.13</v>
      </c>
      <c r="D77" s="274"/>
      <c r="E77" s="274">
        <v>19167.93</v>
      </c>
      <c r="F77" s="274">
        <v>2045.3</v>
      </c>
      <c r="G77" s="274"/>
      <c r="H77" s="274">
        <v>6854.59</v>
      </c>
      <c r="I77" s="274"/>
      <c r="J77" s="274"/>
      <c r="K77" s="274"/>
      <c r="L77" s="274"/>
      <c r="M77" s="274"/>
      <c r="N77" s="274"/>
      <c r="O77" s="274">
        <v>7292.03</v>
      </c>
      <c r="P77" s="274">
        <v>513846.04</v>
      </c>
      <c r="Q77" s="274">
        <v>237.84</v>
      </c>
      <c r="R77" s="274">
        <v>5652.61</v>
      </c>
      <c r="S77" s="274">
        <v>27122.69</v>
      </c>
      <c r="T77" s="274">
        <v>5196.1899999999996</v>
      </c>
      <c r="U77" s="274">
        <v>212915.74</v>
      </c>
      <c r="V77" s="274">
        <v>1783.42</v>
      </c>
      <c r="W77" s="274">
        <v>2801.13</v>
      </c>
      <c r="X77" s="274"/>
      <c r="Y77" s="274">
        <v>38815.769999999997</v>
      </c>
      <c r="Z77" s="274">
        <v>-48722.78</v>
      </c>
      <c r="AA77" s="274">
        <v>614.70000000000005</v>
      </c>
      <c r="AB77" s="274">
        <v>21934.76</v>
      </c>
      <c r="AC77" s="274">
        <v>46180.639999999999</v>
      </c>
      <c r="AD77" s="274">
        <v>7444.39</v>
      </c>
      <c r="AE77" s="274"/>
      <c r="AF77" s="274"/>
      <c r="AG77" s="274">
        <v>12409.73</v>
      </c>
      <c r="AH77" s="274"/>
      <c r="AI77" s="274"/>
      <c r="AJ77" s="274">
        <v>54933.96</v>
      </c>
      <c r="AK77" s="274"/>
      <c r="AL77" s="274"/>
      <c r="AM77" s="274"/>
      <c r="AN77" s="274"/>
      <c r="AO77" s="274"/>
      <c r="AP77" s="274">
        <v>251727.98</v>
      </c>
      <c r="AQ77" s="274"/>
      <c r="AR77" s="274">
        <v>16176.7</v>
      </c>
      <c r="AS77" s="274"/>
      <c r="AT77" s="274"/>
      <c r="AU77" s="274"/>
      <c r="AV77" s="274">
        <v>16719.73</v>
      </c>
      <c r="AW77" s="274"/>
      <c r="AX77" s="274"/>
      <c r="AY77" s="274">
        <v>18002.939999999999</v>
      </c>
      <c r="AZ77" s="274">
        <v>5152.82</v>
      </c>
      <c r="BA77" s="274"/>
      <c r="BB77" s="274"/>
      <c r="BC77" s="274"/>
      <c r="BD77" s="274">
        <v>32495.86</v>
      </c>
      <c r="BE77" s="274">
        <v>428526.74</v>
      </c>
      <c r="BF77" s="274">
        <v>7691.48</v>
      </c>
      <c r="BG77" s="274">
        <v>1189.32</v>
      </c>
      <c r="BH77" s="274">
        <v>200916.93</v>
      </c>
      <c r="BI77" s="274">
        <v>2869.92</v>
      </c>
      <c r="BJ77" s="274"/>
      <c r="BK77" s="274"/>
      <c r="BL77" s="274">
        <v>27845.759999999998</v>
      </c>
      <c r="BM77" s="274">
        <v>10321.799999999999</v>
      </c>
      <c r="BN77" s="274">
        <v>1378.55</v>
      </c>
      <c r="BO77" s="274">
        <v>19998.75</v>
      </c>
      <c r="BP77" s="274">
        <v>1066.8599999999999</v>
      </c>
      <c r="BQ77" s="274"/>
      <c r="BR77" s="274"/>
      <c r="BS77" s="274"/>
      <c r="BT77" s="274"/>
      <c r="BU77" s="274"/>
      <c r="BV77" s="274">
        <v>1348.34</v>
      </c>
      <c r="BW77" s="274"/>
      <c r="BX77" s="274">
        <v>21.42</v>
      </c>
      <c r="BY77" s="274">
        <v>38988.769999999997</v>
      </c>
      <c r="BZ77" s="274">
        <v>1296.3499999999999</v>
      </c>
      <c r="CA77" s="274">
        <v>450</v>
      </c>
      <c r="CB77" s="274"/>
      <c r="CC77" s="274">
        <v>23566.16</v>
      </c>
      <c r="CD77" s="274">
        <v>-115258</v>
      </c>
      <c r="CE77" s="32">
        <f t="shared" si="11"/>
        <v>1935856.99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>
        <v>3460</v>
      </c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>
        <v>2960</v>
      </c>
      <c r="AK79" s="274"/>
      <c r="AL79" s="274"/>
      <c r="AM79" s="274"/>
      <c r="AN79" s="274"/>
      <c r="AO79" s="274"/>
      <c r="AP79" s="274">
        <v>46804.53</v>
      </c>
      <c r="AQ79" s="274"/>
      <c r="AR79" s="274"/>
      <c r="AS79" s="274"/>
      <c r="AT79" s="274"/>
      <c r="AU79" s="274"/>
      <c r="AV79" s="274">
        <v>5300</v>
      </c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>
        <v>255700.64</v>
      </c>
      <c r="BS79" s="274"/>
      <c r="BT79" s="274"/>
      <c r="BU79" s="274"/>
      <c r="BV79" s="274"/>
      <c r="BW79" s="274">
        <v>23589.01</v>
      </c>
      <c r="BX79" s="274"/>
      <c r="BY79" s="274"/>
      <c r="BZ79" s="274"/>
      <c r="CA79" s="274"/>
      <c r="CB79" s="274"/>
      <c r="CC79" s="274">
        <v>-4965.29</v>
      </c>
      <c r="CD79" s="274"/>
      <c r="CE79" s="32">
        <f t="shared" si="11"/>
        <v>332848.89000000007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>
        <v>16803.72</v>
      </c>
      <c r="Q81" s="274"/>
      <c r="R81" s="274"/>
      <c r="S81" s="274"/>
      <c r="T81" s="274"/>
      <c r="U81" s="274">
        <v>14152.94</v>
      </c>
      <c r="V81" s="274">
        <v>1461.17</v>
      </c>
      <c r="W81" s="274"/>
      <c r="X81" s="274"/>
      <c r="Y81" s="274">
        <v>53417.51</v>
      </c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>
        <v>8336.7000000000007</v>
      </c>
      <c r="AK81" s="274"/>
      <c r="AL81" s="274"/>
      <c r="AM81" s="274"/>
      <c r="AN81" s="274"/>
      <c r="AO81" s="274"/>
      <c r="AP81" s="274">
        <v>308927.05</v>
      </c>
      <c r="AQ81" s="274"/>
      <c r="AR81" s="274">
        <v>63392.27</v>
      </c>
      <c r="AS81" s="274"/>
      <c r="AT81" s="274"/>
      <c r="AU81" s="274"/>
      <c r="AV81" s="274">
        <v>20136.98</v>
      </c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>
        <v>-45760.148000000001</v>
      </c>
      <c r="BK81" s="274"/>
      <c r="BL81" s="274"/>
      <c r="BM81" s="274"/>
      <c r="BN81" s="274">
        <v>9645749.0999999996</v>
      </c>
      <c r="BO81" s="274">
        <v>4383.59</v>
      </c>
      <c r="BP81" s="274"/>
      <c r="BQ81" s="274"/>
      <c r="BR81" s="274"/>
      <c r="BS81" s="274"/>
      <c r="BT81" s="274"/>
      <c r="BU81" s="274"/>
      <c r="BV81" s="274"/>
      <c r="BW81" s="274"/>
      <c r="BX81" s="274">
        <v>3824.46</v>
      </c>
      <c r="BY81" s="274"/>
      <c r="BZ81" s="274"/>
      <c r="CA81" s="274"/>
      <c r="CB81" s="274"/>
      <c r="CC81" s="274">
        <v>60932.28</v>
      </c>
      <c r="CD81" s="274">
        <v>2327608.04</v>
      </c>
      <c r="CE81" s="32">
        <f t="shared" si="11"/>
        <v>12483365.662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4" x14ac:dyDescent="0.35">
      <c r="A83" s="33" t="s">
        <v>268</v>
      </c>
      <c r="B83" s="20"/>
      <c r="C83" s="24">
        <v>109737.47</v>
      </c>
      <c r="D83" s="24"/>
      <c r="E83" s="30">
        <v>17862.240000000002</v>
      </c>
      <c r="F83" s="30">
        <v>29263.03</v>
      </c>
      <c r="G83" s="24"/>
      <c r="H83" s="24">
        <v>2917.75</v>
      </c>
      <c r="I83" s="30"/>
      <c r="J83" s="30"/>
      <c r="K83" s="30"/>
      <c r="L83" s="30"/>
      <c r="M83" s="24"/>
      <c r="N83" s="24"/>
      <c r="O83" s="24">
        <v>6194.44</v>
      </c>
      <c r="P83" s="30">
        <v>267327.55</v>
      </c>
      <c r="Q83" s="30">
        <v>5227.05</v>
      </c>
      <c r="R83" s="31">
        <v>32600.84</v>
      </c>
      <c r="S83" s="30">
        <v>6469.78</v>
      </c>
      <c r="T83" s="24">
        <v>17.670000000000002</v>
      </c>
      <c r="U83" s="30">
        <v>95094.720000000001</v>
      </c>
      <c r="V83" s="30"/>
      <c r="W83" s="24">
        <v>17.54</v>
      </c>
      <c r="X83" s="30">
        <v>4212.92</v>
      </c>
      <c r="Y83" s="30">
        <v>-58362.8</v>
      </c>
      <c r="Z83" s="30">
        <v>26328.98</v>
      </c>
      <c r="AA83" s="30">
        <v>10926.63</v>
      </c>
      <c r="AB83" s="30">
        <v>249841.76</v>
      </c>
      <c r="AC83" s="30">
        <v>1470.8</v>
      </c>
      <c r="AD83" s="30"/>
      <c r="AE83" s="30">
        <v>21340.32</v>
      </c>
      <c r="AF83" s="30"/>
      <c r="AG83" s="30">
        <v>18491.36</v>
      </c>
      <c r="AH83" s="30"/>
      <c r="AI83" s="30"/>
      <c r="AJ83" s="30">
        <v>430268.21</v>
      </c>
      <c r="AK83" s="30"/>
      <c r="AL83" s="30"/>
      <c r="AM83" s="30"/>
      <c r="AN83" s="30"/>
      <c r="AO83" s="24"/>
      <c r="AP83" s="30">
        <v>1739848.02</v>
      </c>
      <c r="AQ83" s="24"/>
      <c r="AR83" s="24">
        <v>325389.55</v>
      </c>
      <c r="AS83" s="24"/>
      <c r="AT83" s="24"/>
      <c r="AU83" s="30"/>
      <c r="AV83" s="30">
        <v>172612.39</v>
      </c>
      <c r="AW83" s="30"/>
      <c r="AX83" s="30"/>
      <c r="AY83" s="30">
        <v>25226.26</v>
      </c>
      <c r="AZ83" s="30">
        <v>170244.13</v>
      </c>
      <c r="BA83" s="30">
        <v>282.04000000000002</v>
      </c>
      <c r="BB83" s="30"/>
      <c r="BC83" s="30"/>
      <c r="BD83" s="30">
        <v>660197.34</v>
      </c>
      <c r="BE83" s="30">
        <v>82893.009999999995</v>
      </c>
      <c r="BF83" s="30">
        <v>1124294.29</v>
      </c>
      <c r="BG83" s="30">
        <v>210093.52</v>
      </c>
      <c r="BH83" s="31">
        <v>170753.85</v>
      </c>
      <c r="BI83" s="30">
        <v>96497.58</v>
      </c>
      <c r="BJ83" s="30">
        <v>37548.18</v>
      </c>
      <c r="BK83" s="30">
        <v>311141.42</v>
      </c>
      <c r="BL83" s="30">
        <v>1499.01</v>
      </c>
      <c r="BM83" s="30">
        <v>7141.47</v>
      </c>
      <c r="BN83" s="30">
        <v>228297.85</v>
      </c>
      <c r="BO83" s="30">
        <v>11063.97</v>
      </c>
      <c r="BP83" s="30">
        <v>158519.23000000001</v>
      </c>
      <c r="BQ83" s="30"/>
      <c r="BR83" s="30">
        <v>31163.7</v>
      </c>
      <c r="BS83" s="30">
        <v>7190.59</v>
      </c>
      <c r="BT83" s="30">
        <v>9372.2199999999993</v>
      </c>
      <c r="BU83" s="30"/>
      <c r="BV83" s="30">
        <v>13245.18</v>
      </c>
      <c r="BW83" s="30">
        <v>86390.87</v>
      </c>
      <c r="BX83" s="30">
        <v>241516.36</v>
      </c>
      <c r="BY83" s="30">
        <v>690.91</v>
      </c>
      <c r="BZ83" s="30">
        <v>3209.49</v>
      </c>
      <c r="CA83" s="30">
        <v>12589.42</v>
      </c>
      <c r="CB83" s="30"/>
      <c r="CC83" s="30">
        <v>1957236.08</v>
      </c>
      <c r="CD83" s="35">
        <v>-16406587.699999999</v>
      </c>
      <c r="CE83" s="32">
        <f t="shared" si="11"/>
        <v>-7233191.5100000016</v>
      </c>
    </row>
    <row r="84" spans="1:84" x14ac:dyDescent="0.35">
      <c r="A84" s="39" t="s">
        <v>269</v>
      </c>
      <c r="B84" s="20"/>
      <c r="C84" s="24">
        <v>101954.11</v>
      </c>
      <c r="D84" s="24"/>
      <c r="E84" s="24">
        <v>2951.3</v>
      </c>
      <c r="F84" s="24">
        <v>29367.33</v>
      </c>
      <c r="G84" s="24"/>
      <c r="H84" s="24">
        <v>323354.69</v>
      </c>
      <c r="I84" s="24"/>
      <c r="J84" s="24"/>
      <c r="K84" s="24"/>
      <c r="L84" s="24"/>
      <c r="M84" s="24"/>
      <c r="N84" s="24"/>
      <c r="O84" s="24">
        <v>4018.21</v>
      </c>
      <c r="P84" s="24">
        <v>-200087.98</v>
      </c>
      <c r="Q84" s="24"/>
      <c r="R84" s="24"/>
      <c r="S84" s="24"/>
      <c r="T84" s="24"/>
      <c r="U84" s="24">
        <v>39591.07</v>
      </c>
      <c r="V84" s="24"/>
      <c r="W84" s="24"/>
      <c r="X84" s="24"/>
      <c r="Y84" s="24">
        <v>-68621.649999999994</v>
      </c>
      <c r="Z84" s="24"/>
      <c r="AA84" s="24"/>
      <c r="AB84" s="24">
        <v>206931.20000000001</v>
      </c>
      <c r="AC84" s="24">
        <v>-32520.5</v>
      </c>
      <c r="AD84" s="24"/>
      <c r="AE84" s="24">
        <v>179274.85</v>
      </c>
      <c r="AF84" s="24"/>
      <c r="AG84" s="24">
        <v>51466.44</v>
      </c>
      <c r="AH84" s="24"/>
      <c r="AI84" s="24"/>
      <c r="AJ84" s="24">
        <v>693479.53</v>
      </c>
      <c r="AK84" s="24"/>
      <c r="AL84" s="24"/>
      <c r="AM84" s="24"/>
      <c r="AN84" s="24"/>
      <c r="AO84" s="24"/>
      <c r="AP84" s="24">
        <v>426042.79</v>
      </c>
      <c r="AQ84" s="24"/>
      <c r="AR84" s="24">
        <v>203673.08</v>
      </c>
      <c r="AS84" s="24"/>
      <c r="AT84" s="24"/>
      <c r="AU84" s="24"/>
      <c r="AV84" s="24">
        <v>8382333.21</v>
      </c>
      <c r="AW84" s="24"/>
      <c r="AX84" s="24"/>
      <c r="AY84" s="24">
        <v>2737.83</v>
      </c>
      <c r="AZ84" s="24">
        <v>2131234.65</v>
      </c>
      <c r="BA84" s="24"/>
      <c r="BB84" s="24"/>
      <c r="BC84" s="24"/>
      <c r="BD84" s="24">
        <v>334888.44</v>
      </c>
      <c r="BE84" s="24">
        <v>4000</v>
      </c>
      <c r="BF84" s="24"/>
      <c r="BG84" s="24"/>
      <c r="BH84" s="24">
        <v>3868.09</v>
      </c>
      <c r="BI84" s="24"/>
      <c r="BJ84" s="24">
        <v>176592.7</v>
      </c>
      <c r="BK84" s="24">
        <v>-45</v>
      </c>
      <c r="BL84" s="24">
        <v>-129.13999999999999</v>
      </c>
      <c r="BM84" s="24">
        <v>-810</v>
      </c>
      <c r="BN84" s="24">
        <v>298385.68</v>
      </c>
      <c r="BO84" s="24">
        <v>4884.84</v>
      </c>
      <c r="BP84" s="24"/>
      <c r="BQ84" s="24"/>
      <c r="BR84" s="24"/>
      <c r="BS84" s="24"/>
      <c r="BT84" s="24">
        <v>8000</v>
      </c>
      <c r="BU84" s="24"/>
      <c r="BV84" s="24">
        <v>6815.9</v>
      </c>
      <c r="BW84" s="24">
        <v>149218.25</v>
      </c>
      <c r="BX84" s="24">
        <v>1619.32</v>
      </c>
      <c r="BY84" s="24"/>
      <c r="BZ84" s="24"/>
      <c r="CA84" s="24"/>
      <c r="CB84" s="24"/>
      <c r="CC84" s="24">
        <v>9132248.8599999994</v>
      </c>
      <c r="CD84" s="35">
        <v>11944169</v>
      </c>
      <c r="CE84" s="32">
        <f t="shared" si="11"/>
        <v>34540887.099999994</v>
      </c>
    </row>
    <row r="85" spans="1:84" x14ac:dyDescent="0.35">
      <c r="A85" s="39" t="s">
        <v>270</v>
      </c>
      <c r="B85" s="32"/>
      <c r="C85" s="32">
        <f>SUM(C61:C69)-C84</f>
        <v>12752542.18</v>
      </c>
      <c r="D85" s="32">
        <f t="shared" ref="D85:BO85" si="12">SUM(D61:D69)-D84</f>
        <v>0</v>
      </c>
      <c r="E85" s="32">
        <f t="shared" si="12"/>
        <v>37962549.5</v>
      </c>
      <c r="F85" s="32">
        <f t="shared" si="12"/>
        <v>6654864.0199999996</v>
      </c>
      <c r="G85" s="32">
        <f t="shared" si="12"/>
        <v>0</v>
      </c>
      <c r="H85" s="32">
        <f t="shared" si="12"/>
        <v>4651165.709999999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7459607.0200000005</v>
      </c>
      <c r="P85" s="32">
        <f t="shared" si="12"/>
        <v>33141544.98</v>
      </c>
      <c r="Q85" s="32">
        <f t="shared" si="12"/>
        <v>4657629.4400000004</v>
      </c>
      <c r="R85" s="32">
        <f t="shared" si="12"/>
        <v>675394.85</v>
      </c>
      <c r="S85" s="32">
        <f t="shared" si="12"/>
        <v>2696468.6399999997</v>
      </c>
      <c r="T85" s="32">
        <f t="shared" si="12"/>
        <v>1743249.64</v>
      </c>
      <c r="U85" s="32">
        <f t="shared" si="12"/>
        <v>17736974.779999997</v>
      </c>
      <c r="V85" s="32">
        <f t="shared" si="12"/>
        <v>927615.02</v>
      </c>
      <c r="W85" s="32">
        <f t="shared" si="12"/>
        <v>1727126.7100000002</v>
      </c>
      <c r="X85" s="32">
        <f t="shared" si="12"/>
        <v>2551235.79</v>
      </c>
      <c r="Y85" s="32">
        <f t="shared" si="12"/>
        <v>20525798.869999997</v>
      </c>
      <c r="Z85" s="32">
        <f t="shared" si="12"/>
        <v>3587355.4699999997</v>
      </c>
      <c r="AA85" s="32">
        <f t="shared" si="12"/>
        <v>1654878.8600000003</v>
      </c>
      <c r="AB85" s="32">
        <f t="shared" si="12"/>
        <v>20761713.860000003</v>
      </c>
      <c r="AC85" s="32">
        <f t="shared" si="12"/>
        <v>4756991.8600000003</v>
      </c>
      <c r="AD85" s="32">
        <f t="shared" si="12"/>
        <v>1407906.7</v>
      </c>
      <c r="AE85" s="32">
        <f t="shared" si="12"/>
        <v>3242991.56</v>
      </c>
      <c r="AF85" s="32">
        <f t="shared" si="12"/>
        <v>0</v>
      </c>
      <c r="AG85" s="32">
        <f t="shared" si="12"/>
        <v>30867302.799999997</v>
      </c>
      <c r="AH85" s="32">
        <f t="shared" si="12"/>
        <v>0</v>
      </c>
      <c r="AI85" s="32">
        <f t="shared" si="12"/>
        <v>0</v>
      </c>
      <c r="AJ85" s="32">
        <f t="shared" si="12"/>
        <v>36428704.5</v>
      </c>
      <c r="AK85" s="32">
        <f t="shared" si="12"/>
        <v>0</v>
      </c>
      <c r="AL85" s="32">
        <f t="shared" si="12"/>
        <v>0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102291408.88000001</v>
      </c>
      <c r="AQ85" s="32">
        <f t="shared" si="12"/>
        <v>0</v>
      </c>
      <c r="AR85" s="32">
        <f t="shared" si="12"/>
        <v>14120658.030000003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34758848.32</v>
      </c>
      <c r="AW85" s="32">
        <f t="shared" si="12"/>
        <v>0</v>
      </c>
      <c r="AX85" s="32">
        <f t="shared" si="12"/>
        <v>0</v>
      </c>
      <c r="AY85" s="32">
        <f t="shared" si="12"/>
        <v>3087770.17</v>
      </c>
      <c r="AZ85" s="32">
        <f t="shared" si="12"/>
        <v>322522.44200000027</v>
      </c>
      <c r="BA85" s="32">
        <f t="shared" si="12"/>
        <v>1398177.9100000001</v>
      </c>
      <c r="BB85" s="32">
        <f t="shared" si="12"/>
        <v>0</v>
      </c>
      <c r="BC85" s="32">
        <f t="shared" si="12"/>
        <v>0</v>
      </c>
      <c r="BD85" s="32">
        <f t="shared" si="12"/>
        <v>1952985.9499999997</v>
      </c>
      <c r="BE85" s="32">
        <f t="shared" si="12"/>
        <v>14202904.02</v>
      </c>
      <c r="BF85" s="32">
        <f t="shared" si="12"/>
        <v>5022378.6199999992</v>
      </c>
      <c r="BG85" s="32">
        <f t="shared" si="12"/>
        <v>445944.92</v>
      </c>
      <c r="BH85" s="32">
        <f t="shared" si="12"/>
        <v>13971298.51</v>
      </c>
      <c r="BI85" s="32">
        <f t="shared" si="12"/>
        <v>5140628.9399999995</v>
      </c>
      <c r="BJ85" s="32">
        <f t="shared" si="12"/>
        <v>1251168.6020000002</v>
      </c>
      <c r="BK85" s="32">
        <f t="shared" si="12"/>
        <v>10811372.760000002</v>
      </c>
      <c r="BL85" s="32">
        <f t="shared" si="12"/>
        <v>4559805.9399999995</v>
      </c>
      <c r="BM85" s="32">
        <f t="shared" si="12"/>
        <v>1440692.9000000001</v>
      </c>
      <c r="BN85" s="32">
        <f t="shared" si="12"/>
        <v>19464260.829999998</v>
      </c>
      <c r="BO85" s="32">
        <f t="shared" si="12"/>
        <v>1412048.9299999997</v>
      </c>
      <c r="BP85" s="32">
        <f t="shared" ref="BP85:CD85" si="13">SUM(BP61:BP69)-BP84</f>
        <v>622059.42000000004</v>
      </c>
      <c r="BQ85" s="32">
        <f t="shared" si="13"/>
        <v>0</v>
      </c>
      <c r="BR85" s="32">
        <f t="shared" si="13"/>
        <v>4313568.12</v>
      </c>
      <c r="BS85" s="32">
        <f t="shared" si="13"/>
        <v>179111.31000000003</v>
      </c>
      <c r="BT85" s="32">
        <f t="shared" si="13"/>
        <v>270738.50999999995</v>
      </c>
      <c r="BU85" s="32">
        <f t="shared" si="13"/>
        <v>0</v>
      </c>
      <c r="BV85" s="32">
        <f t="shared" si="13"/>
        <v>4752504.0499999989</v>
      </c>
      <c r="BW85" s="32">
        <f t="shared" si="13"/>
        <v>569770.39</v>
      </c>
      <c r="BX85" s="32">
        <f t="shared" si="13"/>
        <v>7870895.2299999986</v>
      </c>
      <c r="BY85" s="32">
        <f t="shared" si="13"/>
        <v>1821102.75</v>
      </c>
      <c r="BZ85" s="32">
        <f t="shared" si="13"/>
        <v>2465649.7799999998</v>
      </c>
      <c r="CA85" s="32">
        <f t="shared" si="13"/>
        <v>434166.47</v>
      </c>
      <c r="CB85" s="32">
        <f t="shared" si="13"/>
        <v>377625</v>
      </c>
      <c r="CC85" s="32">
        <f t="shared" si="13"/>
        <v>5606044.1400000006</v>
      </c>
      <c r="CD85" s="32">
        <f t="shared" si="13"/>
        <v>-26047152</v>
      </c>
      <c r="CE85" s="32">
        <f t="shared" si="11"/>
        <v>497462572.60400003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>
        <v>33985961.369999997</v>
      </c>
      <c r="D87" s="24"/>
      <c r="E87" s="24">
        <v>144819716.53999999</v>
      </c>
      <c r="F87" s="24">
        <v>26711702.670000002</v>
      </c>
      <c r="G87" s="24"/>
      <c r="H87" s="24">
        <v>21859940.52</v>
      </c>
      <c r="I87" s="24"/>
      <c r="J87" s="24"/>
      <c r="K87" s="24"/>
      <c r="L87" s="24"/>
      <c r="M87" s="24"/>
      <c r="N87" s="24"/>
      <c r="O87" s="24">
        <v>14788137.449999999</v>
      </c>
      <c r="P87" s="24">
        <v>28352743.66</v>
      </c>
      <c r="Q87" s="24">
        <v>2212128.9</v>
      </c>
      <c r="R87" s="24">
        <v>1381221.64</v>
      </c>
      <c r="S87" s="24"/>
      <c r="T87" s="24">
        <v>1515619.11</v>
      </c>
      <c r="U87" s="24">
        <v>47798805.549999997</v>
      </c>
      <c r="V87" s="24">
        <v>3019828.54</v>
      </c>
      <c r="W87" s="24">
        <v>2574616.2999999998</v>
      </c>
      <c r="X87" s="24">
        <v>23280938.350000001</v>
      </c>
      <c r="Y87" s="24">
        <v>31055009.140000001</v>
      </c>
      <c r="Z87" s="24">
        <v>216466.63</v>
      </c>
      <c r="AA87" s="24">
        <v>187070.28</v>
      </c>
      <c r="AB87" s="24">
        <v>42025238.579999998</v>
      </c>
      <c r="AC87" s="24">
        <v>23813895.07</v>
      </c>
      <c r="AD87" s="24">
        <v>3262259.3</v>
      </c>
      <c r="AE87" s="24">
        <v>3371076.29</v>
      </c>
      <c r="AF87" s="24"/>
      <c r="AG87" s="24">
        <v>36728691</v>
      </c>
      <c r="AH87" s="24"/>
      <c r="AI87" s="24"/>
      <c r="AJ87" s="24">
        <v>1150888.9099999999</v>
      </c>
      <c r="AK87" s="24"/>
      <c r="AL87" s="24"/>
      <c r="AM87" s="24"/>
      <c r="AN87" s="24"/>
      <c r="AO87" s="24"/>
      <c r="AP87" s="24">
        <v>20217812.32</v>
      </c>
      <c r="AQ87" s="24"/>
      <c r="AR87" s="24"/>
      <c r="AS87" s="24"/>
      <c r="AT87" s="24"/>
      <c r="AU87" s="24"/>
      <c r="AV87" s="24">
        <v>18217890.850000001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532547658.97000003</v>
      </c>
    </row>
    <row r="88" spans="1:84" x14ac:dyDescent="0.35">
      <c r="A88" s="26" t="s">
        <v>273</v>
      </c>
      <c r="B88" s="20"/>
      <c r="C88" s="24">
        <v>846762.52</v>
      </c>
      <c r="D88" s="24"/>
      <c r="E88" s="24">
        <v>23011243.699999999</v>
      </c>
      <c r="F88" s="24">
        <v>629410.48</v>
      </c>
      <c r="G88" s="24"/>
      <c r="H88" s="24">
        <v>36805.69</v>
      </c>
      <c r="I88" s="24"/>
      <c r="J88" s="24"/>
      <c r="K88" s="24"/>
      <c r="L88" s="24"/>
      <c r="M88" s="24"/>
      <c r="N88" s="24"/>
      <c r="O88" s="24">
        <v>1145642.9099999999</v>
      </c>
      <c r="P88" s="24">
        <v>121825213.66</v>
      </c>
      <c r="Q88" s="24">
        <v>9235819.3800000008</v>
      </c>
      <c r="R88" s="24">
        <v>5466004.2300000004</v>
      </c>
      <c r="S88" s="24"/>
      <c r="T88" s="24">
        <v>733230.66</v>
      </c>
      <c r="U88" s="24">
        <v>85019964.950000003</v>
      </c>
      <c r="V88" s="24">
        <v>6429382.0999999996</v>
      </c>
      <c r="W88" s="24">
        <v>26264270.649999999</v>
      </c>
      <c r="X88" s="24">
        <v>80008178.469999999</v>
      </c>
      <c r="Y88" s="24">
        <v>99726707.25</v>
      </c>
      <c r="Z88" s="24">
        <v>23843875.41</v>
      </c>
      <c r="AA88" s="24">
        <v>8047720.0499999998</v>
      </c>
      <c r="AB88" s="24">
        <v>40490837.460000001</v>
      </c>
      <c r="AC88" s="24">
        <v>1633557.95</v>
      </c>
      <c r="AD88" s="24">
        <v>305029.21999999997</v>
      </c>
      <c r="AE88" s="24">
        <v>4534028.1900000004</v>
      </c>
      <c r="AF88" s="24"/>
      <c r="AG88" s="24">
        <v>154640506.90000001</v>
      </c>
      <c r="AH88" s="24"/>
      <c r="AI88" s="24"/>
      <c r="AJ88" s="24">
        <v>192149467.24000001</v>
      </c>
      <c r="AK88" s="24"/>
      <c r="AL88" s="24"/>
      <c r="AM88" s="24"/>
      <c r="AN88" s="24"/>
      <c r="AO88" s="24"/>
      <c r="AP88" s="24">
        <v>139983084.44999999</v>
      </c>
      <c r="AQ88" s="24"/>
      <c r="AR88" s="24">
        <v>20598741.800000001</v>
      </c>
      <c r="AS88" s="24"/>
      <c r="AT88" s="24"/>
      <c r="AU88" s="24"/>
      <c r="AV88" s="24">
        <v>134021228.29000001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1180626713.6099999</v>
      </c>
    </row>
    <row r="89" spans="1:84" x14ac:dyDescent="0.35">
      <c r="A89" s="26" t="s">
        <v>274</v>
      </c>
      <c r="B89" s="20"/>
      <c r="C89" s="32">
        <f>C87+C88</f>
        <v>34832723.890000001</v>
      </c>
      <c r="D89" s="32">
        <f t="shared" ref="D89:AV89" si="15">D87+D88</f>
        <v>0</v>
      </c>
      <c r="E89" s="32">
        <f t="shared" si="15"/>
        <v>167830960.23999998</v>
      </c>
      <c r="F89" s="32">
        <f t="shared" si="15"/>
        <v>27341113.150000002</v>
      </c>
      <c r="G89" s="32">
        <f t="shared" si="15"/>
        <v>0</v>
      </c>
      <c r="H89" s="32">
        <f t="shared" si="15"/>
        <v>21896746.210000001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15933780.359999999</v>
      </c>
      <c r="P89" s="32">
        <f t="shared" si="15"/>
        <v>150177957.31999999</v>
      </c>
      <c r="Q89" s="32">
        <f t="shared" si="15"/>
        <v>11447948.280000001</v>
      </c>
      <c r="R89" s="32">
        <f t="shared" si="15"/>
        <v>6847225.8700000001</v>
      </c>
      <c r="S89" s="32">
        <f t="shared" si="15"/>
        <v>0</v>
      </c>
      <c r="T89" s="32">
        <f t="shared" si="15"/>
        <v>2248849.77</v>
      </c>
      <c r="U89" s="32">
        <f t="shared" si="15"/>
        <v>132818770.5</v>
      </c>
      <c r="V89" s="32">
        <f t="shared" si="15"/>
        <v>9449210.6400000006</v>
      </c>
      <c r="W89" s="32">
        <f t="shared" si="15"/>
        <v>28838886.949999999</v>
      </c>
      <c r="X89" s="32">
        <f t="shared" si="15"/>
        <v>103289116.81999999</v>
      </c>
      <c r="Y89" s="32">
        <f t="shared" si="15"/>
        <v>130781716.39</v>
      </c>
      <c r="Z89" s="32">
        <f t="shared" si="15"/>
        <v>24060342.039999999</v>
      </c>
      <c r="AA89" s="32">
        <f t="shared" si="15"/>
        <v>8234790.3300000001</v>
      </c>
      <c r="AB89" s="32">
        <f t="shared" si="15"/>
        <v>82516076.039999992</v>
      </c>
      <c r="AC89" s="32">
        <f t="shared" si="15"/>
        <v>25447453.02</v>
      </c>
      <c r="AD89" s="32">
        <f t="shared" si="15"/>
        <v>3567288.5199999996</v>
      </c>
      <c r="AE89" s="32">
        <f t="shared" si="15"/>
        <v>7905104.4800000004</v>
      </c>
      <c r="AF89" s="32">
        <f t="shared" si="15"/>
        <v>0</v>
      </c>
      <c r="AG89" s="32">
        <f t="shared" si="15"/>
        <v>191369197.90000001</v>
      </c>
      <c r="AH89" s="32">
        <f t="shared" si="15"/>
        <v>0</v>
      </c>
      <c r="AI89" s="32">
        <f t="shared" si="15"/>
        <v>0</v>
      </c>
      <c r="AJ89" s="32">
        <f t="shared" si="15"/>
        <v>193300356.15000001</v>
      </c>
      <c r="AK89" s="32">
        <f t="shared" si="15"/>
        <v>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160200896.76999998</v>
      </c>
      <c r="AQ89" s="32">
        <f t="shared" si="15"/>
        <v>0</v>
      </c>
      <c r="AR89" s="32">
        <f t="shared" si="15"/>
        <v>20598741.800000001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152239119.14000002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1713174372.5800002</v>
      </c>
    </row>
    <row r="90" spans="1:84" x14ac:dyDescent="0.35">
      <c r="A90" s="39" t="s">
        <v>275</v>
      </c>
      <c r="B90" s="32"/>
      <c r="C90" s="24">
        <v>11357</v>
      </c>
      <c r="D90" s="24"/>
      <c r="E90" s="24">
        <v>63645</v>
      </c>
      <c r="F90" s="24">
        <v>18753</v>
      </c>
      <c r="G90" s="24"/>
      <c r="H90" s="24">
        <v>13336</v>
      </c>
      <c r="I90" s="24"/>
      <c r="J90" s="24"/>
      <c r="K90" s="24"/>
      <c r="L90" s="24"/>
      <c r="M90" s="24"/>
      <c r="N90" s="24"/>
      <c r="O90" s="24">
        <v>10598</v>
      </c>
      <c r="P90" s="24">
        <v>42665</v>
      </c>
      <c r="Q90" s="24">
        <v>2810</v>
      </c>
      <c r="R90" s="24">
        <v>626</v>
      </c>
      <c r="S90" s="24">
        <v>34343</v>
      </c>
      <c r="T90" s="24">
        <v>292</v>
      </c>
      <c r="U90" s="24">
        <v>11821</v>
      </c>
      <c r="V90" s="24">
        <v>226</v>
      </c>
      <c r="W90" s="24">
        <v>2276</v>
      </c>
      <c r="X90" s="24">
        <v>2391</v>
      </c>
      <c r="Y90" s="24">
        <v>40446</v>
      </c>
      <c r="Z90" s="24">
        <v>12695</v>
      </c>
      <c r="AA90" s="24">
        <v>2288</v>
      </c>
      <c r="AB90" s="24">
        <v>10303</v>
      </c>
      <c r="AC90" s="24">
        <v>3076</v>
      </c>
      <c r="AD90" s="24">
        <v>267</v>
      </c>
      <c r="AE90" s="24">
        <v>11031</v>
      </c>
      <c r="AF90" s="24"/>
      <c r="AG90" s="24">
        <v>17918</v>
      </c>
      <c r="AH90" s="24"/>
      <c r="AI90" s="24"/>
      <c r="AJ90" s="24">
        <v>16982</v>
      </c>
      <c r="AK90" s="24"/>
      <c r="AL90" s="24"/>
      <c r="AM90" s="24"/>
      <c r="AN90" s="24"/>
      <c r="AO90" s="24"/>
      <c r="AP90" s="24">
        <v>172950</v>
      </c>
      <c r="AQ90" s="24"/>
      <c r="AR90" s="24">
        <v>34439</v>
      </c>
      <c r="AS90" s="24"/>
      <c r="AT90" s="24"/>
      <c r="AU90" s="24"/>
      <c r="AV90" s="24">
        <v>10888</v>
      </c>
      <c r="AW90" s="24"/>
      <c r="AX90" s="24"/>
      <c r="AY90" s="24">
        <v>6631</v>
      </c>
      <c r="AZ90" s="24">
        <v>4401</v>
      </c>
      <c r="BA90" s="24">
        <v>2626</v>
      </c>
      <c r="BB90" s="24"/>
      <c r="BC90" s="24"/>
      <c r="BD90" s="24">
        <v>6662</v>
      </c>
      <c r="BE90" s="24">
        <v>426711</v>
      </c>
      <c r="BF90" s="24">
        <v>1419</v>
      </c>
      <c r="BG90" s="24">
        <v>196</v>
      </c>
      <c r="BH90" s="24">
        <v>6332</v>
      </c>
      <c r="BI90" s="24">
        <v>951</v>
      </c>
      <c r="BJ90" s="24">
        <v>2640</v>
      </c>
      <c r="BK90" s="24">
        <v>8469</v>
      </c>
      <c r="BL90" s="24">
        <v>3941</v>
      </c>
      <c r="BM90" s="24">
        <v>2249</v>
      </c>
      <c r="BN90" s="24">
        <v>1763</v>
      </c>
      <c r="BO90" s="24">
        <v>2514</v>
      </c>
      <c r="BP90" s="24">
        <v>3702</v>
      </c>
      <c r="BQ90" s="24"/>
      <c r="BR90" s="24">
        <v>3550</v>
      </c>
      <c r="BS90" s="24">
        <v>506</v>
      </c>
      <c r="BT90" s="24">
        <v>299</v>
      </c>
      <c r="BU90" s="24"/>
      <c r="BV90" s="24">
        <v>3702</v>
      </c>
      <c r="BW90" s="24">
        <v>1737</v>
      </c>
      <c r="BX90" s="24">
        <v>2070</v>
      </c>
      <c r="BY90" s="24">
        <v>300</v>
      </c>
      <c r="BZ90" s="24">
        <v>423</v>
      </c>
      <c r="CA90" s="24">
        <v>1583</v>
      </c>
      <c r="CB90" s="24">
        <v>20753</v>
      </c>
      <c r="CC90" s="24">
        <v>6224</v>
      </c>
      <c r="CD90" s="264" t="s">
        <v>233</v>
      </c>
      <c r="CE90" s="32">
        <f t="shared" si="14"/>
        <v>1070776</v>
      </c>
      <c r="CF90" s="32">
        <f>BE59-CE90</f>
        <v>0</v>
      </c>
    </row>
    <row r="91" spans="1:84" x14ac:dyDescent="0.35">
      <c r="A91" s="26" t="s">
        <v>276</v>
      </c>
      <c r="B91" s="20"/>
      <c r="C91" s="24">
        <v>3690.97</v>
      </c>
      <c r="D91" s="24"/>
      <c r="E91" s="24">
        <v>152653.6</v>
      </c>
      <c r="F91" s="24">
        <v>12813.82</v>
      </c>
      <c r="G91" s="24"/>
      <c r="H91" s="24">
        <v>17591.16</v>
      </c>
      <c r="I91" s="24"/>
      <c r="J91" s="24"/>
      <c r="K91" s="24"/>
      <c r="L91" s="24"/>
      <c r="M91" s="24"/>
      <c r="N91" s="24"/>
      <c r="O91" s="24"/>
      <c r="P91" s="24">
        <v>440.46</v>
      </c>
      <c r="Q91" s="24">
        <v>237.45</v>
      </c>
      <c r="R91" s="24"/>
      <c r="S91" s="24"/>
      <c r="T91" s="24"/>
      <c r="U91" s="24"/>
      <c r="V91" s="24"/>
      <c r="W91" s="24"/>
      <c r="X91" s="24"/>
      <c r="Y91" s="24">
        <v>1138.05</v>
      </c>
      <c r="Z91" s="24"/>
      <c r="AA91" s="24"/>
      <c r="AB91" s="24"/>
      <c r="AC91" s="24"/>
      <c r="AD91" s="24"/>
      <c r="AE91" s="24"/>
      <c r="AF91" s="24"/>
      <c r="AG91" s="24">
        <v>9237.27</v>
      </c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197802.78</v>
      </c>
      <c r="CF91" s="32">
        <f>AY59-CE91</f>
        <v>0</v>
      </c>
    </row>
    <row r="92" spans="1:84" x14ac:dyDescent="0.35">
      <c r="A92" s="26" t="s">
        <v>277</v>
      </c>
      <c r="B92" s="20"/>
      <c r="C92" s="24">
        <v>4420</v>
      </c>
      <c r="D92" s="24"/>
      <c r="E92" s="24">
        <v>21632</v>
      </c>
      <c r="F92" s="24">
        <v>5408</v>
      </c>
      <c r="G92" s="24"/>
      <c r="H92" s="24">
        <v>2496</v>
      </c>
      <c r="I92" s="24"/>
      <c r="J92" s="24"/>
      <c r="K92" s="24"/>
      <c r="L92" s="24"/>
      <c r="M92" s="24"/>
      <c r="N92" s="24"/>
      <c r="O92" s="24">
        <v>5408</v>
      </c>
      <c r="P92" s="24">
        <v>7787</v>
      </c>
      <c r="Q92" s="24">
        <v>884</v>
      </c>
      <c r="R92" s="24">
        <v>91</v>
      </c>
      <c r="S92" s="24">
        <v>3042</v>
      </c>
      <c r="T92" s="24">
        <v>26</v>
      </c>
      <c r="U92" s="24">
        <v>1261</v>
      </c>
      <c r="V92" s="24">
        <v>637</v>
      </c>
      <c r="W92" s="24">
        <v>195</v>
      </c>
      <c r="X92" s="24">
        <v>377</v>
      </c>
      <c r="Y92" s="24">
        <v>7631</v>
      </c>
      <c r="Z92" s="24">
        <v>2132</v>
      </c>
      <c r="AA92" s="24">
        <v>1326</v>
      </c>
      <c r="AB92" s="24">
        <v>1339</v>
      </c>
      <c r="AC92" s="24">
        <v>182</v>
      </c>
      <c r="AD92" s="24"/>
      <c r="AE92" s="24">
        <v>2002</v>
      </c>
      <c r="AF92" s="24"/>
      <c r="AG92" s="24">
        <v>17940</v>
      </c>
      <c r="AH92" s="24"/>
      <c r="AI92" s="24"/>
      <c r="AJ92" s="24">
        <v>5746</v>
      </c>
      <c r="AK92" s="24"/>
      <c r="AL92" s="24"/>
      <c r="AM92" s="24"/>
      <c r="AN92" s="24"/>
      <c r="AO92" s="24"/>
      <c r="AP92" s="24">
        <v>8281</v>
      </c>
      <c r="AQ92" s="24"/>
      <c r="AR92" s="24">
        <v>6747</v>
      </c>
      <c r="AS92" s="24"/>
      <c r="AT92" s="24"/>
      <c r="AU92" s="24"/>
      <c r="AV92" s="24">
        <v>5447</v>
      </c>
      <c r="AW92" s="24"/>
      <c r="AX92" s="321" t="s">
        <v>233</v>
      </c>
      <c r="AY92" s="321" t="s">
        <v>233</v>
      </c>
      <c r="AZ92" s="29" t="s">
        <v>233</v>
      </c>
      <c r="BA92" s="24"/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195</v>
      </c>
      <c r="BI92" s="24">
        <v>286</v>
      </c>
      <c r="BJ92" s="29" t="s">
        <v>233</v>
      </c>
      <c r="BK92" s="24"/>
      <c r="BL92" s="24">
        <v>260</v>
      </c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>
        <v>65</v>
      </c>
      <c r="BT92" s="24"/>
      <c r="BU92" s="24"/>
      <c r="BV92" s="24"/>
      <c r="BW92" s="24">
        <v>52</v>
      </c>
      <c r="BX92" s="24">
        <v>338</v>
      </c>
      <c r="BY92" s="24">
        <v>195</v>
      </c>
      <c r="BZ92" s="24">
        <v>2262</v>
      </c>
      <c r="CA92" s="24">
        <v>130</v>
      </c>
      <c r="CB92" s="24"/>
      <c r="CC92" s="29" t="s">
        <v>233</v>
      </c>
      <c r="CD92" s="29" t="s">
        <v>233</v>
      </c>
      <c r="CE92" s="32">
        <f t="shared" si="14"/>
        <v>116220</v>
      </c>
      <c r="CF92" s="20"/>
    </row>
    <row r="93" spans="1:84" x14ac:dyDescent="0.35">
      <c r="A93" s="26" t="s">
        <v>278</v>
      </c>
      <c r="B93" s="20"/>
      <c r="C93" s="24">
        <v>56737.65</v>
      </c>
      <c r="D93" s="24"/>
      <c r="E93" s="24">
        <v>634904.93999999994</v>
      </c>
      <c r="F93" s="24">
        <v>135856.69</v>
      </c>
      <c r="G93" s="24"/>
      <c r="H93" s="24">
        <v>53973.02</v>
      </c>
      <c r="I93" s="24"/>
      <c r="J93" s="24"/>
      <c r="K93" s="24"/>
      <c r="L93" s="24"/>
      <c r="M93" s="24"/>
      <c r="N93" s="24"/>
      <c r="O93" s="24">
        <v>174244.05</v>
      </c>
      <c r="P93" s="24">
        <v>314618.93</v>
      </c>
      <c r="Q93" s="24">
        <v>54369.33</v>
      </c>
      <c r="R93" s="24"/>
      <c r="S93" s="24">
        <v>17561.13</v>
      </c>
      <c r="T93" s="24"/>
      <c r="U93" s="24"/>
      <c r="V93" s="24">
        <v>2.02</v>
      </c>
      <c r="W93" s="24">
        <v>8477.5300000000007</v>
      </c>
      <c r="X93" s="24">
        <v>31197.7</v>
      </c>
      <c r="Y93" s="24">
        <v>75366.92</v>
      </c>
      <c r="Z93" s="24"/>
      <c r="AA93" s="24">
        <v>5882.03</v>
      </c>
      <c r="AB93" s="24">
        <v>2734.6</v>
      </c>
      <c r="AC93" s="24"/>
      <c r="AD93" s="24"/>
      <c r="AE93" s="24"/>
      <c r="AF93" s="24"/>
      <c r="AG93" s="24">
        <v>437689.53</v>
      </c>
      <c r="AH93" s="24"/>
      <c r="AI93" s="24"/>
      <c r="AJ93" s="24"/>
      <c r="AK93" s="24"/>
      <c r="AL93" s="24"/>
      <c r="AM93" s="24"/>
      <c r="AN93" s="24"/>
      <c r="AO93" s="24"/>
      <c r="AP93" s="24">
        <v>3937.85</v>
      </c>
      <c r="AQ93" s="24"/>
      <c r="AR93" s="24"/>
      <c r="AS93" s="24"/>
      <c r="AT93" s="24"/>
      <c r="AU93" s="24"/>
      <c r="AV93" s="24">
        <v>14150.91</v>
      </c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2021704.83</v>
      </c>
      <c r="CF93" s="32">
        <f>BA59</f>
        <v>0</v>
      </c>
    </row>
    <row r="94" spans="1:84" x14ac:dyDescent="0.35">
      <c r="A94" s="26" t="s">
        <v>279</v>
      </c>
      <c r="B94" s="20"/>
      <c r="C94" s="315">
        <v>45.5</v>
      </c>
      <c r="D94" s="315"/>
      <c r="E94" s="315">
        <v>203.31</v>
      </c>
      <c r="F94" s="315">
        <v>37.85</v>
      </c>
      <c r="G94" s="315"/>
      <c r="H94" s="315">
        <v>25.67</v>
      </c>
      <c r="I94" s="315"/>
      <c r="J94" s="315"/>
      <c r="K94" s="315"/>
      <c r="L94" s="315"/>
      <c r="M94" s="315"/>
      <c r="N94" s="315"/>
      <c r="O94" s="315">
        <v>32.880000000000003</v>
      </c>
      <c r="P94" s="316">
        <v>53.53</v>
      </c>
      <c r="Q94" s="316">
        <v>26.93</v>
      </c>
      <c r="R94" s="316">
        <v>0.68</v>
      </c>
      <c r="S94" s="317">
        <v>0.01</v>
      </c>
      <c r="T94" s="317">
        <v>8.6300000000000008</v>
      </c>
      <c r="U94" s="318">
        <v>6.89</v>
      </c>
      <c r="V94" s="316"/>
      <c r="W94" s="316"/>
      <c r="X94" s="316"/>
      <c r="Y94" s="316">
        <v>6.52</v>
      </c>
      <c r="Z94" s="316">
        <v>4.43</v>
      </c>
      <c r="AA94" s="316"/>
      <c r="AB94" s="317">
        <v>-0.01</v>
      </c>
      <c r="AC94" s="316"/>
      <c r="AD94" s="316"/>
      <c r="AE94" s="316"/>
      <c r="AF94" s="316"/>
      <c r="AG94" s="316">
        <v>69.14</v>
      </c>
      <c r="AH94" s="316"/>
      <c r="AI94" s="316"/>
      <c r="AJ94" s="316">
        <v>25.76</v>
      </c>
      <c r="AK94" s="316"/>
      <c r="AL94" s="316"/>
      <c r="AM94" s="316"/>
      <c r="AN94" s="316"/>
      <c r="AO94" s="316"/>
      <c r="AP94" s="316">
        <v>116.7</v>
      </c>
      <c r="AQ94" s="316"/>
      <c r="AR94" s="316">
        <v>39.94</v>
      </c>
      <c r="AS94" s="316"/>
      <c r="AT94" s="316"/>
      <c r="AU94" s="316"/>
      <c r="AV94" s="317">
        <v>23.16</v>
      </c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14"/>
        <v>727.5200000000001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1373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 t="s">
        <v>1362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1363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344" t="s">
        <v>1374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1366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1375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>
        <v>98902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1366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6" t="s">
        <v>1376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1377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219" t="s">
        <v>1370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3" t="s">
        <v>1371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3" t="s">
        <v>1372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1378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5" t="s">
        <v>1379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>
        <v>1</v>
      </c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121477</v>
      </c>
      <c r="D127" s="50">
        <v>59260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2416</v>
      </c>
      <c r="D130" s="50">
        <v>3466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18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>
        <v>20</v>
      </c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122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>
        <v>16</v>
      </c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32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>
        <v>18</v>
      </c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226</v>
      </c>
    </row>
    <row r="144" spans="1:5" x14ac:dyDescent="0.35">
      <c r="A144" s="20" t="s">
        <v>325</v>
      </c>
      <c r="B144" s="46" t="s">
        <v>284</v>
      </c>
      <c r="C144" s="47">
        <v>226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>
        <v>32</v>
      </c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4714</v>
      </c>
      <c r="C154" s="50">
        <v>5242</v>
      </c>
      <c r="D154" s="50">
        <v>2521</v>
      </c>
      <c r="E154" s="32">
        <f>SUM(B154:D154)</f>
        <v>12477</v>
      </c>
    </row>
    <row r="155" spans="1:6" x14ac:dyDescent="0.35">
      <c r="A155" s="20" t="s">
        <v>227</v>
      </c>
      <c r="B155" s="50">
        <v>30137</v>
      </c>
      <c r="C155" s="50">
        <v>17919</v>
      </c>
      <c r="D155" s="50">
        <v>11204</v>
      </c>
      <c r="E155" s="32">
        <f>SUM(B155:D155)</f>
        <v>59260</v>
      </c>
    </row>
    <row r="156" spans="1:6" x14ac:dyDescent="0.35">
      <c r="A156" s="20" t="s">
        <v>332</v>
      </c>
      <c r="B156" s="50">
        <v>148225</v>
      </c>
      <c r="C156" s="50">
        <v>77622</v>
      </c>
      <c r="D156" s="50">
        <v>98051</v>
      </c>
      <c r="E156" s="32">
        <f>SUM(B156:D156)</f>
        <v>323898</v>
      </c>
    </row>
    <row r="157" spans="1:6" x14ac:dyDescent="0.35">
      <c r="A157" s="20" t="s">
        <v>272</v>
      </c>
      <c r="B157" s="50">
        <v>280831247</v>
      </c>
      <c r="C157" s="50">
        <v>149026460</v>
      </c>
      <c r="D157" s="50">
        <v>102689952</v>
      </c>
      <c r="E157" s="32">
        <f>SUM(B157:D157)</f>
        <v>532547659</v>
      </c>
      <c r="F157" s="18"/>
    </row>
    <row r="158" spans="1:6" x14ac:dyDescent="0.35">
      <c r="A158" s="20" t="s">
        <v>273</v>
      </c>
      <c r="B158" s="50">
        <v>540379493</v>
      </c>
      <c r="C158" s="50">
        <v>282753298</v>
      </c>
      <c r="D158" s="50">
        <v>357493924</v>
      </c>
      <c r="E158" s="32">
        <f>SUM(B158:D158)</f>
        <v>1180626715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15635663.300000001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-1647095.03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4300577.08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13460090.65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917346.28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f>259618.23+12497480.83</f>
        <v>12757099.060000001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f>174850.83+3348571.33+2054443.23+850+2990.3+780.28+747253.26+9399.7+38731.96+249957.6+35438.55+325262.55</f>
        <v>6988529.5899999999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52412210.930000007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f>92132.26+5887654.81+226527.4</f>
        <v>6206314.4699999997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f>319932.97+988059.48+806731.91</f>
        <v>2114724.36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8321038.8300000001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f>1237203.87+2510204.88+5026.02</f>
        <v>3752434.77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487755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4240189.7699999996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v>180121.60000000001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543912.47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11939452.859999999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12663486.93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/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1835767.87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1835767.87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12015018.42</v>
      </c>
      <c r="C211" s="47">
        <f>60560.3+55287.45</f>
        <v>115847.75</v>
      </c>
      <c r="D211" s="50">
        <v>0</v>
      </c>
      <c r="E211" s="32">
        <f t="shared" ref="E211:E219" si="16">SUM(B211:C211)-D211</f>
        <v>12130866.17</v>
      </c>
    </row>
    <row r="212" spans="1:5" x14ac:dyDescent="0.35">
      <c r="A212" s="20" t="s">
        <v>367</v>
      </c>
      <c r="B212" s="50">
        <v>2770750.64</v>
      </c>
      <c r="C212" s="47">
        <v>0</v>
      </c>
      <c r="D212" s="50">
        <v>0</v>
      </c>
      <c r="E212" s="32">
        <f t="shared" si="16"/>
        <v>2770750.64</v>
      </c>
    </row>
    <row r="213" spans="1:5" x14ac:dyDescent="0.35">
      <c r="A213" s="20" t="s">
        <v>368</v>
      </c>
      <c r="B213" s="50">
        <v>97710886.329999998</v>
      </c>
      <c r="C213" s="47">
        <f>10781821.51+648055.52</f>
        <v>11429877.029999999</v>
      </c>
      <c r="D213" s="50">
        <v>0</v>
      </c>
      <c r="E213" s="32">
        <f t="shared" si="16"/>
        <v>109140763.36</v>
      </c>
    </row>
    <row r="214" spans="1:5" x14ac:dyDescent="0.35">
      <c r="A214" s="20" t="s">
        <v>369</v>
      </c>
      <c r="B214" s="50">
        <v>72100843.040000007</v>
      </c>
      <c r="C214" s="47">
        <v>320408.83</v>
      </c>
      <c r="D214" s="50">
        <v>0</v>
      </c>
      <c r="E214" s="32">
        <f t="shared" si="16"/>
        <v>72421251.870000005</v>
      </c>
    </row>
    <row r="215" spans="1:5" x14ac:dyDescent="0.35">
      <c r="A215" s="20" t="s">
        <v>370</v>
      </c>
      <c r="B215" s="50">
        <v>0</v>
      </c>
      <c r="C215" s="47">
        <v>0</v>
      </c>
      <c r="D215" s="50">
        <v>0</v>
      </c>
      <c r="E215" s="32">
        <f t="shared" si="16"/>
        <v>0</v>
      </c>
    </row>
    <row r="216" spans="1:5" x14ac:dyDescent="0.35">
      <c r="A216" s="20" t="s">
        <v>371</v>
      </c>
      <c r="B216" s="50">
        <v>101902251.39</v>
      </c>
      <c r="C216" s="47">
        <f>3149546.34+492089.42+235514.64+4322.99</f>
        <v>3881473.39</v>
      </c>
      <c r="D216" s="50">
        <v>2476971.42</v>
      </c>
      <c r="E216" s="32">
        <f t="shared" si="16"/>
        <v>103306753.36</v>
      </c>
    </row>
    <row r="217" spans="1:5" x14ac:dyDescent="0.35">
      <c r="A217" s="20" t="s">
        <v>372</v>
      </c>
      <c r="B217" s="50">
        <v>0</v>
      </c>
      <c r="C217" s="47">
        <v>0</v>
      </c>
      <c r="D217" s="50">
        <v>0</v>
      </c>
      <c r="E217" s="32">
        <f t="shared" si="16"/>
        <v>0</v>
      </c>
    </row>
    <row r="218" spans="1:5" x14ac:dyDescent="0.35">
      <c r="A218" s="20" t="s">
        <v>373</v>
      </c>
      <c r="B218" s="50">
        <v>6785018.1100000003</v>
      </c>
      <c r="C218" s="47">
        <v>0</v>
      </c>
      <c r="D218" s="50">
        <v>0</v>
      </c>
      <c r="E218" s="32">
        <f t="shared" si="16"/>
        <v>6785018.1100000003</v>
      </c>
    </row>
    <row r="219" spans="1:5" x14ac:dyDescent="0.35">
      <c r="A219" s="20" t="s">
        <v>374</v>
      </c>
      <c r="B219" s="50">
        <v>20116992.484000001</v>
      </c>
      <c r="C219" s="47">
        <f>-5751227.31+40134.62</f>
        <v>-5711092.6899999995</v>
      </c>
      <c r="D219" s="50"/>
      <c r="E219" s="32">
        <f t="shared" si="16"/>
        <v>14405899.794000002</v>
      </c>
    </row>
    <row r="220" spans="1:5" x14ac:dyDescent="0.35">
      <c r="A220" s="20" t="s">
        <v>215</v>
      </c>
      <c r="B220" s="32">
        <f>SUM(B211:B219)</f>
        <v>313401760.41400003</v>
      </c>
      <c r="C220" s="266">
        <f>SUM(C211:C219)</f>
        <v>10036514.310000001</v>
      </c>
      <c r="D220" s="32">
        <f>SUM(D211:D219)</f>
        <v>2476971.42</v>
      </c>
      <c r="E220" s="32">
        <f>SUM(E211:E219)</f>
        <v>320961303.30400008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1755505.6500000001</v>
      </c>
      <c r="C225" s="47">
        <v>112262.63</v>
      </c>
      <c r="D225" s="50">
        <v>0</v>
      </c>
      <c r="E225" s="32">
        <f t="shared" ref="E225:E232" si="17">SUM(B225:C225)-D225</f>
        <v>1867768.2800000003</v>
      </c>
    </row>
    <row r="226" spans="1:5" x14ac:dyDescent="0.35">
      <c r="A226" s="20" t="s">
        <v>368</v>
      </c>
      <c r="B226" s="50">
        <v>22371622.109999999</v>
      </c>
      <c r="C226" s="47">
        <v>4221257.08</v>
      </c>
      <c r="D226" s="50">
        <v>0</v>
      </c>
      <c r="E226" s="32">
        <f t="shared" si="17"/>
        <v>26592879.189999998</v>
      </c>
    </row>
    <row r="227" spans="1:5" x14ac:dyDescent="0.35">
      <c r="A227" s="20" t="s">
        <v>369</v>
      </c>
      <c r="B227" s="50">
        <v>26861962.660000004</v>
      </c>
      <c r="C227" s="47">
        <f>4602509.36+50165.57</f>
        <v>4652674.9300000006</v>
      </c>
      <c r="D227" s="50">
        <v>0</v>
      </c>
      <c r="E227" s="32">
        <f t="shared" si="17"/>
        <v>31514637.590000004</v>
      </c>
    </row>
    <row r="228" spans="1:5" x14ac:dyDescent="0.35">
      <c r="A228" s="20" t="s">
        <v>370</v>
      </c>
      <c r="B228" s="50">
        <v>0</v>
      </c>
      <c r="C228" s="47">
        <v>0</v>
      </c>
      <c r="D228" s="50">
        <v>0</v>
      </c>
      <c r="E228" s="32">
        <f t="shared" si="17"/>
        <v>0</v>
      </c>
    </row>
    <row r="229" spans="1:5" x14ac:dyDescent="0.35">
      <c r="A229" s="20" t="s">
        <v>371</v>
      </c>
      <c r="B229" s="50">
        <v>63745128.739999995</v>
      </c>
      <c r="C229" s="47">
        <f>9444603.76+490058.82</f>
        <v>9934662.5800000001</v>
      </c>
      <c r="D229" s="50">
        <v>2126434.15</v>
      </c>
      <c r="E229" s="32">
        <f t="shared" si="17"/>
        <v>71553357.169999987</v>
      </c>
    </row>
    <row r="230" spans="1:5" x14ac:dyDescent="0.35">
      <c r="A230" s="20" t="s">
        <v>372</v>
      </c>
      <c r="B230" s="50">
        <v>0</v>
      </c>
      <c r="C230" s="47">
        <v>0</v>
      </c>
      <c r="D230" s="50">
        <v>0</v>
      </c>
      <c r="E230" s="32">
        <f t="shared" si="17"/>
        <v>0</v>
      </c>
    </row>
    <row r="231" spans="1:5" x14ac:dyDescent="0.35">
      <c r="A231" s="20" t="s">
        <v>373</v>
      </c>
      <c r="B231" s="50">
        <v>3193197.0199999996</v>
      </c>
      <c r="C231" s="47">
        <v>448481.09</v>
      </c>
      <c r="D231" s="50">
        <v>0</v>
      </c>
      <c r="E231" s="32">
        <f t="shared" si="17"/>
        <v>3641678.1099999994</v>
      </c>
    </row>
    <row r="232" spans="1:5" x14ac:dyDescent="0.35">
      <c r="A232" s="20" t="s">
        <v>374</v>
      </c>
      <c r="B232" s="50">
        <v>0</v>
      </c>
      <c r="C232" s="47">
        <v>0</v>
      </c>
      <c r="D232" s="50">
        <v>0</v>
      </c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117927416.17999999</v>
      </c>
      <c r="C233" s="266">
        <f>SUM(C224:C232)</f>
        <v>19369338.309999999</v>
      </c>
      <c r="D233" s="32">
        <f>SUM(D224:D232)</f>
        <v>2126434.15</v>
      </c>
      <c r="E233" s="32">
        <f>SUM(E224:E232)</f>
        <v>135170320.33999997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8" t="s">
        <v>377</v>
      </c>
      <c r="C236" s="348"/>
      <c r="D236" s="38"/>
      <c r="E236" s="38"/>
    </row>
    <row r="237" spans="1:5" x14ac:dyDescent="0.35">
      <c r="A237" s="56" t="s">
        <v>377</v>
      </c>
      <c r="B237" s="38"/>
      <c r="C237" s="47">
        <v>4006877.91</v>
      </c>
      <c r="D237" s="40">
        <f>C237</f>
        <v>4006877.91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f>601898857.29+3827106.35-144866.65</f>
        <v>605581096.99000001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f>351596054.43+1061228.41-13530865.19</f>
        <v>339126417.65000004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12311135.199999999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/>
      <c r="D242" s="20"/>
      <c r="E242" s="20"/>
    </row>
    <row r="243" spans="1:5" x14ac:dyDescent="0.35">
      <c r="A243" s="20" t="s">
        <v>383</v>
      </c>
      <c r="B243" s="46" t="s">
        <v>284</v>
      </c>
      <c r="C243" s="47">
        <f>336734.89+222981563.57-13948304.8</f>
        <v>209369993.65999997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/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1166388643.5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/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/>
      <c r="D249" s="20"/>
      <c r="E249" s="20"/>
    </row>
    <row r="250" spans="1:5" x14ac:dyDescent="0.35">
      <c r="A250" s="26" t="s">
        <v>389</v>
      </c>
      <c r="B250" s="46" t="s">
        <v>284</v>
      </c>
      <c r="C250" s="47">
        <f>34677791.34+268800.6</f>
        <v>34946591.940000005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34946591.940000005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>
        <v>12335763.15</v>
      </c>
      <c r="D254" s="20"/>
      <c r="E254" s="20"/>
    </row>
    <row r="255" spans="1:5" x14ac:dyDescent="0.35">
      <c r="A255" s="20" t="s">
        <v>391</v>
      </c>
      <c r="B255" s="46" t="s">
        <v>284</v>
      </c>
      <c r="C255" s="47">
        <v>-342441.12</v>
      </c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11993322.030000001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1217335435.3800001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35118957.729999997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f>235011249.22+269362.56</f>
        <v>235280611.78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172299846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>
        <v>1744547</v>
      </c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8809026.0999999996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9089298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5841062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123583656.60999998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>
        <v>59708998.170000002</v>
      </c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59708998.170000002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12130866.17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2770750.64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109140763.36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/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72421251.870000005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f>103066915.73+44457.61+235514.64</f>
        <v>103346887.98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>
        <v>6785018.1100000003</v>
      </c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14365765.140000001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320961303.27000004</v>
      </c>
      <c r="E291" s="20"/>
    </row>
    <row r="292" spans="1:5" x14ac:dyDescent="0.35">
      <c r="A292" s="20" t="s">
        <v>416</v>
      </c>
      <c r="B292" s="46" t="s">
        <v>284</v>
      </c>
      <c r="C292" s="47">
        <v>135170320.34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185790982.93000004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>
        <v>10136587.93</v>
      </c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21186581.890000001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31323169.82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>
        <v>196916.04</v>
      </c>
      <c r="D302" s="20"/>
      <c r="E302" s="20"/>
    </row>
    <row r="303" spans="1:5" x14ac:dyDescent="0.35">
      <c r="A303" s="20" t="s">
        <v>425</v>
      </c>
      <c r="B303" s="46" t="s">
        <v>284</v>
      </c>
      <c r="C303" s="47">
        <v>359198.2</v>
      </c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556114.24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400962921.77000004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f>29682275.79+269362.56</f>
        <v>29951638.349999998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31130776.949999999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>
        <v>130529.19</v>
      </c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/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47125398.119999997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130098.27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108468440.87999998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>
        <v>3877804.69</v>
      </c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3877804.69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>
        <f>516607.46+10098.27+1</f>
        <v>526706.73</v>
      </c>
      <c r="D331" s="20"/>
      <c r="E331" s="20"/>
    </row>
    <row r="332" spans="1:5" x14ac:dyDescent="0.35">
      <c r="A332" s="20" t="s">
        <v>450</v>
      </c>
      <c r="B332" s="46" t="s">
        <v>284</v>
      </c>
      <c r="C332" s="47">
        <f>31405000+120000</f>
        <v>31525000</v>
      </c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/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18027507.800000001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50079214.530000001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130098.27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49949116.259999998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>
        <v>238667560.41999999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400962922.25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400962921.77000004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532547658.95999998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f>1180626713.63-31482186.41</f>
        <v>1149144527.22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1681692186.1800001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4006877.91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1166046202.3800001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34946591.939999998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>
        <v>12335763.15</v>
      </c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1217335435.3800004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464356750.79999971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>
        <f>10816474.65+2323945.46</f>
        <v>13140420.109999999</v>
      </c>
      <c r="D370" s="32"/>
      <c r="E370" s="32"/>
    </row>
    <row r="371" spans="1:6" x14ac:dyDescent="0.35">
      <c r="A371" s="59" t="s">
        <v>480</v>
      </c>
      <c r="B371" s="40" t="s">
        <v>284</v>
      </c>
      <c r="C371" s="273">
        <v>13624883.66</v>
      </c>
      <c r="D371" s="32"/>
      <c r="E371" s="32"/>
    </row>
    <row r="372" spans="1:6" x14ac:dyDescent="0.35">
      <c r="A372" s="59" t="s">
        <v>481</v>
      </c>
      <c r="B372" s="40" t="s">
        <v>284</v>
      </c>
      <c r="C372" s="273">
        <v>0</v>
      </c>
      <c r="D372" s="32"/>
      <c r="E372" s="32"/>
    </row>
    <row r="373" spans="1:6" x14ac:dyDescent="0.35">
      <c r="A373" s="59" t="s">
        <v>482</v>
      </c>
      <c r="B373" s="40" t="s">
        <v>284</v>
      </c>
      <c r="C373" s="273">
        <v>0</v>
      </c>
      <c r="D373" s="32"/>
      <c r="E373" s="32"/>
    </row>
    <row r="374" spans="1:6" x14ac:dyDescent="0.35">
      <c r="A374" s="59" t="s">
        <v>483</v>
      </c>
      <c r="B374" s="40" t="s">
        <v>284</v>
      </c>
      <c r="C374" s="273">
        <v>31482186.41</v>
      </c>
      <c r="D374" s="32"/>
      <c r="E374" s="32"/>
    </row>
    <row r="375" spans="1:6" x14ac:dyDescent="0.35">
      <c r="A375" s="59" t="s">
        <v>484</v>
      </c>
      <c r="B375" s="40" t="s">
        <v>284</v>
      </c>
      <c r="C375" s="273">
        <v>0</v>
      </c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>
        <v>152661.14000000001</v>
      </c>
      <c r="D378" s="32"/>
      <c r="E378" s="32"/>
    </row>
    <row r="379" spans="1:6" x14ac:dyDescent="0.35">
      <c r="A379" s="59" t="s">
        <v>488</v>
      </c>
      <c r="B379" s="40" t="s">
        <v>284</v>
      </c>
      <c r="C379" s="273">
        <v>2131234.65</v>
      </c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5491687.8300000001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66023073.799999997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>
        <v>0</v>
      </c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66023073.799999997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530379824.59999973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236">
        <v>241911010.16</v>
      </c>
      <c r="D389" s="20"/>
      <c r="E389" s="20"/>
    </row>
    <row r="390" spans="1:5" x14ac:dyDescent="0.35">
      <c r="A390" s="20" t="s">
        <v>9</v>
      </c>
      <c r="B390" s="46" t="s">
        <v>284</v>
      </c>
      <c r="C390" s="236">
        <v>52412210.93</v>
      </c>
      <c r="D390" s="20"/>
      <c r="E390" s="20"/>
    </row>
    <row r="391" spans="1:5" x14ac:dyDescent="0.35">
      <c r="A391" s="20" t="s">
        <v>249</v>
      </c>
      <c r="B391" s="46" t="s">
        <v>284</v>
      </c>
      <c r="C391" s="236">
        <v>27683282.91</v>
      </c>
      <c r="D391" s="20"/>
      <c r="E391" s="20"/>
    </row>
    <row r="392" spans="1:5" x14ac:dyDescent="0.35">
      <c r="A392" s="20" t="s">
        <v>496</v>
      </c>
      <c r="B392" s="46" t="s">
        <v>284</v>
      </c>
      <c r="C392" s="236">
        <v>96074710.620000005</v>
      </c>
      <c r="D392" s="20"/>
      <c r="E392" s="20"/>
    </row>
    <row r="393" spans="1:5" x14ac:dyDescent="0.35">
      <c r="A393" s="20" t="s">
        <v>497</v>
      </c>
      <c r="B393" s="46" t="s">
        <v>284</v>
      </c>
      <c r="C393" s="236">
        <v>3192277.24</v>
      </c>
      <c r="D393" s="20"/>
      <c r="E393" s="20"/>
    </row>
    <row r="394" spans="1:5" x14ac:dyDescent="0.35">
      <c r="A394" s="20" t="s">
        <v>498</v>
      </c>
      <c r="B394" s="46" t="s">
        <v>284</v>
      </c>
      <c r="C394" s="236">
        <v>27881837.84</v>
      </c>
      <c r="D394" s="20"/>
      <c r="E394" s="20"/>
    </row>
    <row r="395" spans="1:5" x14ac:dyDescent="0.35">
      <c r="A395" s="20" t="s">
        <v>11</v>
      </c>
      <c r="B395" s="46" t="s">
        <v>284</v>
      </c>
      <c r="C395" s="236">
        <v>19515018.890000001</v>
      </c>
      <c r="D395" s="20"/>
      <c r="E395" s="20"/>
    </row>
    <row r="396" spans="1:5" x14ac:dyDescent="0.35">
      <c r="A396" s="20" t="s">
        <v>499</v>
      </c>
      <c r="B396" s="46" t="s">
        <v>284</v>
      </c>
      <c r="C396" s="236">
        <v>8321038.8300000001</v>
      </c>
      <c r="D396" s="20"/>
      <c r="E396" s="20"/>
    </row>
    <row r="397" spans="1:5" x14ac:dyDescent="0.35">
      <c r="A397" s="20" t="s">
        <v>500</v>
      </c>
      <c r="B397" s="46" t="s">
        <v>284</v>
      </c>
      <c r="C397" s="236">
        <v>1237203.8700000001</v>
      </c>
      <c r="D397" s="20"/>
      <c r="E397" s="20"/>
    </row>
    <row r="398" spans="1:5" x14ac:dyDescent="0.35">
      <c r="A398" s="20" t="s">
        <v>501</v>
      </c>
      <c r="B398" s="46" t="s">
        <v>284</v>
      </c>
      <c r="C398" s="236">
        <v>12663486.93</v>
      </c>
      <c r="D398" s="20"/>
      <c r="E398" s="20"/>
    </row>
    <row r="399" spans="1:5" x14ac:dyDescent="0.35">
      <c r="A399" s="20" t="s">
        <v>502</v>
      </c>
      <c r="B399" s="46" t="s">
        <v>284</v>
      </c>
      <c r="C399" s="236">
        <v>1835767.87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>
        <v>1550242.04</v>
      </c>
      <c r="D401" s="32"/>
      <c r="E401" s="32"/>
    </row>
    <row r="402" spans="1:9" x14ac:dyDescent="0.35">
      <c r="A402" s="33" t="s">
        <v>256</v>
      </c>
      <c r="B402" s="40" t="s">
        <v>284</v>
      </c>
      <c r="C402" s="273">
        <v>19927946.879999999</v>
      </c>
      <c r="D402" s="32"/>
      <c r="E402" s="32"/>
    </row>
    <row r="403" spans="1:9" x14ac:dyDescent="0.35">
      <c r="A403" s="33" t="s">
        <v>504</v>
      </c>
      <c r="B403" s="40" t="s">
        <v>284</v>
      </c>
      <c r="C403" s="273">
        <v>20023433.620000001</v>
      </c>
      <c r="D403" s="32"/>
      <c r="E403" s="32"/>
    </row>
    <row r="404" spans="1:9" x14ac:dyDescent="0.35">
      <c r="A404" s="33" t="s">
        <v>258</v>
      </c>
      <c r="B404" s="40" t="s">
        <v>284</v>
      </c>
      <c r="C404" s="273">
        <v>3002985.9</v>
      </c>
      <c r="D404" s="32"/>
      <c r="E404" s="32"/>
    </row>
    <row r="405" spans="1:9" x14ac:dyDescent="0.35">
      <c r="A405" s="33" t="s">
        <v>259</v>
      </c>
      <c r="B405" s="40" t="s">
        <v>284</v>
      </c>
      <c r="C405" s="273">
        <v>1891777.72</v>
      </c>
      <c r="D405" s="32"/>
      <c r="E405" s="32"/>
    </row>
    <row r="406" spans="1:9" x14ac:dyDescent="0.35">
      <c r="A406" s="33" t="s">
        <v>260</v>
      </c>
      <c r="B406" s="40" t="s">
        <v>284</v>
      </c>
      <c r="C406" s="273">
        <v>3273060</v>
      </c>
      <c r="D406" s="32"/>
      <c r="E406" s="32"/>
    </row>
    <row r="407" spans="1:9" x14ac:dyDescent="0.35">
      <c r="A407" s="33" t="s">
        <v>261</v>
      </c>
      <c r="B407" s="40" t="s">
        <v>284</v>
      </c>
      <c r="C407" s="273">
        <v>340801.89</v>
      </c>
      <c r="D407" s="32"/>
      <c r="E407" s="32"/>
    </row>
    <row r="408" spans="1:9" x14ac:dyDescent="0.35">
      <c r="A408" s="33" t="s">
        <v>262</v>
      </c>
      <c r="B408" s="40" t="s">
        <v>284</v>
      </c>
      <c r="C408" s="273">
        <v>1935856.97</v>
      </c>
      <c r="D408" s="32"/>
      <c r="E408" s="32"/>
    </row>
    <row r="409" spans="1:9" x14ac:dyDescent="0.35">
      <c r="A409" s="33" t="s">
        <v>263</v>
      </c>
      <c r="B409" s="40" t="s">
        <v>284</v>
      </c>
      <c r="C409" s="273">
        <v>0</v>
      </c>
      <c r="D409" s="32"/>
      <c r="E409" s="32"/>
    </row>
    <row r="410" spans="1:9" x14ac:dyDescent="0.35">
      <c r="A410" s="33" t="s">
        <v>264</v>
      </c>
      <c r="B410" s="40" t="s">
        <v>284</v>
      </c>
      <c r="C410" s="273">
        <v>332848.89</v>
      </c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11651083.699999999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63930037.609999999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556657883.69999993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-26278059.100000203</v>
      </c>
      <c r="E417" s="32"/>
    </row>
    <row r="418" spans="1:13" x14ac:dyDescent="0.35">
      <c r="A418" s="32" t="s">
        <v>508</v>
      </c>
      <c r="B418" s="20"/>
      <c r="C418" s="236">
        <v>-6481587.4800000004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-6481587.4800000004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-32759646.580000203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-32759646.580000203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644065</v>
      </c>
      <c r="E612" s="258">
        <f>SUM(C624:D647)+SUM(C668:D713)</f>
        <v>470344226.23091829</v>
      </c>
      <c r="F612" s="258">
        <f>CE64-(AX64+BD64+BE64+BG64+BJ64+BN64+BP64+BQ64+CB64+CC64+CD64)</f>
        <v>95687538.179999992</v>
      </c>
      <c r="G612" s="256">
        <f>CE91-(AX91+AY91+BD91+BE91+BG91+BJ91+BN91+BP91+BQ91+CB91+CC91+CD91)</f>
        <v>197802.78</v>
      </c>
      <c r="H612" s="261">
        <f>CE60-(AX60+AY60+AZ60+BD60+BE60+BG60+BJ60+BN60+BO60+BP60+BQ60+BR60+CB60+CC60+CD60)</f>
        <v>2124.7000000000003</v>
      </c>
      <c r="I612" s="256">
        <f>CE92-(AX92+AY92+AZ92+BD92+BE92+BF92+BG92+BJ92+BN92+BO92+BP92+BQ92+BR92+CB92+CC92+CD92)</f>
        <v>116220</v>
      </c>
      <c r="J612" s="256">
        <f>CE93-(AX93+AY93+AZ93+BA93+BD93+BE93+BF93+BG93+BJ93+BN93+BO93+BP93+BQ93+BR93+CB93+CC93+CD93)</f>
        <v>2021704.83</v>
      </c>
      <c r="K612" s="256">
        <f>CE89-(AW89+AX89+AY89+AZ89+BA89+BB89+BC89+BD89+BE89+BF89+BG89+BH89+BI89+BJ89+BK89+BL89+BM89+BN89+BO89+BP89+BQ89+BR89+BS89+BT89+BU89+BV89+BW89+BX89+CB89+CC89+CD89)</f>
        <v>1713174372.5800002</v>
      </c>
      <c r="L612" s="262">
        <f>CE94-(AW94+AX94+AY94+AZ94+BA94+BB94+BC94+BD94+BE94+BF94+BG94+BH94+BI94+BJ94+BK94+BL94+BM94+BN94+BO94+BP94+BQ94+BR94+BS94+BT94+BU94+BV94+BW94+BX94+BY94+BZ94+CA94+CB94+CC94+CD94)</f>
        <v>727.5200000000001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14202904.02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-26047152</v>
      </c>
      <c r="D615" s="256">
        <f>SUM(C614:C615)</f>
        <v>-11844247.98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1251168.6020000002</v>
      </c>
      <c r="D617" s="256">
        <f>(D615/D612)*BJ90</f>
        <v>-48549.159894110067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445944.92</v>
      </c>
      <c r="D618" s="256">
        <f>(D615/D612)*BG90</f>
        <v>-3604.4073254718082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19464260.829999998</v>
      </c>
      <c r="D619" s="256">
        <f>(D615/D612)*BN90</f>
        <v>-32421.27609595305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5606044.1400000006</v>
      </c>
      <c r="D620" s="256">
        <f>(D615/D612)*CC90</f>
        <v>-114458.32241702313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622059.42000000004</v>
      </c>
      <c r="D621" s="256">
        <f>(D615/D612)*BP90</f>
        <v>-68079.162851513436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377625</v>
      </c>
      <c r="D622" s="256">
        <f>(D615/D612)*CB90</f>
        <v>-381644.21033426753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27118346.373081662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1952985.9499999997</v>
      </c>
      <c r="D624" s="256">
        <f>(D615/D612)*BD90</f>
        <v>-122513.06939945502</v>
      </c>
      <c r="E624" s="258">
        <f>(E623/E612)*SUM(C624:D624)</f>
        <v>105538.44362126254</v>
      </c>
      <c r="F624" s="258">
        <f>SUM(C624:E624)</f>
        <v>1936011.3242218071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3087770.17</v>
      </c>
      <c r="D625" s="256">
        <f>(D615/D612)*AY90</f>
        <v>-121942.9845673651</v>
      </c>
      <c r="E625" s="258">
        <f>(E623/E612)*SUM(C625:D625)</f>
        <v>170998.86511156475</v>
      </c>
      <c r="F625" s="258">
        <f>(F624/F612)*AY64</f>
        <v>12082.138111301972</v>
      </c>
      <c r="G625" s="256">
        <f>SUM(C625:F625)</f>
        <v>3148908.1886555017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4313568.12</v>
      </c>
      <c r="D626" s="256">
        <f>(D615/D612)*BR90</f>
        <v>-65283.908190943461</v>
      </c>
      <c r="E626" s="258">
        <f>(E623/E612)*SUM(C626:D626)</f>
        <v>244940.69730659548</v>
      </c>
      <c r="F626" s="258">
        <f>(F624/F612)*BR64</f>
        <v>86.247891731537095</v>
      </c>
      <c r="G626" s="256">
        <f>(G625/G612)*BR91</f>
        <v>0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1412048.9299999997</v>
      </c>
      <c r="D627" s="256">
        <f>(D615/D612)*BO90</f>
        <v>-46232.040899163905</v>
      </c>
      <c r="E627" s="258">
        <f>(E623/E612)*SUM(C627:D627)</f>
        <v>78748.060282676815</v>
      </c>
      <c r="F627" s="258">
        <f>(F624/F612)*BO64</f>
        <v>2200.1700994828516</v>
      </c>
      <c r="G627" s="256">
        <f>(G625/G612)*BO91</f>
        <v>0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322522.44200000027</v>
      </c>
      <c r="D628" s="256">
        <f>(D615/D612)*AZ90</f>
        <v>-80933.656323476665</v>
      </c>
      <c r="E628" s="258">
        <f>(E623/E612)*SUM(C628:D628)</f>
        <v>13929.135310808864</v>
      </c>
      <c r="F628" s="258">
        <f>(F624/F612)*AZ64</f>
        <v>18883.871706650498</v>
      </c>
      <c r="G628" s="256">
        <f>(G625/G612)*AZ91</f>
        <v>0</v>
      </c>
      <c r="H628" s="258">
        <f>SUM(C626:G628)</f>
        <v>6214478.069184362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5022378.6199999992</v>
      </c>
      <c r="D629" s="256">
        <f>(D615/D612)*BF90</f>
        <v>-26095.173443084161</v>
      </c>
      <c r="E629" s="258">
        <f>(E623/E612)*SUM(C629:D629)</f>
        <v>288067.62691141141</v>
      </c>
      <c r="F629" s="258">
        <f>(F624/F612)*BF64</f>
        <v>6134.2801109246147</v>
      </c>
      <c r="G629" s="256">
        <f>(G625/G612)*BF91</f>
        <v>0</v>
      </c>
      <c r="H629" s="258">
        <f>(H628/H612)*BF60</f>
        <v>200880.29076649973</v>
      </c>
      <c r="I629" s="256">
        <f>SUM(C629:H629)</f>
        <v>5491365.6443457501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1398177.9100000001</v>
      </c>
      <c r="D630" s="256">
        <f>(D615/D612)*BA90</f>
        <v>-48291.702228004942</v>
      </c>
      <c r="E630" s="258">
        <f>(E623/E612)*SUM(C630:D630)</f>
        <v>77829.554834663533</v>
      </c>
      <c r="F630" s="258">
        <f>(F624/F612)*BA64</f>
        <v>7742.3499491137054</v>
      </c>
      <c r="G630" s="256">
        <f>(G625/G612)*BA91</f>
        <v>0</v>
      </c>
      <c r="H630" s="258">
        <f>(H628/H612)*BA60</f>
        <v>10266.304900850524</v>
      </c>
      <c r="I630" s="256">
        <f>(I629/I612)*BA92</f>
        <v>0</v>
      </c>
      <c r="J630" s="256">
        <f>SUM(C630:I630)</f>
        <v>1445724.4174566232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>
        <f>(G625/G612)*BB91</f>
        <v>0</v>
      </c>
      <c r="H632" s="258">
        <f>(H628/H612)*BB60</f>
        <v>0</v>
      </c>
      <c r="I632" s="256">
        <f>(I629/I612)*BB92</f>
        <v>0</v>
      </c>
      <c r="J632" s="256">
        <f>(J630/J612)*BB93</f>
        <v>0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5140628.9399999995</v>
      </c>
      <c r="D634" s="256">
        <f>(D615/D612)*BI90</f>
        <v>-17488.731461855557</v>
      </c>
      <c r="E634" s="258">
        <f>(E623/E612)*SUM(C634:D634)</f>
        <v>295381.7288378707</v>
      </c>
      <c r="F634" s="258">
        <f>(F624/F612)*BI64</f>
        <v>379.86069763782643</v>
      </c>
      <c r="G634" s="256">
        <f>(G625/G612)*BI91</f>
        <v>0</v>
      </c>
      <c r="H634" s="258">
        <f>(H628/H612)*BI60</f>
        <v>85113.809861752205</v>
      </c>
      <c r="I634" s="256">
        <f>(I629/I612)*BI92</f>
        <v>13513.427760134955</v>
      </c>
      <c r="J634" s="256">
        <f>(J630/J612)*BI93</f>
        <v>0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10811372.760000002</v>
      </c>
      <c r="D635" s="256">
        <f>(D615/D612)*BK90</f>
        <v>-155743.49816030991</v>
      </c>
      <c r="E635" s="258">
        <f>(E623/E612)*SUM(C635:D635)</f>
        <v>614365.03103547217</v>
      </c>
      <c r="F635" s="258">
        <f>(F624/F612)*BK64</f>
        <v>210.52282431887275</v>
      </c>
      <c r="G635" s="256">
        <f>(G625/G612)*BK91</f>
        <v>0</v>
      </c>
      <c r="H635" s="258">
        <f>(H628/H612)*BK60</f>
        <v>154872.03547009552</v>
      </c>
      <c r="I635" s="256">
        <f>(I629/I612)*BK92</f>
        <v>0</v>
      </c>
      <c r="J635" s="256">
        <f>(J630/J612)*BK93</f>
        <v>0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13971298.51</v>
      </c>
      <c r="D636" s="256">
        <f>(D615/D612)*BH90</f>
        <v>-116444.42441269127</v>
      </c>
      <c r="E636" s="258">
        <f>(E623/E612)*SUM(C636:D636)</f>
        <v>798820.75953665457</v>
      </c>
      <c r="F636" s="258">
        <f>(F624/F612)*BH64</f>
        <v>204.24301812632967</v>
      </c>
      <c r="G636" s="256">
        <f>(G625/G612)*BH91</f>
        <v>0</v>
      </c>
      <c r="H636" s="258">
        <f>(H628/H612)*BH60</f>
        <v>73706.804416362735</v>
      </c>
      <c r="I636" s="256">
        <f>(I629/I612)*BH92</f>
        <v>9213.7007455465591</v>
      </c>
      <c r="J636" s="256">
        <f>(J630/J612)*BH93</f>
        <v>0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4559805.9399999995</v>
      </c>
      <c r="D637" s="256">
        <f>(D615/D612)*BL90</f>
        <v>-72474.333008593851</v>
      </c>
      <c r="E637" s="258">
        <f>(E623/E612)*SUM(C637:D637)</f>
        <v>258723.30523629335</v>
      </c>
      <c r="F637" s="258">
        <f>(F624/F612)*BL64</f>
        <v>1024.4278312248371</v>
      </c>
      <c r="G637" s="256">
        <f>(G625/G612)*BL91</f>
        <v>0</v>
      </c>
      <c r="H637" s="258">
        <f>(H628/H612)*BL60</f>
        <v>147559.85249228176</v>
      </c>
      <c r="I637" s="256">
        <f>(I629/I612)*BL92</f>
        <v>12284.934327395413</v>
      </c>
      <c r="J637" s="256">
        <f>(J630/J612)*BL93</f>
        <v>0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1440692.9000000001</v>
      </c>
      <c r="D638" s="256">
        <f>(D615/D612)*BM90</f>
        <v>-41358.735076459678</v>
      </c>
      <c r="E638" s="258">
        <f>(E623/E612)*SUM(C638:D638)</f>
        <v>80680.545140683709</v>
      </c>
      <c r="F638" s="258">
        <f>(F624/F612)*BM64</f>
        <v>33.56736278066375</v>
      </c>
      <c r="G638" s="256">
        <f>(G625/G612)*BM91</f>
        <v>0</v>
      </c>
      <c r="H638" s="258">
        <f>(H628/H612)*BM60</f>
        <v>27289.066873200965</v>
      </c>
      <c r="I638" s="256">
        <f>(I629/I612)*BM92</f>
        <v>0</v>
      </c>
      <c r="J638" s="256">
        <f>(J630/J612)*BM93</f>
        <v>0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179111.31000000003</v>
      </c>
      <c r="D639" s="256">
        <f>(D615/D612)*BS90</f>
        <v>-9305.2556463710971</v>
      </c>
      <c r="E639" s="258">
        <f>(E623/E612)*SUM(C639:D639)</f>
        <v>9790.4027335657302</v>
      </c>
      <c r="F639" s="258">
        <f>(F624/F612)*BS64</f>
        <v>4.1460721856302722</v>
      </c>
      <c r="G639" s="256">
        <f>(G625/G612)*BS91</f>
        <v>0</v>
      </c>
      <c r="H639" s="258">
        <f>(H628/H612)*BS60</f>
        <v>5118.5280844696345</v>
      </c>
      <c r="I639" s="256">
        <f>(I629/I612)*BS92</f>
        <v>3071.2335818488532</v>
      </c>
      <c r="J639" s="256">
        <f>(J630/J612)*BS93</f>
        <v>0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270738.50999999995</v>
      </c>
      <c r="D640" s="256">
        <f>(D615/D612)*BT90</f>
        <v>-5498.5601546738299</v>
      </c>
      <c r="E640" s="258">
        <f>(E623/E612)*SUM(C640:D640)</f>
        <v>15292.775866569224</v>
      </c>
      <c r="F640" s="258">
        <f>(F624/F612)*BT64</f>
        <v>1.362263518731633</v>
      </c>
      <c r="G640" s="256">
        <f>(G625/G612)*BT91</f>
        <v>0</v>
      </c>
      <c r="H640" s="258">
        <f>(H628/H612)*BT60</f>
        <v>9125.6043563115763</v>
      </c>
      <c r="I640" s="256">
        <f>(I629/I612)*BT92</f>
        <v>0</v>
      </c>
      <c r="J640" s="256">
        <f>(J630/J612)*BT93</f>
        <v>0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4752504.0499999989</v>
      </c>
      <c r="D642" s="256">
        <f>(D615/D612)*BV90</f>
        <v>-68079.162851513436</v>
      </c>
      <c r="E642" s="258">
        <f>(E623/E612)*SUM(C642:D642)</f>
        <v>270086.99068415602</v>
      </c>
      <c r="F642" s="258">
        <f>(F624/F612)*BV64</f>
        <v>0.43823893978504636</v>
      </c>
      <c r="G642" s="256">
        <f>(G625/G612)*BV91</f>
        <v>0</v>
      </c>
      <c r="H642" s="258">
        <f>(H628/H612)*BV60</f>
        <v>158996.10666958248</v>
      </c>
      <c r="I642" s="256">
        <f>(I629/I612)*BV92</f>
        <v>0</v>
      </c>
      <c r="J642" s="256">
        <f>(J630/J612)*BV93</f>
        <v>0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569770.39</v>
      </c>
      <c r="D643" s="256">
        <f>(D615/D612)*BW90</f>
        <v>-31943.140430329237</v>
      </c>
      <c r="E643" s="258">
        <f>(E623/E612)*SUM(C643:D643)</f>
        <v>31009.173344357336</v>
      </c>
      <c r="F643" s="258">
        <f>(F624/F612)*BW64</f>
        <v>-0.70348882439178495</v>
      </c>
      <c r="G643" s="256">
        <f>(G625/G612)*BW91</f>
        <v>0</v>
      </c>
      <c r="H643" s="258">
        <f>(H628/H612)*BW60</f>
        <v>13249.67555579854</v>
      </c>
      <c r="I643" s="256">
        <f>(I629/I612)*BW92</f>
        <v>2456.9868654790826</v>
      </c>
      <c r="J643" s="256">
        <f>(J630/J612)*BW93</f>
        <v>0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7870895.2299999986</v>
      </c>
      <c r="D644" s="256">
        <f>(D615/D612)*BX90</f>
        <v>-38066.954916972667</v>
      </c>
      <c r="E644" s="258">
        <f>(E623/E612)*SUM(C644:D644)</f>
        <v>451612.53906895773</v>
      </c>
      <c r="F644" s="258">
        <f>(F624/F612)*BX64</f>
        <v>131.23819729261828</v>
      </c>
      <c r="G644" s="256">
        <f>(G625/G612)*BX91</f>
        <v>0</v>
      </c>
      <c r="H644" s="258">
        <f>(H628/H612)*BX60</f>
        <v>156158.97967419075</v>
      </c>
      <c r="I644" s="256">
        <f>(I629/I612)*BX92</f>
        <v>15970.414625614038</v>
      </c>
      <c r="J644" s="256">
        <f>(J630/J612)*BX93</f>
        <v>0</v>
      </c>
      <c r="K644" s="258">
        <f>SUM(C631:J644)</f>
        <v>52725869.259742051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1821102.75</v>
      </c>
      <c r="D645" s="256">
        <f>(D615/D612)*BY90</f>
        <v>-5516.9499879670529</v>
      </c>
      <c r="E645" s="258">
        <f>(E623/E612)*SUM(C645:D645)</f>
        <v>104680.10841617588</v>
      </c>
      <c r="F645" s="258">
        <f>(F624/F612)*BY64</f>
        <v>41.637555112707219</v>
      </c>
      <c r="G645" s="256">
        <f>(G625/G612)*BY91</f>
        <v>0</v>
      </c>
      <c r="H645" s="258">
        <f>(H628/H612)*BY60</f>
        <v>37701.615433607767</v>
      </c>
      <c r="I645" s="256">
        <f>(I629/I612)*BY92</f>
        <v>9213.7007455465591</v>
      </c>
      <c r="J645" s="256">
        <f>(J630/J612)*BY93</f>
        <v>0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2465649.7799999998</v>
      </c>
      <c r="D646" s="256">
        <f>(D615/D612)*BZ90</f>
        <v>-7778.899483033545</v>
      </c>
      <c r="E646" s="258">
        <f>(E623/E612)*SUM(C646:D646)</f>
        <v>141711.94236249948</v>
      </c>
      <c r="F646" s="258">
        <f>(F624/F612)*BZ64</f>
        <v>13.058144586208167</v>
      </c>
      <c r="G646" s="256">
        <f>(G625/G612)*BZ91</f>
        <v>0</v>
      </c>
      <c r="H646" s="258">
        <f>(H628/H612)*BZ60</f>
        <v>63908.479226092299</v>
      </c>
      <c r="I646" s="256">
        <f>(I629/I612)*BZ92</f>
        <v>106878.92864834009</v>
      </c>
      <c r="J646" s="256">
        <f>(J630/J612)*BZ93</f>
        <v>0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434166.47</v>
      </c>
      <c r="D647" s="256">
        <f>(D615/D612)*CA90</f>
        <v>-29111.106103172817</v>
      </c>
      <c r="E647" s="258">
        <f>(E623/E612)*SUM(C647:D647)</f>
        <v>23354.026786832339</v>
      </c>
      <c r="F647" s="258">
        <f>(F624/F612)*CA64</f>
        <v>337.55829803936956</v>
      </c>
      <c r="G647" s="256">
        <f>(G625/G612)*CA91</f>
        <v>0</v>
      </c>
      <c r="H647" s="258">
        <f>(H628/H612)*CA60</f>
        <v>5177.0255482921448</v>
      </c>
      <c r="I647" s="256">
        <f>(I629/I612)*CA92</f>
        <v>6142.4671636977064</v>
      </c>
      <c r="J647" s="256">
        <f>(J630/J612)*CA93</f>
        <v>0</v>
      </c>
      <c r="K647" s="258">
        <v>0</v>
      </c>
      <c r="L647" s="258">
        <f>SUM(C645:K647)</f>
        <v>5177672.592754649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87720044.614000022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12752542.18</v>
      </c>
      <c r="D668" s="256">
        <f>(D615/D612)*C90</f>
        <v>-208853.33671113942</v>
      </c>
      <c r="E668" s="258">
        <f>(E623/E612)*SUM(C668:D668)</f>
        <v>723223.71547825017</v>
      </c>
      <c r="F668" s="258">
        <f>(F624/F612)*C64</f>
        <v>11164.90481963739</v>
      </c>
      <c r="G668" s="256">
        <f>(G625/G612)*C91</f>
        <v>58758.151210421798</v>
      </c>
      <c r="H668" s="258">
        <f>(H628/H612)*C60</f>
        <v>157562.91880593097</v>
      </c>
      <c r="I668" s="256">
        <f>(I629/I612)*C92</f>
        <v>208843.88356572203</v>
      </c>
      <c r="J668" s="256">
        <f>(J630/J612)*C93</f>
        <v>40573.185945303288</v>
      </c>
      <c r="K668" s="256">
        <f>(K644/K612)*C89</f>
        <v>1072036.6094544008</v>
      </c>
      <c r="L668" s="256">
        <f>(L647/L612)*C94</f>
        <v>323818.04344943987</v>
      </c>
      <c r="M668" s="231">
        <f t="shared" ref="M668:M713" si="18">ROUND(SUM(D668:L668),0)</f>
        <v>2387128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37962549.5</v>
      </c>
      <c r="D670" s="256">
        <f>(D615/D612)*E90</f>
        <v>-1170420.9399472103</v>
      </c>
      <c r="E670" s="258">
        <f>(E623/E612)*SUM(C670:D670)</f>
        <v>2121301.0183835332</v>
      </c>
      <c r="F670" s="258">
        <f>(F624/F612)*E64</f>
        <v>37101.342835360301</v>
      </c>
      <c r="G670" s="256">
        <f>(G625/G612)*E91</f>
        <v>2430158.8231861126</v>
      </c>
      <c r="H670" s="258">
        <f>(H628/H612)*E60</f>
        <v>743532.01391601469</v>
      </c>
      <c r="I670" s="256">
        <f>(I629/I612)*E92</f>
        <v>1022106.5360392984</v>
      </c>
      <c r="J670" s="256">
        <f>(J630/J612)*E93</f>
        <v>454021.55690642149</v>
      </c>
      <c r="K670" s="256">
        <f>(K644/K612)*E89</f>
        <v>5165284.6370943375</v>
      </c>
      <c r="L670" s="256">
        <f>(L647/L612)*E94</f>
        <v>1446932.8882133104</v>
      </c>
      <c r="M670" s="231">
        <f t="shared" si="18"/>
        <v>12250018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6654864.0199999996</v>
      </c>
      <c r="D671" s="256">
        <f>(D615/D612)*F90</f>
        <v>-344864.54374782048</v>
      </c>
      <c r="E671" s="258">
        <f>(E623/E612)*SUM(C671:D671)</f>
        <v>363811.74014233495</v>
      </c>
      <c r="F671" s="258">
        <f>(F624/F612)*F64</f>
        <v>3581.5255401147601</v>
      </c>
      <c r="G671" s="256">
        <f>(G625/G612)*F91</f>
        <v>203988.7544854407</v>
      </c>
      <c r="H671" s="258">
        <f>(H628/H612)*F60</f>
        <v>129542.63363494864</v>
      </c>
      <c r="I671" s="256">
        <f>(I629/I612)*F92</f>
        <v>255526.6340098246</v>
      </c>
      <c r="J671" s="256">
        <f>(J630/J612)*F93</f>
        <v>97151.34034073363</v>
      </c>
      <c r="K671" s="256">
        <f>(K644/K612)*F89</f>
        <v>841469.48520583042</v>
      </c>
      <c r="L671" s="256">
        <f>(L647/L612)*F94</f>
        <v>269373.91086947912</v>
      </c>
      <c r="M671" s="231">
        <f t="shared" si="18"/>
        <v>1819581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0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4651165.709999999</v>
      </c>
      <c r="D673" s="256">
        <f>(D615/D612)*H90</f>
        <v>-245246.81679842874</v>
      </c>
      <c r="E673" s="258">
        <f>(E623/E612)*SUM(C673:D673)</f>
        <v>254029.34271140548</v>
      </c>
      <c r="F673" s="258">
        <f>(F624/F612)*H64</f>
        <v>1211.5542399020094</v>
      </c>
      <c r="G673" s="256">
        <f>(G625/G612)*H91</f>
        <v>280041.30059218133</v>
      </c>
      <c r="H673" s="258">
        <f>(H628/H612)*H60</f>
        <v>110355.46550116531</v>
      </c>
      <c r="I673" s="256">
        <f>(I629/I612)*H92</f>
        <v>117935.36954299596</v>
      </c>
      <c r="J673" s="256">
        <f>(J630/J612)*H93</f>
        <v>38596.19452849339</v>
      </c>
      <c r="K673" s="256">
        <f>(K644/K612)*H89</f>
        <v>673909.78779557918</v>
      </c>
      <c r="L673" s="256">
        <f>(L647/L612)*H94</f>
        <v>182690.31154609058</v>
      </c>
      <c r="M673" s="231">
        <f t="shared" si="18"/>
        <v>1413523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18"/>
        <v>0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0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7459607.0200000005</v>
      </c>
      <c r="D680" s="256">
        <f>(D615/D612)*O90</f>
        <v>-194895.45324158276</v>
      </c>
      <c r="E680" s="258">
        <f>(E623/E612)*SUM(C680:D680)</f>
        <v>418856.98512043769</v>
      </c>
      <c r="F680" s="258">
        <f>(F624/F612)*O64</f>
        <v>14230.467740965061</v>
      </c>
      <c r="G680" s="256">
        <f>(G625/G612)*O91</f>
        <v>0</v>
      </c>
      <c r="H680" s="258">
        <f>(H628/H612)*O60</f>
        <v>144605.73056924497</v>
      </c>
      <c r="I680" s="256">
        <f>(I629/I612)*O92</f>
        <v>255526.6340098246</v>
      </c>
      <c r="J680" s="256">
        <f>(J630/J612)*O93</f>
        <v>124602.20401290365</v>
      </c>
      <c r="K680" s="256">
        <f>(K644/K612)*O89</f>
        <v>490389.3226056149</v>
      </c>
      <c r="L680" s="256">
        <f>(L647/L612)*O94</f>
        <v>234003.01689269414</v>
      </c>
      <c r="M680" s="231">
        <f t="shared" si="18"/>
        <v>1487319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33141544.98</v>
      </c>
      <c r="D681" s="256">
        <f>(D615/D612)*P90</f>
        <v>-784602.23745538108</v>
      </c>
      <c r="E681" s="258">
        <f>(E623/E612)*SUM(C681:D681)</f>
        <v>1865584.2507047134</v>
      </c>
      <c r="F681" s="258">
        <f>(F624/F612)*P64</f>
        <v>359477.39969408303</v>
      </c>
      <c r="G681" s="256">
        <f>(G625/G612)*P91</f>
        <v>7011.8736489709709</v>
      </c>
      <c r="H681" s="258">
        <f>(H628/H612)*P60</f>
        <v>315184.33507568447</v>
      </c>
      <c r="I681" s="256">
        <f>(I629/I612)*P92</f>
        <v>367933.78310549265</v>
      </c>
      <c r="J681" s="256">
        <f>(J630/J612)*P93</f>
        <v>224984.5093831408</v>
      </c>
      <c r="K681" s="256">
        <f>(K644/K612)*P89</f>
        <v>4621983.3019243246</v>
      </c>
      <c r="L681" s="256">
        <f>(L647/L612)*P94</f>
        <v>380966.59045820916</v>
      </c>
      <c r="M681" s="231">
        <f t="shared" si="18"/>
        <v>7358524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4657629.4400000004</v>
      </c>
      <c r="D682" s="256">
        <f>(D615/D612)*Q90</f>
        <v>-51675.431553958064</v>
      </c>
      <c r="E682" s="258">
        <f>(E623/E612)*SUM(C682:D682)</f>
        <v>265562.64372681041</v>
      </c>
      <c r="F682" s="258">
        <f>(F624/F612)*Q64</f>
        <v>1691.4028137592779</v>
      </c>
      <c r="G682" s="256">
        <f>(G625/G612)*Q91</f>
        <v>3780.0694681654568</v>
      </c>
      <c r="H682" s="258">
        <f>(H628/H612)*Q60</f>
        <v>96901.048821988006</v>
      </c>
      <c r="I682" s="256">
        <f>(I629/I612)*Q92</f>
        <v>41768.776713144405</v>
      </c>
      <c r="J682" s="256">
        <f>(J630/J612)*Q93</f>
        <v>38879.596455115017</v>
      </c>
      <c r="K682" s="256">
        <f>(K644/K612)*Q89</f>
        <v>352330.17371988646</v>
      </c>
      <c r="L682" s="256">
        <f>(L647/L612)*Q94</f>
        <v>191657.58044161354</v>
      </c>
      <c r="M682" s="231">
        <f t="shared" si="18"/>
        <v>940896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675394.85</v>
      </c>
      <c r="D683" s="256">
        <f>(D615/D612)*R90</f>
        <v>-11512.035641557917</v>
      </c>
      <c r="E683" s="258">
        <f>(E623/E612)*SUM(C683:D683)</f>
        <v>38277.081139441107</v>
      </c>
      <c r="F683" s="258">
        <f>(F624/F612)*R64</f>
        <v>8552.9289126534986</v>
      </c>
      <c r="G683" s="256">
        <f>(G625/G612)*R91</f>
        <v>0</v>
      </c>
      <c r="H683" s="258">
        <f>(H628/H612)*R60</f>
        <v>7516.9241011925487</v>
      </c>
      <c r="I683" s="256">
        <f>(I629/I612)*R92</f>
        <v>4299.7270145883949</v>
      </c>
      <c r="J683" s="256">
        <f>(J630/J612)*R93</f>
        <v>0</v>
      </c>
      <c r="K683" s="256">
        <f>(K644/K612)*R89</f>
        <v>210735.07857221036</v>
      </c>
      <c r="L683" s="256">
        <f>(L647/L612)*R94</f>
        <v>4839.4784515520687</v>
      </c>
      <c r="M683" s="231">
        <f t="shared" si="18"/>
        <v>262709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2696468.6399999997</v>
      </c>
      <c r="D684" s="256">
        <f>(D615/D612)*S90</f>
        <v>-631562.04478917504</v>
      </c>
      <c r="E684" s="258">
        <f>(E623/E612)*SUM(C684:D684)</f>
        <v>119055.04342152992</v>
      </c>
      <c r="F684" s="258">
        <f>(F624/F612)*S64</f>
        <v>8833.1531749945079</v>
      </c>
      <c r="G684" s="256">
        <f>(G625/G612)*S91</f>
        <v>0</v>
      </c>
      <c r="H684" s="258">
        <f>(H628/H612)*S60</f>
        <v>65985.139191791401</v>
      </c>
      <c r="I684" s="256">
        <f>(I629/I612)*S92</f>
        <v>143733.73163052634</v>
      </c>
      <c r="J684" s="256">
        <f>(J630/J612)*S93</f>
        <v>12557.992671526648</v>
      </c>
      <c r="K684" s="256">
        <f>(K644/K612)*S89</f>
        <v>0</v>
      </c>
      <c r="L684" s="256">
        <f>(L647/L612)*S94</f>
        <v>71.16880075811865</v>
      </c>
      <c r="M684" s="231">
        <f t="shared" si="18"/>
        <v>-281326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1743249.64</v>
      </c>
      <c r="D685" s="256">
        <f>(D615/D612)*T90</f>
        <v>-5369.8313216212655</v>
      </c>
      <c r="E685" s="258">
        <f>(E623/E612)*SUM(C685:D685)</f>
        <v>100199.86209714241</v>
      </c>
      <c r="F685" s="258">
        <f>(F624/F612)*T64</f>
        <v>7323.3441550424022</v>
      </c>
      <c r="G685" s="256">
        <f>(G625/G612)*T91</f>
        <v>0</v>
      </c>
      <c r="H685" s="258">
        <f>(H628/H612)*T60</f>
        <v>25241.655639413115</v>
      </c>
      <c r="I685" s="256">
        <f>(I629/I612)*T92</f>
        <v>1228.4934327395413</v>
      </c>
      <c r="J685" s="256">
        <f>(J630/J612)*T93</f>
        <v>0</v>
      </c>
      <c r="K685" s="256">
        <f>(K644/K612)*T89</f>
        <v>69212.195124804202</v>
      </c>
      <c r="L685" s="256">
        <f>(L647/L612)*T94</f>
        <v>61418.675054256404</v>
      </c>
      <c r="M685" s="231">
        <f t="shared" si="18"/>
        <v>259254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17736974.779999997</v>
      </c>
      <c r="D686" s="256">
        <f>(D615/D612)*U90</f>
        <v>-217386.21935919512</v>
      </c>
      <c r="E686" s="258">
        <f>(E623/E612)*SUM(C686:D686)</f>
        <v>1010116.0903122943</v>
      </c>
      <c r="F686" s="258">
        <f>(F624/F612)*U64</f>
        <v>105827.44428523624</v>
      </c>
      <c r="G686" s="256">
        <f>(G625/G612)*U91</f>
        <v>0</v>
      </c>
      <c r="H686" s="258">
        <f>(H628/H612)*U60</f>
        <v>239459.36815744513</v>
      </c>
      <c r="I686" s="256">
        <f>(I629/I612)*U92</f>
        <v>59581.931487867754</v>
      </c>
      <c r="J686" s="256">
        <f>(J630/J612)*U93</f>
        <v>0</v>
      </c>
      <c r="K686" s="256">
        <f>(K644/K612)*U89</f>
        <v>4087724.6593855792</v>
      </c>
      <c r="L686" s="256">
        <f>(L647/L612)*U94</f>
        <v>49035.30372234375</v>
      </c>
      <c r="M686" s="231">
        <f t="shared" si="18"/>
        <v>5334359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927615.02</v>
      </c>
      <c r="D687" s="256">
        <f>(D615/D612)*V90</f>
        <v>-4156.1023242685133</v>
      </c>
      <c r="E687" s="258">
        <f>(E623/E612)*SUM(C687:D687)</f>
        <v>53243.300107072515</v>
      </c>
      <c r="F687" s="258">
        <f>(F624/F612)*V64</f>
        <v>52.582602982795798</v>
      </c>
      <c r="G687" s="256">
        <f>(G625/G612)*V91</f>
        <v>0</v>
      </c>
      <c r="H687" s="258">
        <f>(H628/H612)*V60</f>
        <v>5089.2793525583793</v>
      </c>
      <c r="I687" s="256">
        <f>(I629/I612)*V92</f>
        <v>30098.089102118764</v>
      </c>
      <c r="J687" s="256">
        <f>(J630/J612)*V93</f>
        <v>1.4445052907463147</v>
      </c>
      <c r="K687" s="256">
        <f>(K644/K612)*V89</f>
        <v>290815.60685623571</v>
      </c>
      <c r="L687" s="256">
        <f>(L647/L612)*V94</f>
        <v>0</v>
      </c>
      <c r="M687" s="231">
        <f t="shared" si="18"/>
        <v>375144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1727126.7100000002</v>
      </c>
      <c r="D688" s="256">
        <f>(D615/D612)*W90</f>
        <v>-41855.260575376713</v>
      </c>
      <c r="E688" s="258">
        <f>(E623/E612)*SUM(C688:D688)</f>
        <v>97166.654440283819</v>
      </c>
      <c r="F688" s="258">
        <f>(F624/F612)*W64</f>
        <v>1102.3291527888061</v>
      </c>
      <c r="G688" s="256">
        <f>(G625/G612)*W91</f>
        <v>0</v>
      </c>
      <c r="H688" s="258">
        <f>(H628/H612)*W60</f>
        <v>31822.620319445501</v>
      </c>
      <c r="I688" s="256">
        <f>(I629/I612)*W92</f>
        <v>9213.7007455465591</v>
      </c>
      <c r="J688" s="256">
        <f>(J630/J612)*W93</f>
        <v>6062.2955135943594</v>
      </c>
      <c r="K688" s="256">
        <f>(K644/K612)*W89</f>
        <v>887566.03370867658</v>
      </c>
      <c r="L688" s="256">
        <f>(L647/L612)*W94</f>
        <v>0</v>
      </c>
      <c r="M688" s="231">
        <f t="shared" si="18"/>
        <v>991078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2551235.79</v>
      </c>
      <c r="D689" s="256">
        <f>(D615/D612)*X90</f>
        <v>-43970.091404097417</v>
      </c>
      <c r="E689" s="258">
        <f>(E623/E612)*SUM(C689:D689)</f>
        <v>144559.86886185085</v>
      </c>
      <c r="F689" s="258">
        <f>(F624/F612)*X64</f>
        <v>6772.4292494013207</v>
      </c>
      <c r="G689" s="256">
        <f>(G625/G612)*X91</f>
        <v>0</v>
      </c>
      <c r="H689" s="258">
        <f>(H628/H612)*X60</f>
        <v>50863.54479367254</v>
      </c>
      <c r="I689" s="256">
        <f>(I629/I612)*X92</f>
        <v>17813.154774723349</v>
      </c>
      <c r="J689" s="256">
        <f>(J630/J612)*X93</f>
        <v>22309.526093621931</v>
      </c>
      <c r="K689" s="256">
        <f>(K644/K612)*X89</f>
        <v>3178899.0989889624</v>
      </c>
      <c r="L689" s="256">
        <f>(L647/L612)*X94</f>
        <v>0</v>
      </c>
      <c r="M689" s="231">
        <f t="shared" si="18"/>
        <v>3377248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20525798.869999997</v>
      </c>
      <c r="D690" s="256">
        <f>(D615/D612)*Y90</f>
        <v>-743795.19737771817</v>
      </c>
      <c r="E690" s="258">
        <f>(E623/E612)*SUM(C690:D690)</f>
        <v>1140558.7602224941</v>
      </c>
      <c r="F690" s="258">
        <f>(F624/F612)*Y64</f>
        <v>189573.86996941769</v>
      </c>
      <c r="G690" s="256">
        <f>(G625/G612)*Y91</f>
        <v>18117.111216027366</v>
      </c>
      <c r="H690" s="258">
        <f>(H628/H612)*Y60</f>
        <v>221910.12901069212</v>
      </c>
      <c r="I690" s="256">
        <f>(I629/I612)*Y92</f>
        <v>360562.82250905538</v>
      </c>
      <c r="J690" s="256">
        <f>(J630/J612)*Y93</f>
        <v>53895.007270917937</v>
      </c>
      <c r="K690" s="256">
        <f>(K644/K612)*Y89</f>
        <v>4025030.8376719551</v>
      </c>
      <c r="L690" s="256">
        <f>(L647/L612)*Y94</f>
        <v>46402.058094293359</v>
      </c>
      <c r="M690" s="231">
        <f t="shared" si="18"/>
        <v>5312255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3587355.4699999997</v>
      </c>
      <c r="D691" s="256">
        <f>(D615/D612)*Z90</f>
        <v>-233458.93365747246</v>
      </c>
      <c r="E691" s="258">
        <f>(E623/E612)*SUM(C691:D691)</f>
        <v>193373.53984518145</v>
      </c>
      <c r="F691" s="258">
        <f>(F624/F612)*Z64</f>
        <v>766.3057026705859</v>
      </c>
      <c r="G691" s="256">
        <f>(G625/G612)*Z91</f>
        <v>0</v>
      </c>
      <c r="H691" s="258">
        <f>(H628/H612)*Z60</f>
        <v>39807.524131218124</v>
      </c>
      <c r="I691" s="256">
        <f>(I629/I612)*Z92</f>
        <v>100736.46148464239</v>
      </c>
      <c r="J691" s="256">
        <f>(J630/J612)*Z93</f>
        <v>0</v>
      </c>
      <c r="K691" s="256">
        <f>(K644/K612)*Z89</f>
        <v>740498.14721150068</v>
      </c>
      <c r="L691" s="256">
        <f>(L647/L612)*Z94</f>
        <v>31527.778735846561</v>
      </c>
      <c r="M691" s="231">
        <f t="shared" si="18"/>
        <v>873251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1654878.8600000003</v>
      </c>
      <c r="D692" s="256">
        <f>(D615/D612)*AA90</f>
        <v>-42075.938574895394</v>
      </c>
      <c r="E692" s="258">
        <f>(E623/E612)*SUM(C692:D692)</f>
        <v>92988.381307887641</v>
      </c>
      <c r="F692" s="258">
        <f>(F624/F612)*AA64</f>
        <v>11582.010364344678</v>
      </c>
      <c r="G692" s="256">
        <f>(G625/G612)*AA91</f>
        <v>0</v>
      </c>
      <c r="H692" s="258">
        <f>(H628/H612)*AA60</f>
        <v>17490.741682930522</v>
      </c>
      <c r="I692" s="256">
        <f>(I629/I612)*AA92</f>
        <v>62653.165069716611</v>
      </c>
      <c r="J692" s="256">
        <f>(J630/J612)*AA93</f>
        <v>4206.2492353111611</v>
      </c>
      <c r="K692" s="256">
        <f>(K644/K612)*AA89</f>
        <v>253439.74628052223</v>
      </c>
      <c r="L692" s="256">
        <f>(L647/L612)*AA94</f>
        <v>0</v>
      </c>
      <c r="M692" s="231">
        <f t="shared" si="18"/>
        <v>400284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20761713.860000003</v>
      </c>
      <c r="D693" s="256">
        <f>(D615/D612)*AB90</f>
        <v>-189470.45242008183</v>
      </c>
      <c r="E693" s="258">
        <f>(E623/E612)*SUM(C693:D693)</f>
        <v>1186121.1242427393</v>
      </c>
      <c r="F693" s="258">
        <f>(F624/F612)*AB64</f>
        <v>244885.94282314813</v>
      </c>
      <c r="G693" s="256">
        <f>(G625/G612)*AB91</f>
        <v>0</v>
      </c>
      <c r="H693" s="258">
        <f>(H628/H612)*AB60</f>
        <v>220447.69241512936</v>
      </c>
      <c r="I693" s="256">
        <f>(I629/I612)*AB92</f>
        <v>63267.411786086377</v>
      </c>
      <c r="J693" s="256">
        <f>(J630/J612)*AB93</f>
        <v>1955.5169148885504</v>
      </c>
      <c r="K693" s="256">
        <f>(K644/K612)*AB89</f>
        <v>2539573.2662985576</v>
      </c>
      <c r="L693" s="256">
        <f>(L647/L612)*AB94</f>
        <v>-71.16880075811865</v>
      </c>
      <c r="M693" s="231">
        <f t="shared" si="18"/>
        <v>4066709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4756991.8600000003</v>
      </c>
      <c r="D694" s="256">
        <f>(D615/D612)*AC90</f>
        <v>-56567.127209955521</v>
      </c>
      <c r="E694" s="258">
        <f>(E623/E612)*SUM(C694:D694)</f>
        <v>271009.48389620328</v>
      </c>
      <c r="F694" s="258">
        <f>(F624/F612)*AC64</f>
        <v>11567.571342212748</v>
      </c>
      <c r="G694" s="256">
        <f>(G625/G612)*AC91</f>
        <v>0</v>
      </c>
      <c r="H694" s="258">
        <f>(H628/H612)*AC60</f>
        <v>56918.032299302336</v>
      </c>
      <c r="I694" s="256">
        <f>(I629/I612)*AC92</f>
        <v>8599.4540291767898</v>
      </c>
      <c r="J694" s="256">
        <f>(J630/J612)*AC93</f>
        <v>0</v>
      </c>
      <c r="K694" s="256">
        <f>(K644/K612)*AC89</f>
        <v>783188.8582977812</v>
      </c>
      <c r="L694" s="256">
        <f>(L647/L612)*AC94</f>
        <v>0</v>
      </c>
      <c r="M694" s="231">
        <f t="shared" si="18"/>
        <v>1074716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1407906.7</v>
      </c>
      <c r="D695" s="256">
        <f>(D615/D612)*AD90</f>
        <v>-4910.0854892906773</v>
      </c>
      <c r="E695" s="258">
        <f>(E623/E612)*SUM(C695:D695)</f>
        <v>80891.708733090665</v>
      </c>
      <c r="F695" s="258">
        <f>(F624/F612)*AD64</f>
        <v>0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109789.40096683914</v>
      </c>
      <c r="L695" s="256">
        <f>(L647/L612)*AD94</f>
        <v>0</v>
      </c>
      <c r="M695" s="231">
        <f t="shared" si="18"/>
        <v>185771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3242991.56</v>
      </c>
      <c r="D696" s="256">
        <f>(D615/D612)*AE90</f>
        <v>-202858.25105754854</v>
      </c>
      <c r="E696" s="258">
        <f>(E623/E612)*SUM(C696:D696)</f>
        <v>175283.08735264078</v>
      </c>
      <c r="F696" s="258">
        <f>(F624/F612)*AE64</f>
        <v>407.85902680003062</v>
      </c>
      <c r="G696" s="256">
        <f>(G625/G612)*AE91</f>
        <v>0</v>
      </c>
      <c r="H696" s="258">
        <f>(H628/H612)*AE60</f>
        <v>77655.383224382167</v>
      </c>
      <c r="I696" s="256">
        <f>(I629/I612)*AE92</f>
        <v>94593.994320944679</v>
      </c>
      <c r="J696" s="256">
        <f>(J630/J612)*AE93</f>
        <v>0</v>
      </c>
      <c r="K696" s="256">
        <f>(K644/K612)*AE89</f>
        <v>243293.10078890857</v>
      </c>
      <c r="L696" s="256">
        <f>(L647/L612)*AE94</f>
        <v>0</v>
      </c>
      <c r="M696" s="231">
        <f t="shared" si="18"/>
        <v>388375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8"/>
        <v>0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30867302.799999997</v>
      </c>
      <c r="D698" s="256">
        <f>(D615/D612)*AG90</f>
        <v>-329509.03294797888</v>
      </c>
      <c r="E698" s="258">
        <f>(E623/E612)*SUM(C698:D698)</f>
        <v>1760698.702481942</v>
      </c>
      <c r="F698" s="258">
        <f>(F624/F612)*AG64</f>
        <v>43998.114392033596</v>
      </c>
      <c r="G698" s="256">
        <f>(G625/G612)*AG91</f>
        <v>147052.10484818165</v>
      </c>
      <c r="H698" s="258">
        <f>(H628/H612)*AG60</f>
        <v>280846.323811871</v>
      </c>
      <c r="I698" s="256">
        <f>(I629/I612)*AG92</f>
        <v>847660.46859028353</v>
      </c>
      <c r="J698" s="256">
        <f>(J630/J612)*AG93</f>
        <v>312992.4959352811</v>
      </c>
      <c r="K698" s="256">
        <f>(K644/K612)*AG89</f>
        <v>5889714.1296957647</v>
      </c>
      <c r="L698" s="256">
        <f>(L647/L612)*AG94</f>
        <v>492061.08844163234</v>
      </c>
      <c r="M698" s="231">
        <f t="shared" si="18"/>
        <v>9445514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>
        <f>(G625/G612)*AI91</f>
        <v>0</v>
      </c>
      <c r="H700" s="258">
        <f>(H628/H612)*AI60</f>
        <v>0</v>
      </c>
      <c r="I700" s="256">
        <f>(I629/I612)*AI92</f>
        <v>0</v>
      </c>
      <c r="J700" s="256">
        <f>(J630/J612)*AI93</f>
        <v>0</v>
      </c>
      <c r="K700" s="256">
        <f>(K644/K612)*AI89</f>
        <v>0</v>
      </c>
      <c r="L700" s="256">
        <f>(L647/L612)*AI94</f>
        <v>0</v>
      </c>
      <c r="M700" s="231">
        <f t="shared" si="18"/>
        <v>0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36428704.5</v>
      </c>
      <c r="D701" s="256">
        <f>(D615/D612)*AJ90</f>
        <v>-312296.14898552164</v>
      </c>
      <c r="E701" s="258">
        <f>(E623/E612)*SUM(C701:D701)</f>
        <v>2082341.4358946953</v>
      </c>
      <c r="F701" s="258">
        <f>(F624/F612)*AJ64</f>
        <v>525938.88485266059</v>
      </c>
      <c r="G701" s="256">
        <f>(G625/G612)*AJ91</f>
        <v>0</v>
      </c>
      <c r="H701" s="258">
        <f>(H628/H612)*AJ60</f>
        <v>214276.20998185454</v>
      </c>
      <c r="I701" s="256">
        <f>(I629/I612)*AJ92</f>
        <v>271497.04863543861</v>
      </c>
      <c r="J701" s="256">
        <f>(J630/J612)*AJ93</f>
        <v>0</v>
      </c>
      <c r="K701" s="256">
        <f>(K644/K612)*AJ89</f>
        <v>5949148.8253339157</v>
      </c>
      <c r="L701" s="256">
        <f>(L647/L612)*AJ94</f>
        <v>183330.83075291367</v>
      </c>
      <c r="M701" s="231">
        <f t="shared" si="18"/>
        <v>8914237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>
        <f>(G625/G612)*AK91</f>
        <v>0</v>
      </c>
      <c r="H702" s="258">
        <f>(H628/H612)*AK60</f>
        <v>0</v>
      </c>
      <c r="I702" s="256">
        <f>(I629/I612)*AK92</f>
        <v>0</v>
      </c>
      <c r="J702" s="256">
        <f>(J630/J612)*AK93</f>
        <v>0</v>
      </c>
      <c r="K702" s="256">
        <f>(K644/K612)*AK89</f>
        <v>0</v>
      </c>
      <c r="L702" s="256">
        <f>(L647/L612)*AK94</f>
        <v>0</v>
      </c>
      <c r="M702" s="231">
        <f t="shared" si="18"/>
        <v>0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>
        <f>(G625/G612)*AL91</f>
        <v>0</v>
      </c>
      <c r="H703" s="258">
        <f>(H628/H612)*AL60</f>
        <v>0</v>
      </c>
      <c r="I703" s="256">
        <f>(I629/I612)*AL92</f>
        <v>0</v>
      </c>
      <c r="J703" s="256">
        <f>(J630/J612)*AL93</f>
        <v>0</v>
      </c>
      <c r="K703" s="256">
        <f>(K644/K612)*AL89</f>
        <v>0</v>
      </c>
      <c r="L703" s="256">
        <f>(L647/L612)*AL94</f>
        <v>0</v>
      </c>
      <c r="M703" s="231">
        <f t="shared" si="18"/>
        <v>0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0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102291408.88000001</v>
      </c>
      <c r="D707" s="256">
        <f>(D615/D612)*AP90</f>
        <v>-3180521.6680630064</v>
      </c>
      <c r="E707" s="258">
        <f>(E623/E612)*SUM(C707:D707)</f>
        <v>5714375.172189706</v>
      </c>
      <c r="F707" s="258">
        <f>(F624/F612)*AP64</f>
        <v>63746.855299856637</v>
      </c>
      <c r="G707" s="256">
        <f>(G625/G612)*AP91</f>
        <v>0</v>
      </c>
      <c r="H707" s="258">
        <f>(H628/H612)*AP60</f>
        <v>1164041.0326041286</v>
      </c>
      <c r="I707" s="256">
        <f>(I629/I612)*AP92</f>
        <v>391275.15832754393</v>
      </c>
      <c r="J707" s="256">
        <f>(J630/J612)*AP93</f>
        <v>2815.9629500818687</v>
      </c>
      <c r="K707" s="256">
        <f>(K644/K612)*AP89</f>
        <v>4930456.39345391</v>
      </c>
      <c r="L707" s="256">
        <f>(L647/L612)*AP94</f>
        <v>830539.90484724462</v>
      </c>
      <c r="M707" s="231">
        <f t="shared" si="18"/>
        <v>9916729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14120658.030000003</v>
      </c>
      <c r="D709" s="256">
        <f>(D615/D612)*AR90</f>
        <v>-633327.46878532448</v>
      </c>
      <c r="E709" s="258">
        <f>(E623/E612)*SUM(C709:D709)</f>
        <v>777630.68282611459</v>
      </c>
      <c r="F709" s="258">
        <f>(F624/F612)*AR64</f>
        <v>33954.362564631359</v>
      </c>
      <c r="G709" s="256">
        <f>(G625/G612)*AR91</f>
        <v>0</v>
      </c>
      <c r="H709" s="258">
        <f>(H628/H612)*AR60</f>
        <v>263384.83086085174</v>
      </c>
      <c r="I709" s="256">
        <f>(I629/I612)*AR92</f>
        <v>318794.04579591099</v>
      </c>
      <c r="J709" s="256">
        <f>(J630/J612)*AR93</f>
        <v>0</v>
      </c>
      <c r="K709" s="256">
        <f>(K644/K612)*AR89</f>
        <v>633961.48369086499</v>
      </c>
      <c r="L709" s="256">
        <f>(L647/L612)*AR94</f>
        <v>284248.19022792589</v>
      </c>
      <c r="M709" s="231">
        <f t="shared" si="18"/>
        <v>1678646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34758848.32</v>
      </c>
      <c r="D713" s="256">
        <f>(D615/D612)*AV90</f>
        <v>-200228.50489661758</v>
      </c>
      <c r="E713" s="258">
        <f>(E623/E612)*SUM(C713:D713)</f>
        <v>1992524.9850127988</v>
      </c>
      <c r="F713" s="258">
        <f>(F624/F612)*AV64</f>
        <v>193156.32378296537</v>
      </c>
      <c r="G713" s="256">
        <f>(G625/G612)*AV91</f>
        <v>0</v>
      </c>
      <c r="H713" s="258">
        <f>(H628/H612)*AV60</f>
        <v>384913.31195211649</v>
      </c>
      <c r="I713" s="256">
        <f>(I629/I612)*AV92</f>
        <v>257369.3741589339</v>
      </c>
      <c r="J713" s="256">
        <f>(J630/J612)*AV93</f>
        <v>10119.338793997491</v>
      </c>
      <c r="K713" s="256">
        <f>(K644/K612)*AV89</f>
        <v>4685419.0796150845</v>
      </c>
      <c r="L713" s="256">
        <f>(L647/L612)*AV94</f>
        <v>164826.94255580279</v>
      </c>
      <c r="M713" s="231">
        <f t="shared" si="18"/>
        <v>7488101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497462572.60400009</v>
      </c>
      <c r="D715" s="231">
        <f>SUM(D616:D647)+SUM(D668:D713)</f>
        <v>-11844247.980000002</v>
      </c>
      <c r="E715" s="231">
        <f>SUM(E624:E647)+SUM(E668:E713)</f>
        <v>27118346.373081669</v>
      </c>
      <c r="F715" s="231">
        <f>SUM(F625:F648)+SUM(F668:F713)</f>
        <v>1936011.3242218071</v>
      </c>
      <c r="G715" s="231">
        <f>SUM(G626:G647)+SUM(G668:G713)</f>
        <v>3148908.1886555017</v>
      </c>
      <c r="H715" s="231">
        <f>SUM(H629:H647)+SUM(H668:H713)</f>
        <v>6214478.069184361</v>
      </c>
      <c r="I715" s="231">
        <f>SUM(I630:I647)+SUM(I668:I713)</f>
        <v>5491365.6443457501</v>
      </c>
      <c r="J715" s="231">
        <f>SUM(J631:J647)+SUM(J668:J713)</f>
        <v>1445724.4174566227</v>
      </c>
      <c r="K715" s="231">
        <f>SUM(K668:K713)</f>
        <v>52725869.259742044</v>
      </c>
      <c r="L715" s="231">
        <f>SUM(L668:L713)</f>
        <v>5177672.5927546481</v>
      </c>
      <c r="M715" s="231">
        <f>SUM(M668:M713)</f>
        <v>87720043</v>
      </c>
      <c r="N715" s="250" t="s">
        <v>669</v>
      </c>
    </row>
    <row r="716" spans="1:14" s="231" customFormat="1" ht="12.65" customHeight="1" x14ac:dyDescent="0.3">
      <c r="C716" s="253">
        <f>CE85</f>
        <v>497462572.60400003</v>
      </c>
      <c r="D716" s="231">
        <f>D615</f>
        <v>-11844247.98</v>
      </c>
      <c r="E716" s="231">
        <f>E623</f>
        <v>27118346.373081662</v>
      </c>
      <c r="F716" s="231">
        <f>F624</f>
        <v>1936011.3242218071</v>
      </c>
      <c r="G716" s="231">
        <f>G625</f>
        <v>3148908.1886555017</v>
      </c>
      <c r="H716" s="231">
        <f>H628</f>
        <v>6214478.069184362</v>
      </c>
      <c r="I716" s="231">
        <f>I629</f>
        <v>5491365.6443457501</v>
      </c>
      <c r="J716" s="231">
        <f>J630</f>
        <v>1445724.4174566232</v>
      </c>
      <c r="K716" s="231">
        <f>K644</f>
        <v>52725869.259742051</v>
      </c>
      <c r="L716" s="231">
        <f>L647</f>
        <v>5177672.592754649</v>
      </c>
      <c r="M716" s="231">
        <f>C648</f>
        <v>87720044.614000022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95CF0B08-71E9-4208-9A27-FAE31CC46AD8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870</v>
      </c>
      <c r="B1" s="183"/>
      <c r="C1" s="183"/>
    </row>
    <row r="2" spans="1:3" ht="20.149999999999999" customHeight="1" x14ac:dyDescent="0.35">
      <c r="A2" s="182"/>
      <c r="B2" s="183"/>
      <c r="C2" s="108" t="s">
        <v>871</v>
      </c>
    </row>
    <row r="3" spans="1:3" ht="20.149999999999999" customHeight="1" x14ac:dyDescent="0.35">
      <c r="A3" s="134" t="str">
        <f>"Hospital: "&amp;data!C98</f>
        <v xml:space="preserve">Hospital: YAKIMA VALLEY MEMORIAL 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872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35118957.729999997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235280611.78</v>
      </c>
    </row>
    <row r="9" spans="1:3" ht="20.149999999999999" customHeight="1" x14ac:dyDescent="0.35">
      <c r="A9" s="188">
        <v>5</v>
      </c>
      <c r="B9" s="190" t="s">
        <v>873</v>
      </c>
      <c r="C9" s="190">
        <f>data!C269</f>
        <v>172299846</v>
      </c>
    </row>
    <row r="10" spans="1:3" ht="20.149999999999999" customHeight="1" x14ac:dyDescent="0.35">
      <c r="A10" s="188">
        <v>6</v>
      </c>
      <c r="B10" s="190" t="s">
        <v>874</v>
      </c>
      <c r="C10" s="190">
        <f>data!C270</f>
        <v>1744547</v>
      </c>
    </row>
    <row r="11" spans="1:3" ht="20.149999999999999" customHeight="1" x14ac:dyDescent="0.35">
      <c r="A11" s="188">
        <v>7</v>
      </c>
      <c r="B11" s="190" t="s">
        <v>875</v>
      </c>
      <c r="C11" s="190">
        <f>data!C271</f>
        <v>8809026.0999999996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9089298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5841062</v>
      </c>
    </row>
    <row r="15" spans="1:3" ht="20.149999999999999" customHeight="1" x14ac:dyDescent="0.35">
      <c r="A15" s="188">
        <v>11</v>
      </c>
      <c r="B15" s="190" t="s">
        <v>876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877</v>
      </c>
      <c r="C16" s="190">
        <f>data!D276</f>
        <v>123583656.60999998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878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59708998.170000002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879</v>
      </c>
      <c r="C22" s="190">
        <f>data!D281</f>
        <v>59708998.170000002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880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12130866.17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2770750.64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109140763.36</v>
      </c>
    </row>
    <row r="28" spans="1:3" ht="20.149999999999999" customHeight="1" x14ac:dyDescent="0.35">
      <c r="A28" s="188">
        <v>24</v>
      </c>
      <c r="B28" s="190" t="s">
        <v>881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72421251.870000005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103346887.98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6785018.1100000003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14365765.140000001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882</v>
      </c>
      <c r="C34" s="190">
        <f>data!C292</f>
        <v>135170320.34</v>
      </c>
    </row>
    <row r="35" spans="1:3" ht="20.149999999999999" customHeight="1" x14ac:dyDescent="0.35">
      <c r="A35" s="188">
        <v>31</v>
      </c>
      <c r="B35" s="190" t="s">
        <v>883</v>
      </c>
      <c r="C35" s="190">
        <f>data!D293</f>
        <v>185790982.93000004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884</v>
      </c>
      <c r="C37" s="189"/>
    </row>
    <row r="38" spans="1:3" ht="20.149999999999999" customHeight="1" x14ac:dyDescent="0.35">
      <c r="A38" s="188">
        <v>34</v>
      </c>
      <c r="B38" s="190" t="s">
        <v>885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886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10136587.93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21186581.890000001</v>
      </c>
    </row>
    <row r="42" spans="1:3" ht="20.149999999999999" customHeight="1" x14ac:dyDescent="0.35">
      <c r="A42" s="188">
        <v>38</v>
      </c>
      <c r="B42" s="190" t="s">
        <v>887</v>
      </c>
      <c r="C42" s="190">
        <f>data!D299</f>
        <v>31323169.82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888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196916.04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359198.2</v>
      </c>
    </row>
    <row r="47" spans="1:3" ht="20.149999999999999" customHeight="1" x14ac:dyDescent="0.35">
      <c r="A47" s="188">
        <v>43</v>
      </c>
      <c r="B47" s="190" t="s">
        <v>889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890</v>
      </c>
      <c r="C49" s="190">
        <f>data!D306</f>
        <v>556114.24</v>
      </c>
    </row>
    <row r="50" spans="1:3" ht="20.149999999999999" customHeight="1" x14ac:dyDescent="0.35">
      <c r="A50" s="193">
        <v>46</v>
      </c>
      <c r="B50" s="194" t="s">
        <v>891</v>
      </c>
      <c r="C50" s="190">
        <f>data!D308</f>
        <v>400962921.77000004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892</v>
      </c>
      <c r="B53" s="183"/>
      <c r="C53" s="183"/>
    </row>
    <row r="54" spans="1:3" ht="20.149999999999999" customHeight="1" x14ac:dyDescent="0.35">
      <c r="A54" s="182"/>
      <c r="B54" s="183"/>
      <c r="C54" s="108" t="s">
        <v>893</v>
      </c>
    </row>
    <row r="55" spans="1:3" ht="20.149999999999999" customHeight="1" x14ac:dyDescent="0.35">
      <c r="A55" s="134" t="str">
        <f>"Hospital: "&amp;data!C98</f>
        <v xml:space="preserve">Hospital: YAKIMA VALLEY MEMORIAL 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894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895</v>
      </c>
      <c r="C59" s="190">
        <f>data!C315</f>
        <v>29951638.349999998</v>
      </c>
    </row>
    <row r="60" spans="1:3" ht="20.149999999999999" customHeight="1" x14ac:dyDescent="0.35">
      <c r="A60" s="188">
        <v>4</v>
      </c>
      <c r="B60" s="190" t="s">
        <v>896</v>
      </c>
      <c r="C60" s="190">
        <f>data!C316</f>
        <v>31130776.949999999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130529.19</v>
      </c>
    </row>
    <row r="62" spans="1:3" ht="20.149999999999999" customHeight="1" x14ac:dyDescent="0.35">
      <c r="A62" s="188">
        <v>6</v>
      </c>
      <c r="B62" s="190" t="s">
        <v>897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898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47125398.119999997</v>
      </c>
    </row>
    <row r="67" spans="1:3" ht="20.149999999999999" customHeight="1" x14ac:dyDescent="0.35">
      <c r="A67" s="188">
        <v>11</v>
      </c>
      <c r="B67" s="190" t="s">
        <v>899</v>
      </c>
      <c r="C67" s="190">
        <f>data!C323</f>
        <v>130098.27</v>
      </c>
    </row>
    <row r="68" spans="1:3" ht="20.149999999999999" customHeight="1" x14ac:dyDescent="0.35">
      <c r="A68" s="188">
        <v>12</v>
      </c>
      <c r="B68" s="190" t="s">
        <v>900</v>
      </c>
      <c r="C68" s="190">
        <f>data!D324</f>
        <v>108468440.87999998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901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902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3877804.69</v>
      </c>
    </row>
    <row r="74" spans="1:3" ht="20.149999999999999" customHeight="1" x14ac:dyDescent="0.35">
      <c r="A74" s="188">
        <v>18</v>
      </c>
      <c r="B74" s="190" t="s">
        <v>903</v>
      </c>
      <c r="C74" s="190">
        <f>data!D329</f>
        <v>3877804.69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526706.73</v>
      </c>
    </row>
    <row r="78" spans="1:3" ht="20.149999999999999" customHeight="1" x14ac:dyDescent="0.35">
      <c r="A78" s="188">
        <v>22</v>
      </c>
      <c r="B78" s="190" t="s">
        <v>904</v>
      </c>
      <c r="C78" s="190">
        <f>data!C332</f>
        <v>31525000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905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0</v>
      </c>
    </row>
    <row r="82" spans="1:3" ht="20.149999999999999" customHeight="1" x14ac:dyDescent="0.35">
      <c r="A82" s="188">
        <v>26</v>
      </c>
      <c r="B82" s="190" t="s">
        <v>906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18027507.800000001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50079214.530000001</v>
      </c>
    </row>
    <row r="86" spans="1:3" ht="20.149999999999999" customHeight="1" x14ac:dyDescent="0.35">
      <c r="A86" s="188">
        <v>30</v>
      </c>
      <c r="B86" s="190" t="s">
        <v>907</v>
      </c>
      <c r="C86" s="190">
        <f>data!D340</f>
        <v>130098.27</v>
      </c>
    </row>
    <row r="87" spans="1:3" ht="20.149999999999999" customHeight="1" x14ac:dyDescent="0.35">
      <c r="A87" s="188">
        <v>31</v>
      </c>
      <c r="B87" s="190" t="s">
        <v>908</v>
      </c>
      <c r="C87" s="190">
        <f>data!D341</f>
        <v>49949116.259999998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909</v>
      </c>
      <c r="C89" s="190">
        <f>data!C343</f>
        <v>238667560.41999999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910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911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912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913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914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915</v>
      </c>
      <c r="C102" s="190">
        <f>data!C343+data!C345+data!C346+data!C347+data!C348-data!C349</f>
        <v>238667560.41999999</v>
      </c>
    </row>
    <row r="103" spans="1:3" ht="20.149999999999999" customHeight="1" x14ac:dyDescent="0.35">
      <c r="A103" s="188">
        <v>47</v>
      </c>
      <c r="B103" s="190" t="s">
        <v>916</v>
      </c>
      <c r="C103" s="190">
        <f>data!D352</f>
        <v>400962921.77000004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917</v>
      </c>
      <c r="B106" s="183"/>
      <c r="C106" s="183"/>
    </row>
    <row r="107" spans="1:3" ht="20.149999999999999" customHeight="1" x14ac:dyDescent="0.35">
      <c r="A107" s="184"/>
      <c r="C107" s="108" t="s">
        <v>918</v>
      </c>
    </row>
    <row r="108" spans="1:3" ht="20.149999999999999" customHeight="1" x14ac:dyDescent="0.35">
      <c r="A108" s="134" t="str">
        <f>"Hospital: "&amp;data!C98</f>
        <v xml:space="preserve">Hospital: YAKIMA VALLEY MEMORIAL 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919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532547658.95999998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1149144527.22</v>
      </c>
    </row>
    <row r="113" spans="1:3" ht="20.149999999999999" customHeight="1" x14ac:dyDescent="0.35">
      <c r="A113" s="188">
        <v>4</v>
      </c>
      <c r="B113" s="190" t="s">
        <v>920</v>
      </c>
      <c r="C113" s="190">
        <f>data!D360</f>
        <v>1681692186.1800001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921</v>
      </c>
      <c r="C115" s="189"/>
    </row>
    <row r="116" spans="1:3" ht="20.149999999999999" customHeight="1" x14ac:dyDescent="0.35">
      <c r="A116" s="188">
        <v>7</v>
      </c>
      <c r="B116" s="202" t="s">
        <v>922</v>
      </c>
      <c r="C116" s="203">
        <f>data!C362</f>
        <v>4006877.91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1166046202.3800001</v>
      </c>
    </row>
    <row r="118" spans="1:3" ht="20.149999999999999" customHeight="1" x14ac:dyDescent="0.35">
      <c r="A118" s="188">
        <v>9</v>
      </c>
      <c r="B118" s="190" t="s">
        <v>923</v>
      </c>
      <c r="C118" s="203">
        <f>data!C364</f>
        <v>34946591.939999998</v>
      </c>
    </row>
    <row r="119" spans="1:3" ht="20.149999999999999" customHeight="1" x14ac:dyDescent="0.35">
      <c r="A119" s="188">
        <v>10</v>
      </c>
      <c r="B119" s="190" t="s">
        <v>924</v>
      </c>
      <c r="C119" s="203">
        <f>data!C365</f>
        <v>12335763.15</v>
      </c>
    </row>
    <row r="120" spans="1:3" ht="20.149999999999999" customHeight="1" x14ac:dyDescent="0.35">
      <c r="A120" s="188">
        <v>11</v>
      </c>
      <c r="B120" s="190" t="s">
        <v>868</v>
      </c>
      <c r="C120" s="203">
        <f>data!D366</f>
        <v>1217335435.3800004</v>
      </c>
    </row>
    <row r="121" spans="1:3" ht="20.149999999999999" customHeight="1" x14ac:dyDescent="0.35">
      <c r="A121" s="188">
        <v>12</v>
      </c>
      <c r="B121" s="190" t="s">
        <v>925</v>
      </c>
      <c r="C121" s="203">
        <f>data!D367</f>
        <v>464356750.79999971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926</v>
      </c>
      <c r="B125" s="206" t="s">
        <v>479</v>
      </c>
      <c r="C125" s="205">
        <f>data!C370</f>
        <v>13140420.109999999</v>
      </c>
    </row>
    <row r="126" spans="1:3" ht="20.149999999999999" customHeight="1" x14ac:dyDescent="0.35">
      <c r="A126" s="209" t="s">
        <v>927</v>
      </c>
      <c r="B126" s="206" t="s">
        <v>480</v>
      </c>
      <c r="C126" s="205">
        <f>data!C371</f>
        <v>13624883.66</v>
      </c>
    </row>
    <row r="127" spans="1:3" ht="20.149999999999999" customHeight="1" x14ac:dyDescent="0.35">
      <c r="A127" s="209" t="s">
        <v>928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929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930</v>
      </c>
      <c r="B129" s="206" t="s">
        <v>483</v>
      </c>
      <c r="C129" s="205">
        <f>data!C374</f>
        <v>31482186.41</v>
      </c>
    </row>
    <row r="130" spans="1:3" ht="20.149999999999999" customHeight="1" x14ac:dyDescent="0.35">
      <c r="A130" s="209" t="s">
        <v>931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932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933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934</v>
      </c>
      <c r="B133" s="206" t="s">
        <v>487</v>
      </c>
      <c r="C133" s="205">
        <f>data!C378</f>
        <v>152661.14000000001</v>
      </c>
    </row>
    <row r="134" spans="1:3" ht="20.149999999999999" customHeight="1" x14ac:dyDescent="0.35">
      <c r="A134" s="209" t="s">
        <v>935</v>
      </c>
      <c r="B134" s="206" t="s">
        <v>488</v>
      </c>
      <c r="C134" s="205">
        <f>data!C379</f>
        <v>2131234.65</v>
      </c>
    </row>
    <row r="135" spans="1:3" ht="20.149999999999999" customHeight="1" x14ac:dyDescent="0.35">
      <c r="A135" s="209" t="s">
        <v>936</v>
      </c>
      <c r="B135" s="206" t="s">
        <v>489</v>
      </c>
      <c r="C135" s="205">
        <f>data!C380</f>
        <v>5491687.8300000001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937</v>
      </c>
      <c r="C137" s="203">
        <f>data!D383</f>
        <v>66023073.799999997</v>
      </c>
    </row>
    <row r="138" spans="1:3" ht="20.149999999999999" customHeight="1" x14ac:dyDescent="0.35">
      <c r="A138" s="188">
        <v>18</v>
      </c>
      <c r="B138" s="190" t="s">
        <v>938</v>
      </c>
      <c r="C138" s="203">
        <f>data!D384</f>
        <v>530379824.59999973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939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241911010.16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52412210.93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27683282.91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96074710.620000005</v>
      </c>
    </row>
    <row r="145" spans="1:3" ht="20.149999999999999" customHeight="1" x14ac:dyDescent="0.35">
      <c r="A145" s="188">
        <v>25</v>
      </c>
      <c r="B145" s="190" t="s">
        <v>940</v>
      </c>
      <c r="C145" s="203">
        <f>data!C393</f>
        <v>3192277.24</v>
      </c>
    </row>
    <row r="146" spans="1:3" ht="20.149999999999999" customHeight="1" x14ac:dyDescent="0.35">
      <c r="A146" s="188">
        <v>26</v>
      </c>
      <c r="B146" s="190" t="s">
        <v>941</v>
      </c>
      <c r="C146" s="203">
        <f>data!C394</f>
        <v>27881837.84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19515018.890000001</v>
      </c>
    </row>
    <row r="148" spans="1:3" ht="20.149999999999999" customHeight="1" x14ac:dyDescent="0.35">
      <c r="A148" s="188">
        <v>28</v>
      </c>
      <c r="B148" s="190" t="s">
        <v>942</v>
      </c>
      <c r="C148" s="203">
        <f>data!C396</f>
        <v>8321038.8300000001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1237203.8700000001</v>
      </c>
    </row>
    <row r="150" spans="1:3" ht="20.149999999999999" customHeight="1" x14ac:dyDescent="0.35">
      <c r="A150" s="188">
        <v>30</v>
      </c>
      <c r="B150" s="190" t="s">
        <v>943</v>
      </c>
      <c r="C150" s="203">
        <f>data!C398</f>
        <v>12663486.93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1835767.87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944</v>
      </c>
      <c r="B153" s="207" t="s">
        <v>255</v>
      </c>
      <c r="C153" s="203">
        <f>data!C401</f>
        <v>1550242.04</v>
      </c>
    </row>
    <row r="154" spans="1:3" ht="20.149999999999999" customHeight="1" x14ac:dyDescent="0.35">
      <c r="A154" s="209" t="s">
        <v>945</v>
      </c>
      <c r="B154" s="207" t="s">
        <v>256</v>
      </c>
      <c r="C154" s="203">
        <f>data!C402</f>
        <v>19927946.879999999</v>
      </c>
    </row>
    <row r="155" spans="1:3" ht="20.149999999999999" customHeight="1" x14ac:dyDescent="0.35">
      <c r="A155" s="209" t="s">
        <v>946</v>
      </c>
      <c r="B155" s="207" t="s">
        <v>947</v>
      </c>
      <c r="C155" s="203">
        <f>data!C403</f>
        <v>20023433.620000001</v>
      </c>
    </row>
    <row r="156" spans="1:3" ht="20.149999999999999" customHeight="1" x14ac:dyDescent="0.35">
      <c r="A156" s="209" t="s">
        <v>948</v>
      </c>
      <c r="B156" s="207" t="s">
        <v>258</v>
      </c>
      <c r="C156" s="203">
        <f>data!C404</f>
        <v>3002985.9</v>
      </c>
    </row>
    <row r="157" spans="1:3" ht="20.149999999999999" customHeight="1" x14ac:dyDescent="0.35">
      <c r="A157" s="209" t="s">
        <v>949</v>
      </c>
      <c r="B157" s="207" t="s">
        <v>259</v>
      </c>
      <c r="C157" s="203">
        <f>data!C405</f>
        <v>1891777.72</v>
      </c>
    </row>
    <row r="158" spans="1:3" ht="20.149999999999999" customHeight="1" x14ac:dyDescent="0.35">
      <c r="A158" s="209" t="s">
        <v>950</v>
      </c>
      <c r="B158" s="207" t="s">
        <v>260</v>
      </c>
      <c r="C158" s="203">
        <f>data!C406</f>
        <v>3273060</v>
      </c>
    </row>
    <row r="159" spans="1:3" ht="20.149999999999999" customHeight="1" x14ac:dyDescent="0.35">
      <c r="A159" s="209" t="s">
        <v>951</v>
      </c>
      <c r="B159" s="207" t="s">
        <v>261</v>
      </c>
      <c r="C159" s="203">
        <f>data!C407</f>
        <v>340801.89</v>
      </c>
    </row>
    <row r="160" spans="1:3" ht="20.149999999999999" customHeight="1" x14ac:dyDescent="0.35">
      <c r="A160" s="209" t="s">
        <v>952</v>
      </c>
      <c r="B160" s="207" t="s">
        <v>262</v>
      </c>
      <c r="C160" s="203">
        <f>data!C408</f>
        <v>1935856.97</v>
      </c>
    </row>
    <row r="161" spans="1:3" ht="20.149999999999999" customHeight="1" x14ac:dyDescent="0.35">
      <c r="A161" s="209" t="s">
        <v>953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954</v>
      </c>
      <c r="B162" s="207" t="s">
        <v>264</v>
      </c>
      <c r="C162" s="203">
        <f>data!C410</f>
        <v>332848.89</v>
      </c>
    </row>
    <row r="163" spans="1:3" ht="20.149999999999999" customHeight="1" x14ac:dyDescent="0.35">
      <c r="A163" s="209" t="s">
        <v>955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956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957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958</v>
      </c>
      <c r="B166" s="207" t="s">
        <v>959</v>
      </c>
      <c r="C166" s="203">
        <f>data!C414</f>
        <v>11651083.699999999</v>
      </c>
    </row>
    <row r="167" spans="1:3" ht="20.149999999999999" customHeight="1" x14ac:dyDescent="0.35">
      <c r="A167" s="188">
        <v>34</v>
      </c>
      <c r="B167" s="190" t="s">
        <v>960</v>
      </c>
      <c r="C167" s="203">
        <f>data!D416</f>
        <v>556657883.69999993</v>
      </c>
    </row>
    <row r="168" spans="1:3" ht="20.149999999999999" customHeight="1" x14ac:dyDescent="0.35">
      <c r="A168" s="188">
        <v>35</v>
      </c>
      <c r="B168" s="190" t="s">
        <v>961</v>
      </c>
      <c r="C168" s="203">
        <f>data!D417</f>
        <v>-26278059.100000203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962</v>
      </c>
      <c r="C170" s="203">
        <f>data!D420</f>
        <v>-6481587.4800000004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963</v>
      </c>
      <c r="C172" s="190">
        <f>data!D421</f>
        <v>-32759646.580000203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964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965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966</v>
      </c>
      <c r="C177" s="203">
        <f>data!D424</f>
        <v>-32759646.580000203</v>
      </c>
    </row>
    <row r="178" spans="1:3" ht="20.149999999999999" customHeight="1" x14ac:dyDescent="0.35">
      <c r="A178" s="193">
        <v>45</v>
      </c>
      <c r="B178" s="192" t="s">
        <v>967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968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969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 xml:space="preserve">Hospital: YAKIMA VALLEY MEMORIAL 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970</v>
      </c>
      <c r="C6" s="292" t="s">
        <v>103</v>
      </c>
      <c r="D6" s="293" t="s">
        <v>971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972</v>
      </c>
      <c r="E7" s="293" t="s">
        <v>175</v>
      </c>
      <c r="F7" s="293" t="s">
        <v>973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974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5379</v>
      </c>
      <c r="D9" s="287">
        <f>data!D59</f>
        <v>0</v>
      </c>
      <c r="E9" s="287">
        <f>data!E59</f>
        <v>42734</v>
      </c>
      <c r="F9" s="287">
        <f>data!F59</f>
        <v>8583</v>
      </c>
      <c r="G9" s="287">
        <f>data!G59</f>
        <v>0</v>
      </c>
      <c r="H9" s="287">
        <f>data!H59</f>
        <v>4680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53.87</v>
      </c>
      <c r="D10" s="294">
        <f>data!D60</f>
        <v>0</v>
      </c>
      <c r="E10" s="294">
        <f>data!E60</f>
        <v>254.21</v>
      </c>
      <c r="F10" s="294">
        <f>data!F60</f>
        <v>44.29</v>
      </c>
      <c r="G10" s="294">
        <f>data!G60</f>
        <v>0</v>
      </c>
      <c r="H10" s="294">
        <f>data!H60</f>
        <v>37.729999999999997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6397275.0999999996</v>
      </c>
      <c r="D11" s="287">
        <f>data!D61</f>
        <v>0</v>
      </c>
      <c r="E11" s="287">
        <f>data!E61</f>
        <v>22142877.989999998</v>
      </c>
      <c r="F11" s="287">
        <f>data!F61</f>
        <v>4934114.0599999996</v>
      </c>
      <c r="G11" s="287">
        <f>data!G61</f>
        <v>0</v>
      </c>
      <c r="H11" s="287">
        <f>data!H61</f>
        <v>3820537.34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1394386</v>
      </c>
      <c r="D12" s="287">
        <f>data!D62</f>
        <v>0</v>
      </c>
      <c r="E12" s="287">
        <f>data!E62</f>
        <v>4826386</v>
      </c>
      <c r="F12" s="287">
        <f>data!F62</f>
        <v>1075467</v>
      </c>
      <c r="G12" s="287">
        <f>data!G62</f>
        <v>0</v>
      </c>
      <c r="H12" s="287">
        <f>data!H62</f>
        <v>832746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436886.3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4525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551826.44999999995</v>
      </c>
      <c r="D14" s="287">
        <f>data!D64</f>
        <v>0</v>
      </c>
      <c r="E14" s="287">
        <f>data!E64</f>
        <v>1833737.29</v>
      </c>
      <c r="F14" s="287">
        <f>data!F64</f>
        <v>177017.23</v>
      </c>
      <c r="G14" s="287">
        <f>data!G64</f>
        <v>0</v>
      </c>
      <c r="H14" s="287">
        <f>data!H64</f>
        <v>59881.18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14696.43</v>
      </c>
      <c r="D16" s="287">
        <f>data!D66</f>
        <v>0</v>
      </c>
      <c r="E16" s="287">
        <f>data!E66</f>
        <v>4761.8599999999997</v>
      </c>
      <c r="F16" s="287">
        <f>data!F66</f>
        <v>0</v>
      </c>
      <c r="G16" s="287">
        <f>data!G66</f>
        <v>0</v>
      </c>
      <c r="H16" s="287">
        <f>data!H66</f>
        <v>-49714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206654</v>
      </c>
      <c r="D17" s="287">
        <f>data!D67</f>
        <v>0</v>
      </c>
      <c r="E17" s="287">
        <f>data!E67</f>
        <v>1158095</v>
      </c>
      <c r="F17" s="287">
        <f>data!F67</f>
        <v>341233</v>
      </c>
      <c r="G17" s="287">
        <f>data!G67</f>
        <v>0</v>
      </c>
      <c r="H17" s="287">
        <f>data!H67</f>
        <v>242664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975</v>
      </c>
      <c r="C18" s="287">
        <f>data!C68</f>
        <v>2004.49</v>
      </c>
      <c r="D18" s="287">
        <f>data!D68</f>
        <v>0</v>
      </c>
      <c r="E18" s="287">
        <f>data!E68</f>
        <v>13941.44</v>
      </c>
      <c r="F18" s="287">
        <f>data!F68</f>
        <v>27470.799999999999</v>
      </c>
      <c r="G18" s="287">
        <f>data!G68</f>
        <v>0</v>
      </c>
      <c r="H18" s="287">
        <f>data!H68</f>
        <v>3792.13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976</v>
      </c>
      <c r="C19" s="287">
        <f>data!C69</f>
        <v>3850767.52</v>
      </c>
      <c r="D19" s="287">
        <f>data!D69</f>
        <v>0</v>
      </c>
      <c r="E19" s="287">
        <f>data!E69</f>
        <v>7985701.2199999997</v>
      </c>
      <c r="F19" s="287">
        <f>data!F69</f>
        <v>128929.26</v>
      </c>
      <c r="G19" s="287">
        <f>data!G69</f>
        <v>0</v>
      </c>
      <c r="H19" s="287">
        <f>data!H69</f>
        <v>60088.75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-101954.11</v>
      </c>
      <c r="D20" s="287">
        <f>-data!D84</f>
        <v>0</v>
      </c>
      <c r="E20" s="287">
        <f>-data!E84</f>
        <v>-2951.3</v>
      </c>
      <c r="F20" s="287">
        <f>-data!F84</f>
        <v>-29367.33</v>
      </c>
      <c r="G20" s="287">
        <f>-data!G84</f>
        <v>0</v>
      </c>
      <c r="H20" s="287">
        <f>-data!H84</f>
        <v>-323354.69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977</v>
      </c>
      <c r="C21" s="287">
        <f>data!C85</f>
        <v>12752542.18</v>
      </c>
      <c r="D21" s="287">
        <f>data!D85</f>
        <v>0</v>
      </c>
      <c r="E21" s="287">
        <f>data!E85</f>
        <v>37962549.5</v>
      </c>
      <c r="F21" s="287">
        <f>data!F85</f>
        <v>6654864.0199999996</v>
      </c>
      <c r="G21" s="287">
        <f>data!G85</f>
        <v>0</v>
      </c>
      <c r="H21" s="287">
        <f>data!H85</f>
        <v>4651165.709999999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978</v>
      </c>
      <c r="C23" s="295">
        <f>+data!M668</f>
        <v>2387128</v>
      </c>
      <c r="D23" s="295">
        <f>+data!M669</f>
        <v>0</v>
      </c>
      <c r="E23" s="295">
        <f>+data!M670</f>
        <v>12250018</v>
      </c>
      <c r="F23" s="295">
        <f>+data!M671</f>
        <v>1819581</v>
      </c>
      <c r="G23" s="295">
        <f>+data!M672</f>
        <v>0</v>
      </c>
      <c r="H23" s="295">
        <f>+data!M673</f>
        <v>1413523</v>
      </c>
      <c r="I23" s="295">
        <f>+data!M674</f>
        <v>0</v>
      </c>
    </row>
    <row r="24" spans="1:9" ht="20.149999999999999" customHeight="1" x14ac:dyDescent="0.35">
      <c r="A24" s="279">
        <v>19</v>
      </c>
      <c r="B24" s="295" t="s">
        <v>979</v>
      </c>
      <c r="C24" s="287">
        <f>data!C87</f>
        <v>33985961.369999997</v>
      </c>
      <c r="D24" s="287">
        <f>data!D87</f>
        <v>0</v>
      </c>
      <c r="E24" s="287">
        <f>data!E87</f>
        <v>144819716.53999999</v>
      </c>
      <c r="F24" s="287">
        <f>data!F87</f>
        <v>26711702.670000002</v>
      </c>
      <c r="G24" s="287">
        <f>data!G87</f>
        <v>0</v>
      </c>
      <c r="H24" s="287">
        <f>data!H87</f>
        <v>21859940.52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980</v>
      </c>
      <c r="C25" s="287">
        <f>data!C88</f>
        <v>846762.52</v>
      </c>
      <c r="D25" s="287">
        <f>data!D88</f>
        <v>0</v>
      </c>
      <c r="E25" s="287">
        <f>data!E88</f>
        <v>23011243.699999999</v>
      </c>
      <c r="F25" s="287">
        <f>data!F88</f>
        <v>629410.48</v>
      </c>
      <c r="G25" s="287">
        <f>data!G88</f>
        <v>0</v>
      </c>
      <c r="H25" s="287">
        <f>data!H88</f>
        <v>36805.69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981</v>
      </c>
      <c r="C26" s="287">
        <f>data!C89</f>
        <v>34832723.890000001</v>
      </c>
      <c r="D26" s="287">
        <f>data!D89</f>
        <v>0</v>
      </c>
      <c r="E26" s="287">
        <f>data!E89</f>
        <v>167830960.23999998</v>
      </c>
      <c r="F26" s="287">
        <f>data!F89</f>
        <v>27341113.150000002</v>
      </c>
      <c r="G26" s="287">
        <f>data!G89</f>
        <v>0</v>
      </c>
      <c r="H26" s="287">
        <f>data!H89</f>
        <v>21896746.210000001</v>
      </c>
      <c r="I26" s="287">
        <f>data!I89</f>
        <v>0</v>
      </c>
    </row>
    <row r="27" spans="1:9" ht="20.149999999999999" customHeight="1" x14ac:dyDescent="0.35">
      <c r="A27" s="279" t="s">
        <v>982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983</v>
      </c>
      <c r="C28" s="287">
        <f>data!C90</f>
        <v>11357</v>
      </c>
      <c r="D28" s="287">
        <f>data!D90</f>
        <v>0</v>
      </c>
      <c r="E28" s="287">
        <f>data!E90</f>
        <v>63645</v>
      </c>
      <c r="F28" s="287">
        <f>data!F90</f>
        <v>18753</v>
      </c>
      <c r="G28" s="287">
        <f>data!G90</f>
        <v>0</v>
      </c>
      <c r="H28" s="287">
        <f>data!H90</f>
        <v>13336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984</v>
      </c>
      <c r="C29" s="287">
        <f>data!C91</f>
        <v>3690.97</v>
      </c>
      <c r="D29" s="287">
        <f>data!D91</f>
        <v>0</v>
      </c>
      <c r="E29" s="287">
        <f>data!E91</f>
        <v>152653.6</v>
      </c>
      <c r="F29" s="287">
        <f>data!F91</f>
        <v>12813.82</v>
      </c>
      <c r="G29" s="287">
        <f>data!G91</f>
        <v>0</v>
      </c>
      <c r="H29" s="287">
        <f>data!H91</f>
        <v>17591.16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985</v>
      </c>
      <c r="C30" s="287">
        <f>data!C92</f>
        <v>4420</v>
      </c>
      <c r="D30" s="287">
        <f>data!D92</f>
        <v>0</v>
      </c>
      <c r="E30" s="287">
        <f>data!E92</f>
        <v>21632</v>
      </c>
      <c r="F30" s="287">
        <f>data!F92</f>
        <v>5408</v>
      </c>
      <c r="G30" s="287">
        <f>data!G92</f>
        <v>0</v>
      </c>
      <c r="H30" s="287">
        <f>data!H92</f>
        <v>2496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986</v>
      </c>
      <c r="C31" s="287">
        <f>data!C93</f>
        <v>56737.65</v>
      </c>
      <c r="D31" s="287">
        <f>data!D93</f>
        <v>0</v>
      </c>
      <c r="E31" s="287">
        <f>data!E93</f>
        <v>634904.93999999994</v>
      </c>
      <c r="F31" s="287">
        <f>data!F93</f>
        <v>135856.69</v>
      </c>
      <c r="G31" s="287">
        <f>data!G93</f>
        <v>0</v>
      </c>
      <c r="H31" s="287">
        <f>data!H93</f>
        <v>53973.02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45.5</v>
      </c>
      <c r="D32" s="294">
        <f>data!D94</f>
        <v>0</v>
      </c>
      <c r="E32" s="294">
        <f>data!E94</f>
        <v>203.31</v>
      </c>
      <c r="F32" s="294">
        <f>data!F94</f>
        <v>37.85</v>
      </c>
      <c r="G32" s="294">
        <f>data!G94</f>
        <v>0</v>
      </c>
      <c r="H32" s="294">
        <f>data!H94</f>
        <v>25.67</v>
      </c>
      <c r="I32" s="294">
        <f>data!I94</f>
        <v>0</v>
      </c>
    </row>
    <row r="33" spans="1:9" ht="20.149999999999999" customHeight="1" x14ac:dyDescent="0.35">
      <c r="A33" s="280" t="s">
        <v>968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987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 xml:space="preserve">Hospital: YAKIMA VALLEY MEMORIAL 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970</v>
      </c>
      <c r="C38" s="293"/>
      <c r="D38" s="293" t="s">
        <v>111</v>
      </c>
      <c r="E38" s="293" t="s">
        <v>112</v>
      </c>
      <c r="F38" s="293" t="s">
        <v>988</v>
      </c>
      <c r="G38" s="293" t="s">
        <v>114</v>
      </c>
      <c r="H38" s="293" t="s">
        <v>989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974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21595</v>
      </c>
      <c r="I41" s="287">
        <f>data!P59</f>
        <v>958305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49.44</v>
      </c>
      <c r="I42" s="294">
        <f>data!P60</f>
        <v>107.76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5287121.74</v>
      </c>
      <c r="I43" s="287">
        <f>data!P61</f>
        <v>9412489.8000000007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1152411</v>
      </c>
      <c r="I44" s="287">
        <f>data!P62</f>
        <v>2051599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-212623.06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703342.18</v>
      </c>
      <c r="I46" s="287">
        <f>data!P64</f>
        <v>17767203.620000001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46479.5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681775.38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192843</v>
      </c>
      <c r="I49" s="287">
        <f>data!P67</f>
        <v>776339</v>
      </c>
    </row>
    <row r="50" spans="1:11" ht="20.149999999999999" customHeight="1" x14ac:dyDescent="0.35">
      <c r="A50" s="279">
        <v>13</v>
      </c>
      <c r="B50" s="287" t="s">
        <v>975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1184.8599999999999</v>
      </c>
      <c r="I50" s="287">
        <f>data!P68</f>
        <v>796310.51</v>
      </c>
    </row>
    <row r="51" spans="1:11" ht="20.149999999999999" customHeight="1" x14ac:dyDescent="0.35">
      <c r="A51" s="279">
        <v>14</v>
      </c>
      <c r="B51" s="287" t="s">
        <v>976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126722.45</v>
      </c>
      <c r="I51" s="287">
        <f>data!P69</f>
        <v>1621883.25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-4018.21</v>
      </c>
      <c r="I52" s="287">
        <f>-data!P84</f>
        <v>200087.98</v>
      </c>
    </row>
    <row r="53" spans="1:11" ht="20.149999999999999" customHeight="1" x14ac:dyDescent="0.35">
      <c r="A53" s="279">
        <v>16</v>
      </c>
      <c r="B53" s="295" t="s">
        <v>977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7459607.0200000005</v>
      </c>
      <c r="I53" s="287">
        <f>data!P85</f>
        <v>33141544.98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978</v>
      </c>
      <c r="C55" s="295">
        <f>+data!M675</f>
        <v>0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1487319</v>
      </c>
      <c r="I55" s="295">
        <f>+data!M681</f>
        <v>7358524</v>
      </c>
    </row>
    <row r="56" spans="1:11" ht="20.149999999999999" customHeight="1" x14ac:dyDescent="0.35">
      <c r="A56" s="279">
        <v>19</v>
      </c>
      <c r="B56" s="295" t="s">
        <v>979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14788137.449999999</v>
      </c>
      <c r="I56" s="287">
        <f>data!P87</f>
        <v>28352743.66</v>
      </c>
    </row>
    <row r="57" spans="1:11" ht="20.149999999999999" customHeight="1" x14ac:dyDescent="0.35">
      <c r="A57" s="279">
        <v>20</v>
      </c>
      <c r="B57" s="295" t="s">
        <v>980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1145642.9099999999</v>
      </c>
      <c r="I57" s="287">
        <f>data!P88</f>
        <v>121825213.66</v>
      </c>
    </row>
    <row r="58" spans="1:11" ht="20.149999999999999" customHeight="1" x14ac:dyDescent="0.35">
      <c r="A58" s="279">
        <v>21</v>
      </c>
      <c r="B58" s="295" t="s">
        <v>981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15933780.359999999</v>
      </c>
      <c r="I58" s="287">
        <f>data!P89</f>
        <v>150177957.31999999</v>
      </c>
    </row>
    <row r="59" spans="1:11" ht="20.149999999999999" customHeight="1" x14ac:dyDescent="0.35">
      <c r="A59" s="279" t="s">
        <v>982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983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10598</v>
      </c>
      <c r="I60" s="287">
        <f>data!P90</f>
        <v>42665</v>
      </c>
      <c r="K60" s="298"/>
    </row>
    <row r="61" spans="1:11" ht="20.149999999999999" customHeight="1" x14ac:dyDescent="0.35">
      <c r="A61" s="279">
        <v>23</v>
      </c>
      <c r="B61" s="287" t="s">
        <v>984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440.46</v>
      </c>
    </row>
    <row r="62" spans="1:11" ht="20.149999999999999" customHeight="1" x14ac:dyDescent="0.35">
      <c r="A62" s="279">
        <v>24</v>
      </c>
      <c r="B62" s="287" t="s">
        <v>985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5408</v>
      </c>
      <c r="I62" s="287">
        <f>data!P92</f>
        <v>7787</v>
      </c>
    </row>
    <row r="63" spans="1:11" ht="20.149999999999999" customHeight="1" x14ac:dyDescent="0.35">
      <c r="A63" s="279">
        <v>25</v>
      </c>
      <c r="B63" s="287" t="s">
        <v>986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174244.05</v>
      </c>
      <c r="I63" s="287">
        <f>data!P93</f>
        <v>314618.93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32.880000000000003</v>
      </c>
      <c r="I64" s="294">
        <f>data!P94</f>
        <v>53.53</v>
      </c>
    </row>
    <row r="65" spans="1:9" ht="20.149999999999999" customHeight="1" x14ac:dyDescent="0.35">
      <c r="A65" s="280" t="s">
        <v>968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990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 xml:space="preserve">Hospital: YAKIMA VALLEY MEMORIAL 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970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991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974</v>
      </c>
      <c r="C72" s="289" t="s">
        <v>992</v>
      </c>
      <c r="D72" s="288" t="s">
        <v>993</v>
      </c>
      <c r="E72" s="299"/>
      <c r="F72" s="299"/>
      <c r="G72" s="288" t="s">
        <v>994</v>
      </c>
      <c r="H72" s="288" t="s">
        <v>994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1228800</v>
      </c>
      <c r="D73" s="295">
        <f>data!R59</f>
        <v>805060</v>
      </c>
      <c r="E73" s="299"/>
      <c r="F73" s="299"/>
      <c r="G73" s="287">
        <f>data!U59</f>
        <v>2825506</v>
      </c>
      <c r="H73" s="287">
        <f>data!V59</f>
        <v>822562</v>
      </c>
      <c r="I73" s="287">
        <f>data!W59</f>
        <v>51385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33.130000000000003</v>
      </c>
      <c r="D74" s="294">
        <f>data!R60</f>
        <v>2.57</v>
      </c>
      <c r="E74" s="294">
        <f>data!S60</f>
        <v>22.56</v>
      </c>
      <c r="F74" s="294">
        <f>data!T60</f>
        <v>8.6300000000000008</v>
      </c>
      <c r="G74" s="294">
        <f>data!U60</f>
        <v>81.87</v>
      </c>
      <c r="H74" s="294">
        <f>data!V60</f>
        <v>1.74</v>
      </c>
      <c r="I74" s="294">
        <f>data!W60</f>
        <v>10.88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3688626.62</v>
      </c>
      <c r="D75" s="287">
        <f>data!R61</f>
        <v>150403.64000000001</v>
      </c>
      <c r="E75" s="287">
        <f>data!S61</f>
        <v>1139315.18</v>
      </c>
      <c r="F75" s="287">
        <f>data!T61</f>
        <v>1125226.3899999999</v>
      </c>
      <c r="G75" s="287">
        <f>data!U61</f>
        <v>5194358.8</v>
      </c>
      <c r="H75" s="287">
        <f>data!V61</f>
        <v>79022.149999999994</v>
      </c>
      <c r="I75" s="287">
        <f>data!W61</f>
        <v>986729.06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803994</v>
      </c>
      <c r="D76" s="287">
        <f>data!R62</f>
        <v>32783</v>
      </c>
      <c r="E76" s="287">
        <f>data!S62</f>
        <v>248332</v>
      </c>
      <c r="F76" s="287">
        <f>data!T62</f>
        <v>245261</v>
      </c>
      <c r="G76" s="287">
        <f>data!U62</f>
        <v>1132192</v>
      </c>
      <c r="H76" s="287">
        <f>data!V62</f>
        <v>17224</v>
      </c>
      <c r="I76" s="287">
        <f>data!W62</f>
        <v>215073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174000</v>
      </c>
      <c r="H77" s="287">
        <f>data!V63</f>
        <v>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83597.740000000005</v>
      </c>
      <c r="D78" s="287">
        <f>data!R64</f>
        <v>422729.3</v>
      </c>
      <c r="E78" s="287">
        <f>data!S64</f>
        <v>436579.41</v>
      </c>
      <c r="F78" s="287">
        <f>data!T64</f>
        <v>361956.96</v>
      </c>
      <c r="G78" s="287">
        <f>data!U64</f>
        <v>5230531.1900000004</v>
      </c>
      <c r="H78" s="287">
        <f>data!V64</f>
        <v>2598.9</v>
      </c>
      <c r="I78" s="287">
        <f>data!W64</f>
        <v>54482.720000000001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3578.6</v>
      </c>
      <c r="H79" s="287">
        <f>data!V65</f>
        <v>0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406.13</v>
      </c>
      <c r="D80" s="287">
        <f>data!R66</f>
        <v>16528.45</v>
      </c>
      <c r="E80" s="287">
        <f>data!S66</f>
        <v>1296</v>
      </c>
      <c r="F80" s="287">
        <f>data!T66</f>
        <v>0</v>
      </c>
      <c r="G80" s="287">
        <f>data!U66</f>
        <v>1673305.45</v>
      </c>
      <c r="H80" s="287">
        <f>data!V66</f>
        <v>0</v>
      </c>
      <c r="I80" s="287">
        <f>data!W66</f>
        <v>417150.4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51131</v>
      </c>
      <c r="D81" s="287">
        <f>data!R67</f>
        <v>11391</v>
      </c>
      <c r="E81" s="287">
        <f>data!S67</f>
        <v>624911</v>
      </c>
      <c r="F81" s="287">
        <f>data!T67</f>
        <v>5313</v>
      </c>
      <c r="G81" s="287">
        <f>data!U67</f>
        <v>215097</v>
      </c>
      <c r="H81" s="287">
        <f>data!V67</f>
        <v>4112</v>
      </c>
      <c r="I81" s="287">
        <f>data!W67</f>
        <v>41414</v>
      </c>
    </row>
    <row r="82" spans="1:9" ht="20.149999999999999" customHeight="1" x14ac:dyDescent="0.35">
      <c r="A82" s="279">
        <v>13</v>
      </c>
      <c r="B82" s="287" t="s">
        <v>975</v>
      </c>
      <c r="C82" s="287">
        <f>data!Q68</f>
        <v>1170.45</v>
      </c>
      <c r="D82" s="287">
        <f>data!R68</f>
        <v>47.05</v>
      </c>
      <c r="E82" s="287">
        <f>data!S68</f>
        <v>69617.53</v>
      </c>
      <c r="F82" s="287">
        <f>data!T68</f>
        <v>278.43</v>
      </c>
      <c r="G82" s="287">
        <f>data!U68</f>
        <v>571763.76</v>
      </c>
      <c r="H82" s="287">
        <f>data!V68</f>
        <v>19895.7</v>
      </c>
      <c r="I82" s="287">
        <f>data!W68</f>
        <v>761.69</v>
      </c>
    </row>
    <row r="83" spans="1:9" ht="20.149999999999999" customHeight="1" x14ac:dyDescent="0.35">
      <c r="A83" s="279">
        <v>14</v>
      </c>
      <c r="B83" s="287" t="s">
        <v>976</v>
      </c>
      <c r="C83" s="287">
        <f>data!Q69</f>
        <v>28703.5</v>
      </c>
      <c r="D83" s="287">
        <f>data!R69</f>
        <v>41512.410000000003</v>
      </c>
      <c r="E83" s="287">
        <f>data!S69</f>
        <v>176417.52</v>
      </c>
      <c r="F83" s="287">
        <f>data!T69</f>
        <v>5213.8599999999997</v>
      </c>
      <c r="G83" s="287">
        <f>data!U69</f>
        <v>3581739.05</v>
      </c>
      <c r="H83" s="287">
        <f>data!V69</f>
        <v>804762.27</v>
      </c>
      <c r="I83" s="287">
        <f>data!W69</f>
        <v>11515.84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39591.07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977</v>
      </c>
      <c r="C85" s="287">
        <f>data!Q85</f>
        <v>4657629.4400000004</v>
      </c>
      <c r="D85" s="287">
        <f>data!R85</f>
        <v>675394.85</v>
      </c>
      <c r="E85" s="287">
        <f>data!S85</f>
        <v>2696468.6399999997</v>
      </c>
      <c r="F85" s="287">
        <f>data!T85</f>
        <v>1743249.64</v>
      </c>
      <c r="G85" s="287">
        <f>data!U85</f>
        <v>17736974.779999997</v>
      </c>
      <c r="H85" s="287">
        <f>data!V85</f>
        <v>927615.02</v>
      </c>
      <c r="I85" s="287">
        <f>data!W85</f>
        <v>1727126.7100000002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978</v>
      </c>
      <c r="C87" s="295">
        <f>+data!M682</f>
        <v>940896</v>
      </c>
      <c r="D87" s="295">
        <f>+data!M683</f>
        <v>262709</v>
      </c>
      <c r="E87" s="295">
        <f>+data!M684</f>
        <v>-281326</v>
      </c>
      <c r="F87" s="295">
        <f>+data!M685</f>
        <v>259254</v>
      </c>
      <c r="G87" s="295">
        <f>+data!M686</f>
        <v>5334359</v>
      </c>
      <c r="H87" s="295">
        <f>+data!M687</f>
        <v>375144</v>
      </c>
      <c r="I87" s="295">
        <f>+data!M688</f>
        <v>991078</v>
      </c>
    </row>
    <row r="88" spans="1:9" ht="20.149999999999999" customHeight="1" x14ac:dyDescent="0.35">
      <c r="A88" s="279">
        <v>19</v>
      </c>
      <c r="B88" s="295" t="s">
        <v>979</v>
      </c>
      <c r="C88" s="287">
        <f>data!Q87</f>
        <v>2212128.9</v>
      </c>
      <c r="D88" s="287">
        <f>data!R87</f>
        <v>1381221.64</v>
      </c>
      <c r="E88" s="287">
        <f>data!S87</f>
        <v>0</v>
      </c>
      <c r="F88" s="287">
        <f>data!T87</f>
        <v>1515619.11</v>
      </c>
      <c r="G88" s="287">
        <f>data!U87</f>
        <v>47798805.549999997</v>
      </c>
      <c r="H88" s="287">
        <f>data!V87</f>
        <v>3019828.54</v>
      </c>
      <c r="I88" s="287">
        <f>data!W87</f>
        <v>2574616.2999999998</v>
      </c>
    </row>
    <row r="89" spans="1:9" ht="20.149999999999999" customHeight="1" x14ac:dyDescent="0.35">
      <c r="A89" s="279">
        <v>20</v>
      </c>
      <c r="B89" s="295" t="s">
        <v>980</v>
      </c>
      <c r="C89" s="287">
        <f>data!Q88</f>
        <v>9235819.3800000008</v>
      </c>
      <c r="D89" s="287">
        <f>data!R88</f>
        <v>5466004.2300000004</v>
      </c>
      <c r="E89" s="287">
        <f>data!S88</f>
        <v>0</v>
      </c>
      <c r="F89" s="287">
        <f>data!T88</f>
        <v>733230.66</v>
      </c>
      <c r="G89" s="287">
        <f>data!U88</f>
        <v>85019964.950000003</v>
      </c>
      <c r="H89" s="287">
        <f>data!V88</f>
        <v>6429382.0999999996</v>
      </c>
      <c r="I89" s="287">
        <f>data!W88</f>
        <v>26264270.649999999</v>
      </c>
    </row>
    <row r="90" spans="1:9" ht="20.149999999999999" customHeight="1" x14ac:dyDescent="0.35">
      <c r="A90" s="279">
        <v>21</v>
      </c>
      <c r="B90" s="295" t="s">
        <v>981</v>
      </c>
      <c r="C90" s="287">
        <f>data!Q89</f>
        <v>11447948.280000001</v>
      </c>
      <c r="D90" s="287">
        <f>data!R89</f>
        <v>6847225.8700000001</v>
      </c>
      <c r="E90" s="287">
        <f>data!S89</f>
        <v>0</v>
      </c>
      <c r="F90" s="287">
        <f>data!T89</f>
        <v>2248849.77</v>
      </c>
      <c r="G90" s="287">
        <f>data!U89</f>
        <v>132818770.5</v>
      </c>
      <c r="H90" s="287">
        <f>data!V89</f>
        <v>9449210.6400000006</v>
      </c>
      <c r="I90" s="287">
        <f>data!W89</f>
        <v>28838886.949999999</v>
      </c>
    </row>
    <row r="91" spans="1:9" ht="20.149999999999999" customHeight="1" x14ac:dyDescent="0.35">
      <c r="A91" s="279" t="s">
        <v>982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983</v>
      </c>
      <c r="C92" s="287">
        <f>data!Q90</f>
        <v>2810</v>
      </c>
      <c r="D92" s="287">
        <f>data!R90</f>
        <v>626</v>
      </c>
      <c r="E92" s="287">
        <f>data!S90</f>
        <v>34343</v>
      </c>
      <c r="F92" s="287">
        <f>data!T90</f>
        <v>292</v>
      </c>
      <c r="G92" s="287">
        <f>data!U90</f>
        <v>11821</v>
      </c>
      <c r="H92" s="287">
        <f>data!V90</f>
        <v>226</v>
      </c>
      <c r="I92" s="287">
        <f>data!W90</f>
        <v>2276</v>
      </c>
    </row>
    <row r="93" spans="1:9" ht="20.149999999999999" customHeight="1" x14ac:dyDescent="0.35">
      <c r="A93" s="279">
        <v>23</v>
      </c>
      <c r="B93" s="287" t="s">
        <v>984</v>
      </c>
      <c r="C93" s="287">
        <f>data!Q91</f>
        <v>237.45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985</v>
      </c>
      <c r="C94" s="287">
        <f>data!Q92</f>
        <v>884</v>
      </c>
      <c r="D94" s="287">
        <f>data!R92</f>
        <v>91</v>
      </c>
      <c r="E94" s="287">
        <f>data!S92</f>
        <v>3042</v>
      </c>
      <c r="F94" s="287">
        <f>data!T92</f>
        <v>26</v>
      </c>
      <c r="G94" s="287">
        <f>data!U92</f>
        <v>1261</v>
      </c>
      <c r="H94" s="287">
        <f>data!V92</f>
        <v>637</v>
      </c>
      <c r="I94" s="287">
        <f>data!W92</f>
        <v>195</v>
      </c>
    </row>
    <row r="95" spans="1:9" ht="20.149999999999999" customHeight="1" x14ac:dyDescent="0.35">
      <c r="A95" s="279">
        <v>25</v>
      </c>
      <c r="B95" s="287" t="s">
        <v>986</v>
      </c>
      <c r="C95" s="287">
        <f>data!Q93</f>
        <v>54369.33</v>
      </c>
      <c r="D95" s="287">
        <f>data!R93</f>
        <v>0</v>
      </c>
      <c r="E95" s="287">
        <f>data!S93</f>
        <v>17561.13</v>
      </c>
      <c r="F95" s="287">
        <f>data!T93</f>
        <v>0</v>
      </c>
      <c r="G95" s="287">
        <f>data!U93</f>
        <v>0</v>
      </c>
      <c r="H95" s="287">
        <f>data!V93</f>
        <v>2.02</v>
      </c>
      <c r="I95" s="287">
        <f>data!W93</f>
        <v>8477.5300000000007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26.93</v>
      </c>
      <c r="D96" s="294">
        <f>data!R94</f>
        <v>0.68</v>
      </c>
      <c r="E96" s="294">
        <f>data!S94</f>
        <v>0.01</v>
      </c>
      <c r="F96" s="294">
        <f>data!T94</f>
        <v>8.6300000000000008</v>
      </c>
      <c r="G96" s="294">
        <f>data!U94</f>
        <v>6.89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968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995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 xml:space="preserve">Hospital: YAKIMA VALLEY MEMORIAL 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970</v>
      </c>
      <c r="C102" s="293" t="s">
        <v>996</v>
      </c>
      <c r="D102" s="293" t="s">
        <v>997</v>
      </c>
      <c r="E102" s="293" t="s">
        <v>997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974</v>
      </c>
      <c r="C104" s="288" t="s">
        <v>236</v>
      </c>
      <c r="D104" s="289" t="s">
        <v>998</v>
      </c>
      <c r="E104" s="289" t="s">
        <v>998</v>
      </c>
      <c r="F104" s="289" t="s">
        <v>998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142198</v>
      </c>
      <c r="D105" s="287">
        <f>data!Y59</f>
        <v>199183</v>
      </c>
      <c r="E105" s="287">
        <f>data!Z59</f>
        <v>34811</v>
      </c>
      <c r="F105" s="287">
        <f>data!AA59</f>
        <v>20659</v>
      </c>
      <c r="G105" s="299"/>
      <c r="H105" s="287">
        <f>data!AC59</f>
        <v>20355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17.39</v>
      </c>
      <c r="D106" s="294">
        <f>data!Y60</f>
        <v>75.87</v>
      </c>
      <c r="E106" s="294">
        <f>data!Z60</f>
        <v>13.61</v>
      </c>
      <c r="F106" s="294">
        <f>data!AA60</f>
        <v>5.98</v>
      </c>
      <c r="G106" s="294">
        <f>data!AB60</f>
        <v>75.37</v>
      </c>
      <c r="H106" s="294">
        <f>data!AC60</f>
        <v>19.46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1456065.58</v>
      </c>
      <c r="D107" s="287">
        <f>data!Y61</f>
        <v>6066060.7300000004</v>
      </c>
      <c r="E107" s="287">
        <f>data!Z61</f>
        <v>1317668.27</v>
      </c>
      <c r="F107" s="287">
        <f>data!AA61</f>
        <v>525244.81000000006</v>
      </c>
      <c r="G107" s="287">
        <f>data!AB61</f>
        <v>6443676.2300000004</v>
      </c>
      <c r="H107" s="287">
        <f>data!AC61</f>
        <v>1961246.22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317372</v>
      </c>
      <c r="D108" s="287">
        <f>data!Y62</f>
        <v>1322193</v>
      </c>
      <c r="E108" s="287">
        <f>data!Z62</f>
        <v>287206</v>
      </c>
      <c r="F108" s="287">
        <f>data!AA62</f>
        <v>114485</v>
      </c>
      <c r="G108" s="287">
        <f>data!AB62</f>
        <v>1404500</v>
      </c>
      <c r="H108" s="287">
        <f>data!AC62</f>
        <v>427484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135205.69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334727.94</v>
      </c>
      <c r="D110" s="287">
        <f>data!Y64</f>
        <v>9369706</v>
      </c>
      <c r="E110" s="287">
        <f>data!Z64</f>
        <v>37874.730000000003</v>
      </c>
      <c r="F110" s="287">
        <f>data!AA64</f>
        <v>572441.93000000005</v>
      </c>
      <c r="G110" s="287">
        <f>data!AB64</f>
        <v>12103510.300000001</v>
      </c>
      <c r="H110" s="287">
        <f>data!AC64</f>
        <v>571728.28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146018.16</v>
      </c>
      <c r="E111" s="287">
        <f>data!Z65</f>
        <v>0</v>
      </c>
      <c r="F111" s="287">
        <f>data!AA65</f>
        <v>0</v>
      </c>
      <c r="G111" s="287">
        <f>data!AB65</f>
        <v>4500.37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226407.75</v>
      </c>
      <c r="D112" s="287">
        <f>data!Y66</f>
        <v>655474.9</v>
      </c>
      <c r="E112" s="287">
        <f>data!Z66</f>
        <v>799695.88</v>
      </c>
      <c r="F112" s="287">
        <f>data!AA66</f>
        <v>44366.79</v>
      </c>
      <c r="G112" s="287">
        <f>data!AB66</f>
        <v>54263.25</v>
      </c>
      <c r="H112" s="287">
        <f>data!AC66</f>
        <v>1573.93</v>
      </c>
      <c r="I112" s="287">
        <f>data!AD66</f>
        <v>1395604.31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43507</v>
      </c>
      <c r="D113" s="287">
        <f>data!Y67</f>
        <v>735962</v>
      </c>
      <c r="E113" s="287">
        <f>data!Z67</f>
        <v>231000</v>
      </c>
      <c r="F113" s="287">
        <f>data!AA67</f>
        <v>41633</v>
      </c>
      <c r="G113" s="287">
        <f>data!AB67</f>
        <v>187475</v>
      </c>
      <c r="H113" s="287">
        <f>data!AC67</f>
        <v>55971</v>
      </c>
      <c r="I113" s="287">
        <f>data!AD67</f>
        <v>4858</v>
      </c>
    </row>
    <row r="114" spans="1:9" ht="20.149999999999999" customHeight="1" x14ac:dyDescent="0.35">
      <c r="A114" s="279">
        <v>13</v>
      </c>
      <c r="B114" s="287" t="s">
        <v>975</v>
      </c>
      <c r="C114" s="287">
        <f>data!X68</f>
        <v>1147.95</v>
      </c>
      <c r="D114" s="287">
        <f>data!Y68</f>
        <v>313699.03999999998</v>
      </c>
      <c r="E114" s="287">
        <f>data!Z68</f>
        <v>4843.1099999999997</v>
      </c>
      <c r="F114" s="287">
        <f>data!AA68</f>
        <v>1093.42</v>
      </c>
      <c r="G114" s="287">
        <f>data!AB68</f>
        <v>100716</v>
      </c>
      <c r="H114" s="287">
        <f>data!AC68</f>
        <v>31965.31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976</v>
      </c>
      <c r="C115" s="287">
        <f>data!X69</f>
        <v>172007.57000000004</v>
      </c>
      <c r="D115" s="287">
        <f>data!Y69</f>
        <v>1712857.7</v>
      </c>
      <c r="E115" s="287">
        <f>data!Z69</f>
        <v>909067.48</v>
      </c>
      <c r="F115" s="287">
        <f>data!AA69</f>
        <v>355613.91000000003</v>
      </c>
      <c r="G115" s="287">
        <f>data!AB69</f>
        <v>670003.91</v>
      </c>
      <c r="H115" s="287">
        <f>data!AC69</f>
        <v>1674502.62</v>
      </c>
      <c r="I115" s="287">
        <f>data!AD69</f>
        <v>7444.39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68621.649999999994</v>
      </c>
      <c r="E116" s="287">
        <f>-data!Z84</f>
        <v>0</v>
      </c>
      <c r="F116" s="287">
        <f>-data!AA84</f>
        <v>0</v>
      </c>
      <c r="G116" s="287">
        <f>-data!AB84</f>
        <v>-206931.20000000001</v>
      </c>
      <c r="H116" s="287">
        <f>-data!AC84</f>
        <v>32520.5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977</v>
      </c>
      <c r="C117" s="287">
        <f>data!X85</f>
        <v>2551235.79</v>
      </c>
      <c r="D117" s="287">
        <f>data!Y85</f>
        <v>20525798.869999997</v>
      </c>
      <c r="E117" s="287">
        <f>data!Z85</f>
        <v>3587355.4699999997</v>
      </c>
      <c r="F117" s="287">
        <f>data!AA85</f>
        <v>1654878.8600000003</v>
      </c>
      <c r="G117" s="287">
        <f>data!AB85</f>
        <v>20761713.860000003</v>
      </c>
      <c r="H117" s="287">
        <f>data!AC85</f>
        <v>4756991.8600000003</v>
      </c>
      <c r="I117" s="287">
        <f>data!AD85</f>
        <v>1407906.7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978</v>
      </c>
      <c r="C119" s="295">
        <f>+data!M689</f>
        <v>3377248</v>
      </c>
      <c r="D119" s="295">
        <f>+data!M690</f>
        <v>5312255</v>
      </c>
      <c r="E119" s="295">
        <f>+data!M691</f>
        <v>873251</v>
      </c>
      <c r="F119" s="295">
        <f>+data!M692</f>
        <v>400284</v>
      </c>
      <c r="G119" s="295">
        <f>+data!M693</f>
        <v>4066709</v>
      </c>
      <c r="H119" s="295">
        <f>+data!M694</f>
        <v>1074716</v>
      </c>
      <c r="I119" s="295">
        <f>+data!M695</f>
        <v>185771</v>
      </c>
    </row>
    <row r="120" spans="1:9" ht="20.149999999999999" customHeight="1" x14ac:dyDescent="0.35">
      <c r="A120" s="279">
        <v>19</v>
      </c>
      <c r="B120" s="295" t="s">
        <v>979</v>
      </c>
      <c r="C120" s="287">
        <f>data!X87</f>
        <v>23280938.350000001</v>
      </c>
      <c r="D120" s="287">
        <f>data!Y87</f>
        <v>31055009.140000001</v>
      </c>
      <c r="E120" s="287">
        <f>data!Z87</f>
        <v>216466.63</v>
      </c>
      <c r="F120" s="287">
        <f>data!AA87</f>
        <v>187070.28</v>
      </c>
      <c r="G120" s="287">
        <f>data!AB87</f>
        <v>42025238.579999998</v>
      </c>
      <c r="H120" s="287">
        <f>data!AC87</f>
        <v>23813895.07</v>
      </c>
      <c r="I120" s="287">
        <f>data!AD87</f>
        <v>3262259.3</v>
      </c>
    </row>
    <row r="121" spans="1:9" ht="20.149999999999999" customHeight="1" x14ac:dyDescent="0.35">
      <c r="A121" s="279">
        <v>20</v>
      </c>
      <c r="B121" s="295" t="s">
        <v>980</v>
      </c>
      <c r="C121" s="287">
        <f>data!X88</f>
        <v>80008178.469999999</v>
      </c>
      <c r="D121" s="287">
        <f>data!Y88</f>
        <v>99726707.25</v>
      </c>
      <c r="E121" s="287">
        <f>data!Z88</f>
        <v>23843875.41</v>
      </c>
      <c r="F121" s="287">
        <f>data!AA88</f>
        <v>8047720.0499999998</v>
      </c>
      <c r="G121" s="287">
        <f>data!AB88</f>
        <v>40490837.460000001</v>
      </c>
      <c r="H121" s="287">
        <f>data!AC88</f>
        <v>1633557.95</v>
      </c>
      <c r="I121" s="287">
        <f>data!AD88</f>
        <v>305029.21999999997</v>
      </c>
    </row>
    <row r="122" spans="1:9" ht="20.149999999999999" customHeight="1" x14ac:dyDescent="0.35">
      <c r="A122" s="279">
        <v>21</v>
      </c>
      <c r="B122" s="295" t="s">
        <v>981</v>
      </c>
      <c r="C122" s="287">
        <f>data!X89</f>
        <v>103289116.81999999</v>
      </c>
      <c r="D122" s="287">
        <f>data!Y89</f>
        <v>130781716.39</v>
      </c>
      <c r="E122" s="287">
        <f>data!Z89</f>
        <v>24060342.039999999</v>
      </c>
      <c r="F122" s="287">
        <f>data!AA89</f>
        <v>8234790.3300000001</v>
      </c>
      <c r="G122" s="287">
        <f>data!AB89</f>
        <v>82516076.039999992</v>
      </c>
      <c r="H122" s="287">
        <f>data!AC89</f>
        <v>25447453.02</v>
      </c>
      <c r="I122" s="287">
        <f>data!AD89</f>
        <v>3567288.5199999996</v>
      </c>
    </row>
    <row r="123" spans="1:9" ht="20.149999999999999" customHeight="1" x14ac:dyDescent="0.35">
      <c r="A123" s="279" t="s">
        <v>982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983</v>
      </c>
      <c r="C124" s="287">
        <f>data!X90</f>
        <v>2391</v>
      </c>
      <c r="D124" s="287">
        <f>data!Y90</f>
        <v>40446</v>
      </c>
      <c r="E124" s="287">
        <f>data!Z90</f>
        <v>12695</v>
      </c>
      <c r="F124" s="287">
        <f>data!AA90</f>
        <v>2288</v>
      </c>
      <c r="G124" s="287">
        <f>data!AB90</f>
        <v>10303</v>
      </c>
      <c r="H124" s="287">
        <f>data!AC90</f>
        <v>3076</v>
      </c>
      <c r="I124" s="287">
        <f>data!AD90</f>
        <v>267</v>
      </c>
    </row>
    <row r="125" spans="1:9" ht="20.149999999999999" customHeight="1" x14ac:dyDescent="0.35">
      <c r="A125" s="279">
        <v>23</v>
      </c>
      <c r="B125" s="287" t="s">
        <v>984</v>
      </c>
      <c r="C125" s="287">
        <f>data!X91</f>
        <v>0</v>
      </c>
      <c r="D125" s="287">
        <f>data!Y91</f>
        <v>1138.05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985</v>
      </c>
      <c r="C126" s="287">
        <f>data!X92</f>
        <v>377</v>
      </c>
      <c r="D126" s="287">
        <f>data!Y92</f>
        <v>7631</v>
      </c>
      <c r="E126" s="287">
        <f>data!Z92</f>
        <v>2132</v>
      </c>
      <c r="F126" s="287">
        <f>data!AA92</f>
        <v>1326</v>
      </c>
      <c r="G126" s="287">
        <f>data!AB92</f>
        <v>1339</v>
      </c>
      <c r="H126" s="287">
        <f>data!AC92</f>
        <v>182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986</v>
      </c>
      <c r="C127" s="287">
        <f>data!X93</f>
        <v>31197.7</v>
      </c>
      <c r="D127" s="287">
        <f>data!Y93</f>
        <v>75366.92</v>
      </c>
      <c r="E127" s="287">
        <f>data!Z93</f>
        <v>0</v>
      </c>
      <c r="F127" s="287">
        <f>data!AA93</f>
        <v>5882.03</v>
      </c>
      <c r="G127" s="287">
        <f>data!AB93</f>
        <v>2734.6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6.52</v>
      </c>
      <c r="E128" s="294">
        <f>data!Z94</f>
        <v>4.43</v>
      </c>
      <c r="F128" s="294">
        <f>data!AA94</f>
        <v>0</v>
      </c>
      <c r="G128" s="294">
        <f>data!AB94</f>
        <v>-0.01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968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999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 xml:space="preserve">Hospital: YAKIMA VALLEY MEMORIAL 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970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1000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974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1001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61922</v>
      </c>
      <c r="D137" s="287">
        <f>data!AF59</f>
        <v>0</v>
      </c>
      <c r="E137" s="287">
        <f>data!AG59</f>
        <v>90053</v>
      </c>
      <c r="F137" s="287">
        <f>data!AH59</f>
        <v>0</v>
      </c>
      <c r="G137" s="287">
        <f>data!AI59</f>
        <v>0</v>
      </c>
      <c r="H137" s="287">
        <f>data!AJ59</f>
        <v>27989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26.55</v>
      </c>
      <c r="D138" s="294">
        <f>data!AF60</f>
        <v>0</v>
      </c>
      <c r="E138" s="294">
        <f>data!AG60</f>
        <v>96.02</v>
      </c>
      <c r="F138" s="294">
        <f>data!AH60</f>
        <v>0</v>
      </c>
      <c r="G138" s="294">
        <f>data!AI60</f>
        <v>0</v>
      </c>
      <c r="H138" s="294">
        <f>data!AJ60</f>
        <v>73.260000000000005</v>
      </c>
      <c r="I138" s="294">
        <f>data!AK60</f>
        <v>0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2494622.5499999998</v>
      </c>
      <c r="D139" s="287">
        <f>data!AF61</f>
        <v>0</v>
      </c>
      <c r="E139" s="287">
        <f>data!AG61</f>
        <v>9296582.4600000009</v>
      </c>
      <c r="F139" s="287">
        <f>data!AH61</f>
        <v>0</v>
      </c>
      <c r="G139" s="287">
        <f>data!AI61</f>
        <v>0</v>
      </c>
      <c r="H139" s="287">
        <f>data!AJ61</f>
        <v>8089455.0800000001</v>
      </c>
      <c r="I139" s="287">
        <f>data!AK61</f>
        <v>0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543742</v>
      </c>
      <c r="D140" s="287">
        <f>data!AF62</f>
        <v>0</v>
      </c>
      <c r="E140" s="287">
        <f>data!AG62</f>
        <v>2026335</v>
      </c>
      <c r="F140" s="287">
        <f>data!AH62</f>
        <v>0</v>
      </c>
      <c r="G140" s="287">
        <f>data!AI62</f>
        <v>0</v>
      </c>
      <c r="H140" s="287">
        <f>data!AJ62</f>
        <v>1763223</v>
      </c>
      <c r="I140" s="287">
        <f>data!AK62</f>
        <v>0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12451261.539999999</v>
      </c>
      <c r="F141" s="287">
        <f>data!AH63</f>
        <v>0</v>
      </c>
      <c r="G141" s="287">
        <f>data!AI63</f>
        <v>0</v>
      </c>
      <c r="H141" s="287">
        <f>data!AJ63</f>
        <v>-119241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20158.47</v>
      </c>
      <c r="D142" s="287">
        <f>data!AF64</f>
        <v>0</v>
      </c>
      <c r="E142" s="287">
        <f>data!AG64</f>
        <v>2174610.86</v>
      </c>
      <c r="F142" s="287">
        <f>data!AH64</f>
        <v>0</v>
      </c>
      <c r="G142" s="287">
        <f>data!AI64</f>
        <v>0</v>
      </c>
      <c r="H142" s="287">
        <f>data!AJ64</f>
        <v>25994577.870000001</v>
      </c>
      <c r="I142" s="287">
        <f>data!AK64</f>
        <v>0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11861.61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157754.66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2482.1799999999998</v>
      </c>
      <c r="D144" s="287">
        <f>data!AF66</f>
        <v>0</v>
      </c>
      <c r="E144" s="287">
        <f>data!AG66</f>
        <v>1087773.4099999999</v>
      </c>
      <c r="F144" s="287">
        <f>data!AH66</f>
        <v>0</v>
      </c>
      <c r="G144" s="287">
        <f>data!AI66</f>
        <v>0</v>
      </c>
      <c r="H144" s="287">
        <f>data!AJ66</f>
        <v>40421.919999999998</v>
      </c>
      <c r="I144" s="287">
        <f>data!AK66</f>
        <v>0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200722</v>
      </c>
      <c r="D145" s="287">
        <f>data!AF67</f>
        <v>0</v>
      </c>
      <c r="E145" s="287">
        <f>data!AG67</f>
        <v>326039</v>
      </c>
      <c r="F145" s="287">
        <f>data!AH67</f>
        <v>0</v>
      </c>
      <c r="G145" s="287">
        <f>data!AI67</f>
        <v>0</v>
      </c>
      <c r="H145" s="287">
        <f>data!AJ67</f>
        <v>309007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975</v>
      </c>
      <c r="C146" s="287">
        <f>data!AE68</f>
        <v>121576.31</v>
      </c>
      <c r="D146" s="287">
        <f>data!AF68</f>
        <v>0</v>
      </c>
      <c r="E146" s="287">
        <f>data!AG68</f>
        <v>7683.48</v>
      </c>
      <c r="F146" s="287">
        <f>data!AH68</f>
        <v>0</v>
      </c>
      <c r="G146" s="287">
        <f>data!AI68</f>
        <v>0</v>
      </c>
      <c r="H146" s="287">
        <f>data!AJ68</f>
        <v>99815.77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976</v>
      </c>
      <c r="C147" s="287">
        <f>data!AE69</f>
        <v>27101.29</v>
      </c>
      <c r="D147" s="287">
        <f>data!AF69</f>
        <v>0</v>
      </c>
      <c r="E147" s="287">
        <f>data!AG69</f>
        <v>3548483.4899999998</v>
      </c>
      <c r="F147" s="287">
        <f>data!AH69</f>
        <v>0</v>
      </c>
      <c r="G147" s="287">
        <f>data!AI69</f>
        <v>0</v>
      </c>
      <c r="H147" s="287">
        <f>data!AJ69</f>
        <v>787169.73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-179274.85</v>
      </c>
      <c r="D148" s="287">
        <f>-data!AF84</f>
        <v>0</v>
      </c>
      <c r="E148" s="287">
        <f>-data!AG84</f>
        <v>-51466.44</v>
      </c>
      <c r="F148" s="287">
        <f>-data!AH84</f>
        <v>0</v>
      </c>
      <c r="G148" s="287">
        <f>-data!AI84</f>
        <v>0</v>
      </c>
      <c r="H148" s="287">
        <f>-data!AJ84</f>
        <v>-693479.53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977</v>
      </c>
      <c r="C149" s="287">
        <f>data!AE85</f>
        <v>3242991.56</v>
      </c>
      <c r="D149" s="287">
        <f>data!AF85</f>
        <v>0</v>
      </c>
      <c r="E149" s="287">
        <f>data!AG85</f>
        <v>30867302.799999997</v>
      </c>
      <c r="F149" s="287">
        <f>data!AH85</f>
        <v>0</v>
      </c>
      <c r="G149" s="287">
        <f>data!AI85</f>
        <v>0</v>
      </c>
      <c r="H149" s="287">
        <f>data!AJ85</f>
        <v>36428704.5</v>
      </c>
      <c r="I149" s="287">
        <f>data!AK85</f>
        <v>0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978</v>
      </c>
      <c r="C151" s="295">
        <f>+data!M696</f>
        <v>388375</v>
      </c>
      <c r="D151" s="295">
        <f>+data!M697</f>
        <v>0</v>
      </c>
      <c r="E151" s="295">
        <f>+data!M698</f>
        <v>9445514</v>
      </c>
      <c r="F151" s="295">
        <f>+data!M699</f>
        <v>0</v>
      </c>
      <c r="G151" s="295">
        <f>+data!M700</f>
        <v>0</v>
      </c>
      <c r="H151" s="295">
        <f>+data!M701</f>
        <v>8914237</v>
      </c>
      <c r="I151" s="295">
        <f>+data!M702</f>
        <v>0</v>
      </c>
    </row>
    <row r="152" spans="1:9" ht="20.149999999999999" customHeight="1" x14ac:dyDescent="0.35">
      <c r="A152" s="279">
        <v>19</v>
      </c>
      <c r="B152" s="295" t="s">
        <v>979</v>
      </c>
      <c r="C152" s="287">
        <f>data!AE87</f>
        <v>3371076.29</v>
      </c>
      <c r="D152" s="287">
        <f>data!AF87</f>
        <v>0</v>
      </c>
      <c r="E152" s="287">
        <f>data!AG87</f>
        <v>36728691</v>
      </c>
      <c r="F152" s="287">
        <f>data!AH87</f>
        <v>0</v>
      </c>
      <c r="G152" s="287">
        <f>data!AI87</f>
        <v>0</v>
      </c>
      <c r="H152" s="287">
        <f>data!AJ87</f>
        <v>1150888.9099999999</v>
      </c>
      <c r="I152" s="287">
        <f>data!AK87</f>
        <v>0</v>
      </c>
    </row>
    <row r="153" spans="1:9" ht="20.149999999999999" customHeight="1" x14ac:dyDescent="0.35">
      <c r="A153" s="279">
        <v>20</v>
      </c>
      <c r="B153" s="295" t="s">
        <v>980</v>
      </c>
      <c r="C153" s="287">
        <f>data!AE88</f>
        <v>4534028.1900000004</v>
      </c>
      <c r="D153" s="287">
        <f>data!AF88</f>
        <v>0</v>
      </c>
      <c r="E153" s="287">
        <f>data!AG88</f>
        <v>154640506.90000001</v>
      </c>
      <c r="F153" s="287">
        <f>data!AH88</f>
        <v>0</v>
      </c>
      <c r="G153" s="287">
        <f>data!AI88</f>
        <v>0</v>
      </c>
      <c r="H153" s="287">
        <f>data!AJ88</f>
        <v>192149467.24000001</v>
      </c>
      <c r="I153" s="287">
        <f>data!AK88</f>
        <v>0</v>
      </c>
    </row>
    <row r="154" spans="1:9" ht="20.149999999999999" customHeight="1" x14ac:dyDescent="0.35">
      <c r="A154" s="279">
        <v>21</v>
      </c>
      <c r="B154" s="295" t="s">
        <v>981</v>
      </c>
      <c r="C154" s="287">
        <f>data!AE89</f>
        <v>7905104.4800000004</v>
      </c>
      <c r="D154" s="287">
        <f>data!AF89</f>
        <v>0</v>
      </c>
      <c r="E154" s="287">
        <f>data!AG89</f>
        <v>191369197.90000001</v>
      </c>
      <c r="F154" s="287">
        <f>data!AH89</f>
        <v>0</v>
      </c>
      <c r="G154" s="287">
        <f>data!AI89</f>
        <v>0</v>
      </c>
      <c r="H154" s="287">
        <f>data!AJ89</f>
        <v>193300356.15000001</v>
      </c>
      <c r="I154" s="287">
        <f>data!AK89</f>
        <v>0</v>
      </c>
    </row>
    <row r="155" spans="1:9" ht="20.149999999999999" customHeight="1" x14ac:dyDescent="0.35">
      <c r="A155" s="279" t="s">
        <v>982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983</v>
      </c>
      <c r="C156" s="287">
        <f>data!AE90</f>
        <v>11031</v>
      </c>
      <c r="D156" s="287">
        <f>data!AF90</f>
        <v>0</v>
      </c>
      <c r="E156" s="287">
        <f>data!AG90</f>
        <v>17918</v>
      </c>
      <c r="F156" s="287">
        <f>data!AH90</f>
        <v>0</v>
      </c>
      <c r="G156" s="287">
        <f>data!AI90</f>
        <v>0</v>
      </c>
      <c r="H156" s="287">
        <f>data!AJ90</f>
        <v>16982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984</v>
      </c>
      <c r="C157" s="287">
        <f>data!AE91</f>
        <v>0</v>
      </c>
      <c r="D157" s="287">
        <f>data!AF91</f>
        <v>0</v>
      </c>
      <c r="E157" s="287">
        <f>data!AG91</f>
        <v>9237.27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985</v>
      </c>
      <c r="C158" s="287">
        <f>data!AE92</f>
        <v>2002</v>
      </c>
      <c r="D158" s="287">
        <f>data!AF92</f>
        <v>0</v>
      </c>
      <c r="E158" s="287">
        <f>data!AG92</f>
        <v>17940</v>
      </c>
      <c r="F158" s="287">
        <f>data!AH92</f>
        <v>0</v>
      </c>
      <c r="G158" s="287">
        <f>data!AI92</f>
        <v>0</v>
      </c>
      <c r="H158" s="287">
        <f>data!AJ92</f>
        <v>5746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986</v>
      </c>
      <c r="C159" s="287">
        <f>data!AE93</f>
        <v>0</v>
      </c>
      <c r="D159" s="287">
        <f>data!AF93</f>
        <v>0</v>
      </c>
      <c r="E159" s="287">
        <f>data!AG93</f>
        <v>437689.53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69.14</v>
      </c>
      <c r="F160" s="294">
        <f>data!AH94</f>
        <v>0</v>
      </c>
      <c r="G160" s="294">
        <f>data!AI94</f>
        <v>0</v>
      </c>
      <c r="H160" s="294">
        <f>data!AJ94</f>
        <v>25.76</v>
      </c>
      <c r="I160" s="294">
        <f>data!AK94</f>
        <v>0</v>
      </c>
    </row>
    <row r="161" spans="1:9" ht="20.149999999999999" customHeight="1" x14ac:dyDescent="0.35">
      <c r="A161" s="280" t="s">
        <v>968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1002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 xml:space="preserve">Hospital: YAKIMA VALLEY MEMORIAL 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970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1003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1004</v>
      </c>
      <c r="F167" s="293" t="s">
        <v>194</v>
      </c>
      <c r="G167" s="293" t="s">
        <v>133</v>
      </c>
      <c r="H167" s="292" t="s">
        <v>1005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974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41712</v>
      </c>
      <c r="H169" s="287">
        <f>data!AQ59</f>
        <v>0</v>
      </c>
      <c r="I169" s="287">
        <f>data!AR59</f>
        <v>44432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397.98</v>
      </c>
      <c r="H170" s="294">
        <f>data!AQ60</f>
        <v>0</v>
      </c>
      <c r="I170" s="294">
        <f>data!AR60</f>
        <v>90.05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61670335.840000004</v>
      </c>
      <c r="H171" s="287">
        <f>data!AQ61</f>
        <v>0</v>
      </c>
      <c r="I171" s="287">
        <f>data!AR61</f>
        <v>8638668.9800000004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13442013</v>
      </c>
      <c r="H172" s="287">
        <f>data!AQ62</f>
        <v>0</v>
      </c>
      <c r="I172" s="287">
        <f>data!AR62</f>
        <v>1882933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8132359.8300000001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3150694.2</v>
      </c>
      <c r="H174" s="287">
        <f>data!AQ64</f>
        <v>0</v>
      </c>
      <c r="I174" s="287">
        <f>data!AR64</f>
        <v>1678197.5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384058.11</v>
      </c>
      <c r="H175" s="287">
        <f>data!AQ65</f>
        <v>0</v>
      </c>
      <c r="I175" s="287">
        <f>data!AR65</f>
        <v>68135.460000000006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3707010.56</v>
      </c>
      <c r="H176" s="287">
        <f>data!AQ66</f>
        <v>0</v>
      </c>
      <c r="I176" s="287">
        <f>data!AR66</f>
        <v>440143.39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3147027</v>
      </c>
      <c r="H177" s="287">
        <f>data!AQ67</f>
        <v>0</v>
      </c>
      <c r="I177" s="287">
        <f>data!AR67</f>
        <v>626658</v>
      </c>
    </row>
    <row r="178" spans="1:9" ht="20.149999999999999" customHeight="1" x14ac:dyDescent="0.35">
      <c r="A178" s="279">
        <v>13</v>
      </c>
      <c r="B178" s="287" t="s">
        <v>975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4507049.59</v>
      </c>
      <c r="H178" s="287">
        <f>data!AQ68</f>
        <v>0</v>
      </c>
      <c r="I178" s="287">
        <f>data!AR68</f>
        <v>215919.39</v>
      </c>
    </row>
    <row r="179" spans="1:9" ht="20.149999999999999" customHeight="1" x14ac:dyDescent="0.35">
      <c r="A179" s="279">
        <v>14</v>
      </c>
      <c r="B179" s="287" t="s">
        <v>976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4576903.5399999991</v>
      </c>
      <c r="H179" s="287">
        <f>data!AQ69</f>
        <v>0</v>
      </c>
      <c r="I179" s="287">
        <f>data!AR69</f>
        <v>773675.39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977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102291408.88000001</v>
      </c>
      <c r="H181" s="287">
        <f>data!AQ85</f>
        <v>0</v>
      </c>
      <c r="I181" s="287">
        <f>data!AR85</f>
        <v>14120658.030000003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978</v>
      </c>
      <c r="C183" s="295">
        <f>+data!M703</f>
        <v>0</v>
      </c>
      <c r="D183" s="295">
        <f>+data!M704</f>
        <v>0</v>
      </c>
      <c r="E183" s="295">
        <f>+data!M705</f>
        <v>0</v>
      </c>
      <c r="F183" s="295">
        <f>+data!M706</f>
        <v>0</v>
      </c>
      <c r="G183" s="295">
        <f>+data!M707</f>
        <v>9916729</v>
      </c>
      <c r="H183" s="295">
        <f>+data!M708</f>
        <v>0</v>
      </c>
      <c r="I183" s="295">
        <f>+data!M709</f>
        <v>1678646</v>
      </c>
    </row>
    <row r="184" spans="1:9" ht="20.149999999999999" customHeight="1" x14ac:dyDescent="0.35">
      <c r="A184" s="279">
        <v>19</v>
      </c>
      <c r="B184" s="295" t="s">
        <v>979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20217812.32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980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139983084.44999999</v>
      </c>
      <c r="H185" s="287">
        <f>data!AQ88</f>
        <v>0</v>
      </c>
      <c r="I185" s="287">
        <f>data!AR88</f>
        <v>20598741.800000001</v>
      </c>
    </row>
    <row r="186" spans="1:9" ht="20.149999999999999" customHeight="1" x14ac:dyDescent="0.35">
      <c r="A186" s="279">
        <v>21</v>
      </c>
      <c r="B186" s="295" t="s">
        <v>981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160200896.76999998</v>
      </c>
      <c r="H186" s="287">
        <f>data!AQ89</f>
        <v>0</v>
      </c>
      <c r="I186" s="287">
        <f>data!AR89</f>
        <v>20598741.800000001</v>
      </c>
    </row>
    <row r="187" spans="1:9" ht="20.149999999999999" customHeight="1" x14ac:dyDescent="0.35">
      <c r="A187" s="279" t="s">
        <v>982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983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172950</v>
      </c>
      <c r="H188" s="287">
        <f>data!AQ90</f>
        <v>0</v>
      </c>
      <c r="I188" s="287">
        <f>data!AR90</f>
        <v>34439</v>
      </c>
    </row>
    <row r="189" spans="1:9" ht="20.149999999999999" customHeight="1" x14ac:dyDescent="0.35">
      <c r="A189" s="279">
        <v>23</v>
      </c>
      <c r="B189" s="287" t="s">
        <v>984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985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8281</v>
      </c>
      <c r="H190" s="287">
        <f>data!AQ92</f>
        <v>0</v>
      </c>
      <c r="I190" s="287">
        <f>data!AR92</f>
        <v>6747</v>
      </c>
    </row>
    <row r="191" spans="1:9" ht="20.149999999999999" customHeight="1" x14ac:dyDescent="0.35">
      <c r="A191" s="279">
        <v>25</v>
      </c>
      <c r="B191" s="287" t="s">
        <v>986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3937.85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116.7</v>
      </c>
      <c r="H192" s="294">
        <f>data!AQ94</f>
        <v>0</v>
      </c>
      <c r="I192" s="294">
        <f>data!AR94</f>
        <v>39.94</v>
      </c>
    </row>
    <row r="193" spans="1:9" ht="20.149999999999999" customHeight="1" x14ac:dyDescent="0.35">
      <c r="A193" s="280" t="s">
        <v>968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1006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 xml:space="preserve">Hospital: YAKIMA VALLEY MEMORIAL 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970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1007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1008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974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197802.78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131.6</v>
      </c>
      <c r="G202" s="294">
        <f>data!AW60</f>
        <v>0</v>
      </c>
      <c r="H202" s="294">
        <f>data!AX60</f>
        <v>0</v>
      </c>
      <c r="I202" s="294">
        <f>data!AY60</f>
        <v>36.5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22424478.260000002</v>
      </c>
      <c r="G203" s="287">
        <f>data!AW61</f>
        <v>0</v>
      </c>
      <c r="H203" s="287">
        <f>data!AX61</f>
        <v>0</v>
      </c>
      <c r="I203" s="287">
        <f>data!AY61</f>
        <v>1829459.29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4887765</v>
      </c>
      <c r="G204" s="287">
        <f>data!AW62</f>
        <v>0</v>
      </c>
      <c r="H204" s="287">
        <f>data!AX62</f>
        <v>0</v>
      </c>
      <c r="I204" s="287">
        <f>data!AY62</f>
        <v>398759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3169615.49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9546769.1099999994</v>
      </c>
      <c r="G206" s="287">
        <f>data!AW64</f>
        <v>0</v>
      </c>
      <c r="H206" s="287">
        <f>data!AX64</f>
        <v>0</v>
      </c>
      <c r="I206" s="287">
        <f>data!AY64</f>
        <v>597160.79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57761.77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378599.16</v>
      </c>
      <c r="G208" s="287">
        <f>data!AW66</f>
        <v>0</v>
      </c>
      <c r="H208" s="287">
        <f>data!AX66</f>
        <v>0</v>
      </c>
      <c r="I208" s="287">
        <f>data!AY66</f>
        <v>0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198120</v>
      </c>
      <c r="G209" s="287">
        <f>data!AW67</f>
        <v>0</v>
      </c>
      <c r="H209" s="287">
        <f>data!AX67</f>
        <v>0</v>
      </c>
      <c r="I209" s="287">
        <f>data!AY67</f>
        <v>120659</v>
      </c>
    </row>
    <row r="210" spans="1:9" ht="20.149999999999999" customHeight="1" x14ac:dyDescent="0.35">
      <c r="A210" s="279">
        <v>13</v>
      </c>
      <c r="B210" s="287" t="s">
        <v>975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496181.86</v>
      </c>
      <c r="G210" s="287">
        <f>data!AW68</f>
        <v>0</v>
      </c>
      <c r="H210" s="287">
        <f>data!AX68</f>
        <v>0</v>
      </c>
      <c r="I210" s="287">
        <f>data!AY68</f>
        <v>13089.93</v>
      </c>
    </row>
    <row r="211" spans="1:9" ht="20.149999999999999" customHeight="1" x14ac:dyDescent="0.35">
      <c r="A211" s="279">
        <v>14</v>
      </c>
      <c r="B211" s="287" t="s">
        <v>976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1981890.88</v>
      </c>
      <c r="G211" s="287">
        <f>data!AW69</f>
        <v>0</v>
      </c>
      <c r="H211" s="287">
        <f>data!AX69</f>
        <v>0</v>
      </c>
      <c r="I211" s="287">
        <f>data!AY69</f>
        <v>131379.99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-8382333.21</v>
      </c>
      <c r="G212" s="287">
        <f>-data!AW84</f>
        <v>0</v>
      </c>
      <c r="H212" s="287">
        <f>-data!AX84</f>
        <v>0</v>
      </c>
      <c r="I212" s="287">
        <f>-data!AY84</f>
        <v>-2737.83</v>
      </c>
    </row>
    <row r="213" spans="1:9" ht="20.149999999999999" customHeight="1" x14ac:dyDescent="0.35">
      <c r="A213" s="279">
        <v>16</v>
      </c>
      <c r="B213" s="295" t="s">
        <v>977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34758848.32</v>
      </c>
      <c r="G213" s="287">
        <f>data!AW85</f>
        <v>0</v>
      </c>
      <c r="H213" s="287">
        <f>data!AX85</f>
        <v>0</v>
      </c>
      <c r="I213" s="287">
        <f>data!AY85</f>
        <v>3087770.17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978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7488101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979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18217890.850000001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980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134021228.29000001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981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152239119.14000002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982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983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10888</v>
      </c>
      <c r="G220" s="287">
        <f>data!AW90</f>
        <v>0</v>
      </c>
      <c r="H220" s="287">
        <f>data!AX90</f>
        <v>0</v>
      </c>
      <c r="I220" s="287">
        <f>data!AY90</f>
        <v>6631</v>
      </c>
    </row>
    <row r="221" spans="1:9" ht="20.149999999999999" customHeight="1" x14ac:dyDescent="0.35">
      <c r="A221" s="279">
        <v>23</v>
      </c>
      <c r="B221" s="287" t="s">
        <v>984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>
        <f>IF(data!AY77&gt;0,data!AY77,"")</f>
        <v>18002.939999999999</v>
      </c>
    </row>
    <row r="222" spans="1:9" ht="20.149999999999999" customHeight="1" x14ac:dyDescent="0.35">
      <c r="A222" s="279">
        <v>24</v>
      </c>
      <c r="B222" s="287" t="s">
        <v>985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5447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986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14150.91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23.16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968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1009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 xml:space="preserve">Hospital: YAKIMA VALLEY MEMORIAL 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970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1010</v>
      </c>
      <c r="F231" s="293" t="s">
        <v>1011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974</v>
      </c>
      <c r="C232" s="289" t="s">
        <v>1012</v>
      </c>
      <c r="D232" s="289" t="s">
        <v>1013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1070776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24.93</v>
      </c>
      <c r="D234" s="294">
        <f>data!BA60</f>
        <v>3.51</v>
      </c>
      <c r="E234" s="294">
        <f>data!BB60</f>
        <v>0</v>
      </c>
      <c r="F234" s="294">
        <f>data!BC60</f>
        <v>0</v>
      </c>
      <c r="G234" s="294">
        <f>data!BD60</f>
        <v>19.64</v>
      </c>
      <c r="H234" s="294">
        <f>data!BE60</f>
        <v>22.92</v>
      </c>
      <c r="I234" s="294">
        <f>data!BF60</f>
        <v>68.680000000000007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1016708.18</v>
      </c>
      <c r="D235" s="287">
        <f>data!BA61</f>
        <v>135513.01</v>
      </c>
      <c r="E235" s="287">
        <f>data!BB61</f>
        <v>0</v>
      </c>
      <c r="F235" s="287">
        <f>data!BC61</f>
        <v>0</v>
      </c>
      <c r="G235" s="287">
        <f>data!BD61</f>
        <v>1106278.55</v>
      </c>
      <c r="H235" s="287">
        <f>data!BE61</f>
        <v>1501355.29</v>
      </c>
      <c r="I235" s="287">
        <f>data!BF61</f>
        <v>2551926.65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221607</v>
      </c>
      <c r="D236" s="287">
        <f>data!BA62</f>
        <v>29537</v>
      </c>
      <c r="E236" s="287">
        <f>data!BB62</f>
        <v>0</v>
      </c>
      <c r="F236" s="287">
        <f>data!BC62</f>
        <v>0</v>
      </c>
      <c r="G236" s="287">
        <f>data!BD62</f>
        <v>241131</v>
      </c>
      <c r="H236" s="287">
        <f>data!BE62</f>
        <v>327244</v>
      </c>
      <c r="I236" s="287">
        <f>data!BF62</f>
        <v>556232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933337.1</v>
      </c>
      <c r="D238" s="287">
        <f>data!BA64</f>
        <v>382666.36</v>
      </c>
      <c r="E238" s="287">
        <f>data!BB64</f>
        <v>0</v>
      </c>
      <c r="F238" s="287">
        <f>data!BC64</f>
        <v>0</v>
      </c>
      <c r="G238" s="287">
        <f>data!BD64</f>
        <v>-4340.3</v>
      </c>
      <c r="H238" s="287">
        <f>data!BE64</f>
        <v>157430.44</v>
      </c>
      <c r="I238" s="287">
        <f>data!BF64</f>
        <v>303187.36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2023754.33</v>
      </c>
      <c r="I239" s="287">
        <f>data!BF65</f>
        <v>100132.83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675.79</v>
      </c>
      <c r="D240" s="287">
        <f>data!BA66</f>
        <v>52445.19</v>
      </c>
      <c r="E240" s="287">
        <f>data!BB66</f>
        <v>0</v>
      </c>
      <c r="F240" s="287">
        <f>data!BC66</f>
        <v>0</v>
      </c>
      <c r="G240" s="287">
        <f>data!BD66</f>
        <v>3807.27</v>
      </c>
      <c r="H240" s="287">
        <f>data!BE66</f>
        <v>313906.94</v>
      </c>
      <c r="I240" s="287">
        <f>data!BF66</f>
        <v>239186.3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80081</v>
      </c>
      <c r="D241" s="287">
        <f>data!BA67</f>
        <v>47783</v>
      </c>
      <c r="E241" s="287">
        <f>data!BB67</f>
        <v>0</v>
      </c>
      <c r="F241" s="287">
        <f>data!BC67</f>
        <v>0</v>
      </c>
      <c r="G241" s="287">
        <f>data!BD67</f>
        <v>121223</v>
      </c>
      <c r="H241" s="287">
        <f>data!BE67</f>
        <v>7764504</v>
      </c>
      <c r="I241" s="287">
        <f>data!BF67</f>
        <v>25820</v>
      </c>
    </row>
    <row r="242" spans="1:9" ht="20.149999999999999" customHeight="1" x14ac:dyDescent="0.35">
      <c r="A242" s="279">
        <v>13</v>
      </c>
      <c r="B242" s="287" t="s">
        <v>975</v>
      </c>
      <c r="C242" s="287">
        <f>data!AZ68</f>
        <v>104.742</v>
      </c>
      <c r="D242" s="287">
        <f>data!BA68</f>
        <v>209744.67</v>
      </c>
      <c r="E242" s="287">
        <f>data!BB68</f>
        <v>0</v>
      </c>
      <c r="F242" s="287">
        <f>data!BC68</f>
        <v>0</v>
      </c>
      <c r="G242" s="287">
        <f>data!BD68</f>
        <v>14284.95</v>
      </c>
      <c r="H242" s="287">
        <f>data!BE68</f>
        <v>-49663.37</v>
      </c>
      <c r="I242" s="287">
        <f>data!BF68</f>
        <v>3311.09</v>
      </c>
    </row>
    <row r="243" spans="1:9" ht="20.149999999999999" customHeight="1" x14ac:dyDescent="0.35">
      <c r="A243" s="279">
        <v>14</v>
      </c>
      <c r="B243" s="287" t="s">
        <v>976</v>
      </c>
      <c r="C243" s="287">
        <f>data!AZ69</f>
        <v>201243.28</v>
      </c>
      <c r="D243" s="287">
        <f>data!BA69</f>
        <v>540488.68000000005</v>
      </c>
      <c r="E243" s="287">
        <f>data!BB69</f>
        <v>0</v>
      </c>
      <c r="F243" s="287">
        <f>data!BC69</f>
        <v>0</v>
      </c>
      <c r="G243" s="287">
        <f>data!BD69</f>
        <v>805489.91999999993</v>
      </c>
      <c r="H243" s="287">
        <f>data!BE69</f>
        <v>2168372.3899999997</v>
      </c>
      <c r="I243" s="287">
        <f>data!BF69</f>
        <v>1242582.3900000001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-2131234.65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-334888.44</v>
      </c>
      <c r="H244" s="287">
        <f>-data!BE84</f>
        <v>-4000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977</v>
      </c>
      <c r="C245" s="287">
        <f>data!AZ85</f>
        <v>322522.44200000027</v>
      </c>
      <c r="D245" s="287">
        <f>data!BA85</f>
        <v>1398177.9100000001</v>
      </c>
      <c r="E245" s="287">
        <f>data!BB85</f>
        <v>0</v>
      </c>
      <c r="F245" s="287">
        <f>data!BC85</f>
        <v>0</v>
      </c>
      <c r="G245" s="287">
        <f>data!BD85</f>
        <v>1952985.9499999997</v>
      </c>
      <c r="H245" s="287">
        <f>data!BE85</f>
        <v>14202904.02</v>
      </c>
      <c r="I245" s="287">
        <f>data!BF85</f>
        <v>5022378.6199999992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978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979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980</v>
      </c>
      <c r="C249" s="302" t="str">
        <f>IF(data!AZ74&gt;0,data!AZ74,"")</f>
        <v/>
      </c>
      <c r="D249" s="302">
        <f>IF(data!BA74&gt;0,data!BA74,"")</f>
        <v>540206.64</v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>
        <f>IF(data!BE74&gt;0,data!BE74,"")</f>
        <v>65.88</v>
      </c>
      <c r="I249" s="302">
        <f>IF(data!BF74&gt;0,data!BF74,"")</f>
        <v>18422.47</v>
      </c>
    </row>
    <row r="250" spans="1:9" ht="20.149999999999999" customHeight="1" x14ac:dyDescent="0.35">
      <c r="A250" s="279">
        <v>21</v>
      </c>
      <c r="B250" s="295" t="s">
        <v>981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982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983</v>
      </c>
      <c r="C252" s="303">
        <f>data!AZ90</f>
        <v>4401</v>
      </c>
      <c r="D252" s="303">
        <f>data!BA90</f>
        <v>2626</v>
      </c>
      <c r="E252" s="303">
        <f>data!BB90</f>
        <v>0</v>
      </c>
      <c r="F252" s="303">
        <f>data!BC90</f>
        <v>0</v>
      </c>
      <c r="G252" s="303">
        <f>data!BD90</f>
        <v>6662</v>
      </c>
      <c r="H252" s="303">
        <f>data!BE90</f>
        <v>426711</v>
      </c>
      <c r="I252" s="303">
        <f>data!BF90</f>
        <v>1419</v>
      </c>
    </row>
    <row r="253" spans="1:9" ht="20.149999999999999" customHeight="1" x14ac:dyDescent="0.35">
      <c r="A253" s="279">
        <v>23</v>
      </c>
      <c r="B253" s="287" t="s">
        <v>984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>
        <f>IF(data!BD77&gt;0,data!BD77,"")</f>
        <v>32495.86</v>
      </c>
      <c r="H253" s="302">
        <f>IF(data!BE77&gt;0,data!BE77,"")</f>
        <v>428526.74</v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985</v>
      </c>
      <c r="C254" s="302" t="str">
        <f>IF(data!AZ78&gt;0,data!AZ78,"")</f>
        <v/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986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968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1014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 xml:space="preserve">Hospital: YAKIMA VALLEY MEMORIAL 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970</v>
      </c>
      <c r="C262" s="293" t="s">
        <v>1015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1016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1017</v>
      </c>
    </row>
    <row r="264" spans="1:9" ht="20.149999999999999" customHeight="1" x14ac:dyDescent="0.35">
      <c r="A264" s="279">
        <v>3</v>
      </c>
      <c r="B264" s="287" t="s">
        <v>974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3.64</v>
      </c>
      <c r="D266" s="294">
        <f>data!BH60</f>
        <v>25.2</v>
      </c>
      <c r="E266" s="294">
        <f>data!BI60</f>
        <v>29.1</v>
      </c>
      <c r="F266" s="294">
        <f>data!BJ60</f>
        <v>10.55</v>
      </c>
      <c r="G266" s="294">
        <f>data!BK60</f>
        <v>52.95</v>
      </c>
      <c r="H266" s="294">
        <f>data!BL60</f>
        <v>50.45</v>
      </c>
      <c r="I266" s="294">
        <f>data!BM60</f>
        <v>9.33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151027.10999999999</v>
      </c>
      <c r="D267" s="287">
        <f>data!BH61</f>
        <v>2079720.58</v>
      </c>
      <c r="E267" s="287">
        <f>data!BI61</f>
        <v>1294313.42</v>
      </c>
      <c r="F267" s="287">
        <f>data!BJ61</f>
        <v>698442.11</v>
      </c>
      <c r="G267" s="287">
        <f>data!BK61</f>
        <v>2629225.37</v>
      </c>
      <c r="H267" s="287">
        <f>data!BL61</f>
        <v>2455303.42</v>
      </c>
      <c r="I267" s="287">
        <f>data!BM61</f>
        <v>920274.76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32919</v>
      </c>
      <c r="D268" s="287">
        <f>data!BH62</f>
        <v>453308</v>
      </c>
      <c r="E268" s="287">
        <f>data!BI62</f>
        <v>282116</v>
      </c>
      <c r="F268" s="287">
        <f>data!BJ62</f>
        <v>152236</v>
      </c>
      <c r="G268" s="287">
        <f>data!BK62</f>
        <v>573081</v>
      </c>
      <c r="H268" s="287">
        <f>data!BL62</f>
        <v>535172</v>
      </c>
      <c r="I268" s="287">
        <f>data!BM62</f>
        <v>200588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58972.5</v>
      </c>
      <c r="E269" s="287">
        <f>data!BI63</f>
        <v>2708333.29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171.67</v>
      </c>
      <c r="D270" s="287">
        <f>data!BH64</f>
        <v>10094.73</v>
      </c>
      <c r="E270" s="287">
        <f>data!BI64</f>
        <v>18774.650000000001</v>
      </c>
      <c r="F270" s="287">
        <f>data!BJ64</f>
        <v>2784.33</v>
      </c>
      <c r="G270" s="287">
        <f>data!BK64</f>
        <v>10405.11</v>
      </c>
      <c r="H270" s="287">
        <f>data!BL64</f>
        <v>50632.44</v>
      </c>
      <c r="I270" s="287">
        <f>data!BM64</f>
        <v>1659.07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0</v>
      </c>
      <c r="E271" s="287">
        <f>data!BI65</f>
        <v>1381.47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18238.099999999999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46653.22</v>
      </c>
      <c r="D272" s="287">
        <f>data!BH66</f>
        <v>541852.29</v>
      </c>
      <c r="E272" s="287">
        <f>data!BI66</f>
        <v>550652.35</v>
      </c>
      <c r="F272" s="287">
        <f>data!BJ66</f>
        <v>49332.56</v>
      </c>
      <c r="G272" s="287">
        <f>data!BK66</f>
        <v>7117236.5800000001</v>
      </c>
      <c r="H272" s="287">
        <f>data!BL66</f>
        <v>1377641.48</v>
      </c>
      <c r="I272" s="287">
        <f>data!BM66</f>
        <v>108064.74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3566</v>
      </c>
      <c r="D273" s="287">
        <f>data!BH67</f>
        <v>115218</v>
      </c>
      <c r="E273" s="287">
        <f>data!BI67</f>
        <v>17305</v>
      </c>
      <c r="F273" s="287">
        <f>data!BJ67</f>
        <v>48038</v>
      </c>
      <c r="G273" s="287">
        <f>data!BK67</f>
        <v>154103</v>
      </c>
      <c r="H273" s="287">
        <f>data!BL67</f>
        <v>71711</v>
      </c>
      <c r="I273" s="287">
        <f>data!BM67</f>
        <v>40923</v>
      </c>
    </row>
    <row r="274" spans="1:9" ht="20.149999999999999" customHeight="1" x14ac:dyDescent="0.35">
      <c r="A274" s="279">
        <v>13</v>
      </c>
      <c r="B274" s="287" t="s">
        <v>975</v>
      </c>
      <c r="C274" s="287">
        <f>data!BG68</f>
        <v>325.08</v>
      </c>
      <c r="D274" s="287">
        <f>data!BH68</f>
        <v>33900.379999999997</v>
      </c>
      <c r="E274" s="287">
        <f>data!BI68</f>
        <v>1029.5</v>
      </c>
      <c r="F274" s="287">
        <f>data!BJ68</f>
        <v>3299.77</v>
      </c>
      <c r="G274" s="287">
        <f>data!BK68</f>
        <v>5661.65</v>
      </c>
      <c r="H274" s="287">
        <f>data!BL68</f>
        <v>15861.29</v>
      </c>
      <c r="I274" s="287">
        <f>data!BM68</f>
        <v>497.51</v>
      </c>
    </row>
    <row r="275" spans="1:9" ht="20.149999999999999" customHeight="1" x14ac:dyDescent="0.35">
      <c r="A275" s="279">
        <v>14</v>
      </c>
      <c r="B275" s="287" t="s">
        <v>976</v>
      </c>
      <c r="C275" s="287">
        <f>data!BG69</f>
        <v>211282.84</v>
      </c>
      <c r="D275" s="287">
        <f>data!BH69</f>
        <v>10682100.119999999</v>
      </c>
      <c r="E275" s="287">
        <f>data!BI69</f>
        <v>266723.26</v>
      </c>
      <c r="F275" s="287">
        <f>data!BJ69</f>
        <v>473628.53200000001</v>
      </c>
      <c r="G275" s="287">
        <f>data!BK69</f>
        <v>321615.05</v>
      </c>
      <c r="H275" s="287">
        <f>data!BL69</f>
        <v>53355.170000000006</v>
      </c>
      <c r="I275" s="287">
        <f>data!BM69</f>
        <v>149637.72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-3868.09</v>
      </c>
      <c r="E276" s="287">
        <f>-data!BI84</f>
        <v>0</v>
      </c>
      <c r="F276" s="287">
        <f>-data!BJ84</f>
        <v>-176592.7</v>
      </c>
      <c r="G276" s="287">
        <f>-data!BK84</f>
        <v>45</v>
      </c>
      <c r="H276" s="287">
        <f>-data!BL84</f>
        <v>129.13999999999999</v>
      </c>
      <c r="I276" s="287">
        <f>-data!BM84</f>
        <v>810</v>
      </c>
    </row>
    <row r="277" spans="1:9" ht="20.149999999999999" customHeight="1" x14ac:dyDescent="0.35">
      <c r="A277" s="279">
        <v>16</v>
      </c>
      <c r="B277" s="295" t="s">
        <v>977</v>
      </c>
      <c r="C277" s="287">
        <f>data!BG85</f>
        <v>445944.92</v>
      </c>
      <c r="D277" s="287">
        <f>data!BH85</f>
        <v>13971298.51</v>
      </c>
      <c r="E277" s="287">
        <f>data!BI85</f>
        <v>5140628.9399999995</v>
      </c>
      <c r="F277" s="287">
        <f>data!BJ85</f>
        <v>1251168.6020000002</v>
      </c>
      <c r="G277" s="287">
        <f>data!BK85</f>
        <v>10811372.760000002</v>
      </c>
      <c r="H277" s="287">
        <f>data!BL85</f>
        <v>4559805.9399999995</v>
      </c>
      <c r="I277" s="287">
        <f>data!BM85</f>
        <v>1440692.9000000001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978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979</v>
      </c>
      <c r="C280" s="302" t="str">
        <f>IF(data!BG73&gt;0,data!BG73,"")</f>
        <v/>
      </c>
      <c r="D280" s="302" t="str">
        <f>IF(data!BH73&gt;0,data!BH73,"")</f>
        <v/>
      </c>
      <c r="E280" s="302">
        <f>IF(data!BI73&gt;0,data!BI73,"")</f>
        <v>160699.23000000001</v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>
        <f>IF(data!BM73&gt;0,data!BM73,"")</f>
        <v>9143.4599999999991</v>
      </c>
    </row>
    <row r="281" spans="1:9" ht="20.149999999999999" customHeight="1" x14ac:dyDescent="0.35">
      <c r="A281" s="279">
        <v>20</v>
      </c>
      <c r="B281" s="295" t="s">
        <v>980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981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>
        <f>IF(data!BJ75&gt;0,data!BJ75,"")</f>
        <v>398765.13</v>
      </c>
      <c r="G282" s="302" t="str">
        <f>IF(data!BK75&gt;0,data!BK75,"")</f>
        <v/>
      </c>
      <c r="H282" s="302" t="str">
        <f>IF(data!BL75&gt;0,data!BL75,"")</f>
        <v/>
      </c>
      <c r="I282" s="302">
        <f>IF(data!BM75&gt;0,data!BM75,"")</f>
        <v>19571.75</v>
      </c>
    </row>
    <row r="283" spans="1:9" ht="20.149999999999999" customHeight="1" x14ac:dyDescent="0.35">
      <c r="A283" s="279" t="s">
        <v>982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983</v>
      </c>
      <c r="C284" s="303">
        <f>data!BG90</f>
        <v>196</v>
      </c>
      <c r="D284" s="303">
        <f>data!BH90</f>
        <v>6332</v>
      </c>
      <c r="E284" s="303">
        <f>data!BI90</f>
        <v>951</v>
      </c>
      <c r="F284" s="303">
        <f>data!BJ90</f>
        <v>2640</v>
      </c>
      <c r="G284" s="303">
        <f>data!BK90</f>
        <v>8469</v>
      </c>
      <c r="H284" s="303">
        <f>data!BL90</f>
        <v>3941</v>
      </c>
      <c r="I284" s="303">
        <f>data!BM90</f>
        <v>2249</v>
      </c>
    </row>
    <row r="285" spans="1:9" ht="20.149999999999999" customHeight="1" x14ac:dyDescent="0.35">
      <c r="A285" s="279">
        <v>23</v>
      </c>
      <c r="B285" s="287" t="s">
        <v>984</v>
      </c>
      <c r="C285" s="302">
        <f>IF(data!BG77&gt;0,data!BG77,"")</f>
        <v>1189.32</v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985</v>
      </c>
      <c r="C286" s="302" t="str">
        <f>IF(data!BG78&gt;0,data!BG78,"")</f>
        <v/>
      </c>
      <c r="D286" s="303">
        <f>data!BH92</f>
        <v>195</v>
      </c>
      <c r="E286" s="303">
        <f>data!BI92</f>
        <v>286</v>
      </c>
      <c r="F286" s="302" t="str">
        <f>IF(data!BJ78&gt;0,data!BJ78,"")</f>
        <v/>
      </c>
      <c r="G286" s="303">
        <f>data!BK92</f>
        <v>0</v>
      </c>
      <c r="H286" s="303">
        <f>data!BL92</f>
        <v>260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986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968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1018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 xml:space="preserve">Hospital: YAKIMA VALLEY MEMORIAL 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970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1019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974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15.8</v>
      </c>
      <c r="D298" s="294">
        <f>data!BO60</f>
        <v>8.89</v>
      </c>
      <c r="E298" s="294">
        <f>data!BP60</f>
        <v>2.8</v>
      </c>
      <c r="F298" s="294">
        <f>data!BQ60</f>
        <v>0</v>
      </c>
      <c r="G298" s="294">
        <f>data!BR60</f>
        <v>20.5</v>
      </c>
      <c r="H298" s="294">
        <f>data!BS60</f>
        <v>1.75</v>
      </c>
      <c r="I298" s="294">
        <f>data!BT60</f>
        <v>3.12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3779831.45</v>
      </c>
      <c r="D299" s="287">
        <f>data!BO61</f>
        <v>827668.86</v>
      </c>
      <c r="E299" s="287">
        <f>data!BP61</f>
        <v>263821.93</v>
      </c>
      <c r="F299" s="287">
        <f>data!BQ61</f>
        <v>0</v>
      </c>
      <c r="G299" s="287">
        <f>data!BR61</f>
        <v>1945672.37</v>
      </c>
      <c r="H299" s="287">
        <f>data!BS61</f>
        <v>121606.33</v>
      </c>
      <c r="I299" s="287">
        <f>data!BT61</f>
        <v>216590.73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823873</v>
      </c>
      <c r="D300" s="287">
        <f>data!BO62</f>
        <v>180403</v>
      </c>
      <c r="E300" s="287">
        <f>data!BP62</f>
        <v>57504</v>
      </c>
      <c r="F300" s="287">
        <f>data!BQ62</f>
        <v>0</v>
      </c>
      <c r="G300" s="287">
        <f>data!BR62</f>
        <v>424090</v>
      </c>
      <c r="H300" s="287">
        <f>data!BS62</f>
        <v>26506</v>
      </c>
      <c r="I300" s="287">
        <f>data!BT62</f>
        <v>47209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655696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-1440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45607.07</v>
      </c>
      <c r="D302" s="287">
        <f>data!BO64</f>
        <v>108743.61</v>
      </c>
      <c r="E302" s="287">
        <f>data!BP64</f>
        <v>7126.08</v>
      </c>
      <c r="F302" s="287">
        <f>data!BQ64</f>
        <v>0</v>
      </c>
      <c r="G302" s="287">
        <f>data!BR64</f>
        <v>4262.8100000000004</v>
      </c>
      <c r="H302" s="287">
        <f>data!BS64</f>
        <v>204.92</v>
      </c>
      <c r="I302" s="287">
        <f>data!BT64</f>
        <v>67.33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402.61</v>
      </c>
      <c r="D303" s="287">
        <f>data!BO65</f>
        <v>0</v>
      </c>
      <c r="E303" s="287">
        <f>data!BP65</f>
        <v>4663.76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1959300.84</v>
      </c>
      <c r="D304" s="287">
        <f>data!BO66</f>
        <v>150827.48000000001</v>
      </c>
      <c r="E304" s="287">
        <f>data!BP66</f>
        <v>56788.24</v>
      </c>
      <c r="F304" s="287">
        <f>data!BQ66</f>
        <v>0</v>
      </c>
      <c r="G304" s="287">
        <f>data!BR66</f>
        <v>278364.44</v>
      </c>
      <c r="H304" s="287">
        <f>data!BS66</f>
        <v>0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32080</v>
      </c>
      <c r="D305" s="287">
        <f>data!BO67</f>
        <v>45745</v>
      </c>
      <c r="E305" s="287">
        <f>data!BP67</f>
        <v>67362</v>
      </c>
      <c r="F305" s="287">
        <f>data!BQ67</f>
        <v>0</v>
      </c>
      <c r="G305" s="287">
        <f>data!BR67</f>
        <v>64596</v>
      </c>
      <c r="H305" s="287">
        <f>data!BS67</f>
        <v>9207</v>
      </c>
      <c r="I305" s="287">
        <f>data!BT67</f>
        <v>5441</v>
      </c>
    </row>
    <row r="306" spans="1:9" ht="20.149999999999999" customHeight="1" x14ac:dyDescent="0.35">
      <c r="A306" s="279">
        <v>13</v>
      </c>
      <c r="B306" s="287" t="s">
        <v>975</v>
      </c>
      <c r="C306" s="287">
        <f>data!BN68</f>
        <v>17487.150000000001</v>
      </c>
      <c r="D306" s="287">
        <f>data!BO68</f>
        <v>52859.92</v>
      </c>
      <c r="E306" s="287">
        <f>data!BP68</f>
        <v>2230.11</v>
      </c>
      <c r="F306" s="287">
        <f>data!BQ68</f>
        <v>0</v>
      </c>
      <c r="G306" s="287">
        <f>data!BR68</f>
        <v>245675.19</v>
      </c>
      <c r="H306" s="287">
        <f>data!BS68</f>
        <v>64.099999999999994</v>
      </c>
      <c r="I306" s="287">
        <f>data!BT68</f>
        <v>58.23</v>
      </c>
    </row>
    <row r="307" spans="1:9" ht="20.149999999999999" customHeight="1" x14ac:dyDescent="0.35">
      <c r="A307" s="279">
        <v>14</v>
      </c>
      <c r="B307" s="287" t="s">
        <v>976</v>
      </c>
      <c r="C307" s="287">
        <f>data!BN69</f>
        <v>12448368.389999999</v>
      </c>
      <c r="D307" s="287">
        <f>data!BO69</f>
        <v>50685.899999999994</v>
      </c>
      <c r="E307" s="287">
        <f>data!BP69</f>
        <v>162563.30000000002</v>
      </c>
      <c r="F307" s="287">
        <f>data!BQ69</f>
        <v>0</v>
      </c>
      <c r="G307" s="287">
        <f>data!BR69</f>
        <v>1352347.3099999998</v>
      </c>
      <c r="H307" s="287">
        <f>data!BS69</f>
        <v>21522.959999999999</v>
      </c>
      <c r="I307" s="287">
        <f>data!BT69</f>
        <v>9372.2199999999993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-298385.68</v>
      </c>
      <c r="D308" s="287">
        <f>-data!BO84</f>
        <v>-4884.84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-8000</v>
      </c>
    </row>
    <row r="309" spans="1:9" ht="20.149999999999999" customHeight="1" x14ac:dyDescent="0.35">
      <c r="A309" s="279">
        <v>16</v>
      </c>
      <c r="B309" s="295" t="s">
        <v>977</v>
      </c>
      <c r="C309" s="287">
        <f>data!BN85</f>
        <v>19464260.829999998</v>
      </c>
      <c r="D309" s="287">
        <f>data!BO85</f>
        <v>1412048.9299999997</v>
      </c>
      <c r="E309" s="287">
        <f>data!BP85</f>
        <v>622059.42000000004</v>
      </c>
      <c r="F309" s="287">
        <f>data!BQ85</f>
        <v>0</v>
      </c>
      <c r="G309" s="287">
        <f>data!BR85</f>
        <v>4313568.12</v>
      </c>
      <c r="H309" s="287">
        <f>data!BS85</f>
        <v>179111.31000000003</v>
      </c>
      <c r="I309" s="287">
        <f>data!BT85</f>
        <v>270738.50999999995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978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979</v>
      </c>
      <c r="C312" s="302">
        <f>IF(data!BN73&gt;0,data!BN73,"")</f>
        <v>110726.7</v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980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981</v>
      </c>
      <c r="C314" s="302">
        <f>IF(data!BN75&gt;0,data!BN75,"")</f>
        <v>2359629.13</v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982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983</v>
      </c>
      <c r="C316" s="303">
        <f>data!BN90</f>
        <v>1763</v>
      </c>
      <c r="D316" s="303">
        <f>data!BO90</f>
        <v>2514</v>
      </c>
      <c r="E316" s="303">
        <f>data!BP90</f>
        <v>3702</v>
      </c>
      <c r="F316" s="303">
        <f>data!BQ90</f>
        <v>0</v>
      </c>
      <c r="G316" s="303">
        <f>data!BR90</f>
        <v>3550</v>
      </c>
      <c r="H316" s="303">
        <f>data!BS90</f>
        <v>506</v>
      </c>
      <c r="I316" s="303">
        <f>data!BT90</f>
        <v>299</v>
      </c>
    </row>
    <row r="317" spans="1:9" ht="20.149999999999999" customHeight="1" x14ac:dyDescent="0.35">
      <c r="A317" s="279">
        <v>23</v>
      </c>
      <c r="B317" s="287" t="s">
        <v>984</v>
      </c>
      <c r="C317" s="302">
        <f>IF(data!BN77&gt;0,data!BN77,"")</f>
        <v>1378.55</v>
      </c>
      <c r="D317" s="302">
        <f>IF(data!BO77&gt;0,data!BO77,"")</f>
        <v>19998.75</v>
      </c>
      <c r="E317" s="302">
        <f>IF(data!BP77&gt;0,data!BP77,"")</f>
        <v>1066.8599999999999</v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985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65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986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>
        <f>IF(data!BR79&gt;0,data!BR79,"")</f>
        <v>255700.64</v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968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1020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 xml:space="preserve">Hospital: YAKIMA VALLEY MEMORIAL 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970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1019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974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54.36</v>
      </c>
      <c r="E330" s="294">
        <f>data!BW60</f>
        <v>4.53</v>
      </c>
      <c r="F330" s="294">
        <f>data!BX60</f>
        <v>53.39</v>
      </c>
      <c r="G330" s="294">
        <f>data!BY60</f>
        <v>12.89</v>
      </c>
      <c r="H330" s="294">
        <f>data!BZ60</f>
        <v>21.85</v>
      </c>
      <c r="I330" s="294">
        <f>data!CA60</f>
        <v>1.77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2777124.63</v>
      </c>
      <c r="E331" s="306">
        <f>data!BW61</f>
        <v>316939.42</v>
      </c>
      <c r="F331" s="306">
        <f>data!BX61</f>
        <v>5282395.72</v>
      </c>
      <c r="G331" s="306">
        <f>data!BY61</f>
        <v>1324255.04</v>
      </c>
      <c r="H331" s="306">
        <f>data!BZ61</f>
        <v>1941786.77</v>
      </c>
      <c r="I331" s="306">
        <f>data!CA61</f>
        <v>205164.82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605318</v>
      </c>
      <c r="E332" s="306">
        <f>data!BW62</f>
        <v>69082</v>
      </c>
      <c r="F332" s="306">
        <f>data!BX62</f>
        <v>1151381</v>
      </c>
      <c r="G332" s="306">
        <f>data!BY62</f>
        <v>288642</v>
      </c>
      <c r="H332" s="306">
        <f>data!BZ62</f>
        <v>423243</v>
      </c>
      <c r="I332" s="306">
        <f>data!CA62</f>
        <v>44719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54000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21.66</v>
      </c>
      <c r="E334" s="306">
        <f>data!BW64</f>
        <v>-34.770000000000003</v>
      </c>
      <c r="F334" s="306">
        <f>data!BX64</f>
        <v>6486.46</v>
      </c>
      <c r="G334" s="306">
        <f>data!BY64</f>
        <v>2057.94</v>
      </c>
      <c r="H334" s="306">
        <f>data!BZ64</f>
        <v>645.4</v>
      </c>
      <c r="I334" s="306">
        <f>data!CA64</f>
        <v>16683.849999999999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1256380.8400000001</v>
      </c>
      <c r="E336" s="306">
        <f>data!BW66</f>
        <v>0</v>
      </c>
      <c r="F336" s="306">
        <f>data!BX66</f>
        <v>1013502.85</v>
      </c>
      <c r="G336" s="306">
        <f>data!BY66</f>
        <v>15111.49</v>
      </c>
      <c r="H336" s="306">
        <f>data!BZ66</f>
        <v>0</v>
      </c>
      <c r="I336" s="306">
        <f>data!CA66</f>
        <v>56298.01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67362</v>
      </c>
      <c r="E337" s="306">
        <f>data!BW67</f>
        <v>31607</v>
      </c>
      <c r="F337" s="306">
        <f>data!BX67</f>
        <v>37666</v>
      </c>
      <c r="G337" s="306">
        <f>data!BY67</f>
        <v>5459</v>
      </c>
      <c r="H337" s="306">
        <f>data!BZ67</f>
        <v>7697</v>
      </c>
      <c r="I337" s="306">
        <f>data!CA67</f>
        <v>28805</v>
      </c>
    </row>
    <row r="338" spans="1:9" ht="20.149999999999999" customHeight="1" x14ac:dyDescent="0.35">
      <c r="A338" s="279">
        <v>13</v>
      </c>
      <c r="B338" s="287" t="s">
        <v>975</v>
      </c>
      <c r="C338" s="306">
        <f>data!BU68</f>
        <v>0</v>
      </c>
      <c r="D338" s="306">
        <f>data!BV68</f>
        <v>60519.3</v>
      </c>
      <c r="E338" s="306">
        <f>data!BW68</f>
        <v>2488.58</v>
      </c>
      <c r="F338" s="306">
        <f>data!BX68</f>
        <v>72149.919999999998</v>
      </c>
      <c r="G338" s="306">
        <f>data!BY68</f>
        <v>357.28</v>
      </c>
      <c r="H338" s="306">
        <f>data!BZ68</f>
        <v>260.55</v>
      </c>
      <c r="I338" s="306">
        <f>data!CA68</f>
        <v>-41.7</v>
      </c>
    </row>
    <row r="339" spans="1:9" ht="20.149999999999999" customHeight="1" x14ac:dyDescent="0.35">
      <c r="A339" s="279">
        <v>14</v>
      </c>
      <c r="B339" s="287" t="s">
        <v>976</v>
      </c>
      <c r="C339" s="306">
        <f>data!BU69</f>
        <v>0</v>
      </c>
      <c r="D339" s="306">
        <f>data!BV69</f>
        <v>-7406.48</v>
      </c>
      <c r="E339" s="306">
        <f>data!BW69</f>
        <v>244906.41</v>
      </c>
      <c r="F339" s="306">
        <f>data!BX69</f>
        <v>308932.59999999998</v>
      </c>
      <c r="G339" s="306">
        <f>data!BY69</f>
        <v>185220</v>
      </c>
      <c r="H339" s="306">
        <f>data!BZ69</f>
        <v>92017.060000000012</v>
      </c>
      <c r="I339" s="306">
        <f>data!CA69</f>
        <v>82537.490000000005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-6815.9</v>
      </c>
      <c r="E340" s="287">
        <f>-data!BW84</f>
        <v>-149218.25</v>
      </c>
      <c r="F340" s="287">
        <f>-data!BX84</f>
        <v>-1619.32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977</v>
      </c>
      <c r="C341" s="287">
        <f>data!BU85</f>
        <v>0</v>
      </c>
      <c r="D341" s="287">
        <f>data!BV85</f>
        <v>4752504.0499999989</v>
      </c>
      <c r="E341" s="287">
        <f>data!BW85</f>
        <v>569770.39</v>
      </c>
      <c r="F341" s="287">
        <f>data!BX85</f>
        <v>7870895.2299999986</v>
      </c>
      <c r="G341" s="287">
        <f>data!BY85</f>
        <v>1821102.75</v>
      </c>
      <c r="H341" s="287">
        <f>data!BZ85</f>
        <v>2465649.7799999998</v>
      </c>
      <c r="I341" s="287">
        <f>data!CA85</f>
        <v>434166.47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978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979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980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981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>
        <f>IF(data!BX75&gt;0,data!BX75,"")</f>
        <v>15556</v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982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983</v>
      </c>
      <c r="C348" s="303">
        <f>data!BU90</f>
        <v>0</v>
      </c>
      <c r="D348" s="303">
        <f>data!BV90</f>
        <v>3702</v>
      </c>
      <c r="E348" s="303">
        <f>data!BW90</f>
        <v>1737</v>
      </c>
      <c r="F348" s="303">
        <f>data!BX90</f>
        <v>2070</v>
      </c>
      <c r="G348" s="303">
        <f>data!BY90</f>
        <v>300</v>
      </c>
      <c r="H348" s="303">
        <f>data!BZ90</f>
        <v>423</v>
      </c>
      <c r="I348" s="303">
        <f>data!CA90</f>
        <v>1583</v>
      </c>
    </row>
    <row r="349" spans="1:9" ht="20.149999999999999" customHeight="1" x14ac:dyDescent="0.35">
      <c r="A349" s="279">
        <v>23</v>
      </c>
      <c r="B349" s="287" t="s">
        <v>984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985</v>
      </c>
      <c r="C350" s="303">
        <f>data!BU92</f>
        <v>0</v>
      </c>
      <c r="D350" s="303">
        <f>data!BV92</f>
        <v>0</v>
      </c>
      <c r="E350" s="303">
        <f>data!BW92</f>
        <v>52</v>
      </c>
      <c r="F350" s="303">
        <f>data!BX92</f>
        <v>338</v>
      </c>
      <c r="G350" s="303">
        <f>data!BY92</f>
        <v>195</v>
      </c>
      <c r="H350" s="303">
        <f>data!BZ92</f>
        <v>2262</v>
      </c>
      <c r="I350" s="303">
        <f>data!CA92</f>
        <v>130</v>
      </c>
    </row>
    <row r="351" spans="1:9" ht="20.149999999999999" customHeight="1" x14ac:dyDescent="0.35">
      <c r="A351" s="279">
        <v>25</v>
      </c>
      <c r="B351" s="287" t="s">
        <v>986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968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1021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 xml:space="preserve">Hospital: YAKIMA VALLEY MEMORIAL 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970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1022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974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100.6</v>
      </c>
      <c r="E362" s="309"/>
      <c r="F362" s="297"/>
      <c r="G362" s="297"/>
      <c r="H362" s="297"/>
      <c r="I362" s="310">
        <f>data!CE60</f>
        <v>2391.4700000000003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7808479.3200000003</v>
      </c>
      <c r="E363" s="311"/>
      <c r="F363" s="311"/>
      <c r="G363" s="311"/>
      <c r="H363" s="311"/>
      <c r="I363" s="306">
        <f>data!CE61</f>
        <v>239923088.00999996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1701980</v>
      </c>
      <c r="E364" s="311"/>
      <c r="F364" s="311"/>
      <c r="G364" s="311"/>
      <c r="H364" s="311"/>
      <c r="I364" s="306">
        <f>data!CE62</f>
        <v>52294985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35731.33</v>
      </c>
      <c r="E365" s="311"/>
      <c r="F365" s="311"/>
      <c r="G365" s="311"/>
      <c r="H365" s="311"/>
      <c r="I365" s="306">
        <f>data!CE63</f>
        <v>27683282.909999996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144975.76</v>
      </c>
      <c r="E366" s="311"/>
      <c r="F366" s="311"/>
      <c r="G366" s="311"/>
      <c r="H366" s="311"/>
      <c r="I366" s="306">
        <f>data!CE64</f>
        <v>96041293.229999989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151777.76999999999</v>
      </c>
      <c r="E367" s="311"/>
      <c r="F367" s="311"/>
      <c r="G367" s="311"/>
      <c r="H367" s="311"/>
      <c r="I367" s="306">
        <f>data!CE65</f>
        <v>3180499.1100000003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810559.42</v>
      </c>
      <c r="E368" s="311"/>
      <c r="F368" s="311"/>
      <c r="G368" s="311"/>
      <c r="H368" s="311"/>
      <c r="I368" s="306">
        <f>data!CE66</f>
        <v>27592611.850000005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377625</v>
      </c>
      <c r="D369" s="306">
        <f>data!CC67</f>
        <v>113253</v>
      </c>
      <c r="E369" s="311"/>
      <c r="F369" s="311"/>
      <c r="G369" s="311"/>
      <c r="H369" s="311"/>
      <c r="I369" s="306">
        <f>data!CE67</f>
        <v>19484015</v>
      </c>
    </row>
    <row r="370" spans="1:9" ht="20.149999999999999" customHeight="1" x14ac:dyDescent="0.35">
      <c r="A370" s="279">
        <v>13</v>
      </c>
      <c r="B370" s="287" t="s">
        <v>975</v>
      </c>
      <c r="C370" s="306">
        <f>data!CB68</f>
        <v>0</v>
      </c>
      <c r="D370" s="306">
        <f>data!CC68</f>
        <v>159071.1</v>
      </c>
      <c r="E370" s="311"/>
      <c r="F370" s="311"/>
      <c r="G370" s="311"/>
      <c r="H370" s="311"/>
      <c r="I370" s="306">
        <f>data!CE68</f>
        <v>8274556.9919999996</v>
      </c>
    </row>
    <row r="371" spans="1:9" ht="20.149999999999999" customHeight="1" x14ac:dyDescent="0.35">
      <c r="A371" s="279">
        <v>14</v>
      </c>
      <c r="B371" s="287" t="s">
        <v>976</v>
      </c>
      <c r="C371" s="306">
        <f>data!CB69</f>
        <v>0</v>
      </c>
      <c r="D371" s="306">
        <f>data!CC69</f>
        <v>3812465.3</v>
      </c>
      <c r="E371" s="306">
        <f>data!CD69</f>
        <v>-14102983</v>
      </c>
      <c r="F371" s="311"/>
      <c r="G371" s="311"/>
      <c r="H371" s="311"/>
      <c r="I371" s="306">
        <f>data!CE69</f>
        <v>92070014.701999992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-9132248.8599999994</v>
      </c>
      <c r="E372" s="287">
        <f>-data!CD84</f>
        <v>-11944169</v>
      </c>
      <c r="F372" s="297"/>
      <c r="G372" s="297"/>
      <c r="H372" s="297"/>
      <c r="I372" s="287">
        <f>-data!CE84</f>
        <v>-34540887.099999994</v>
      </c>
    </row>
    <row r="373" spans="1:9" ht="20.149999999999999" customHeight="1" x14ac:dyDescent="0.35">
      <c r="A373" s="279">
        <v>16</v>
      </c>
      <c r="B373" s="295" t="s">
        <v>977</v>
      </c>
      <c r="C373" s="306">
        <f>data!CB85</f>
        <v>377625</v>
      </c>
      <c r="D373" s="306">
        <f>data!CC85</f>
        <v>5606044.1400000006</v>
      </c>
      <c r="E373" s="306">
        <f>data!CD85</f>
        <v>-26047152</v>
      </c>
      <c r="F373" s="311"/>
      <c r="G373" s="311"/>
      <c r="H373" s="311"/>
      <c r="I373" s="287">
        <f>data!CE85</f>
        <v>497462572.60400003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978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979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532547658.97000003</v>
      </c>
    </row>
    <row r="377" spans="1:9" ht="20.149999999999999" customHeight="1" x14ac:dyDescent="0.35">
      <c r="A377" s="279">
        <v>20</v>
      </c>
      <c r="B377" s="295" t="s">
        <v>980</v>
      </c>
      <c r="C377" s="302" t="str">
        <f>IF(data!CB74&gt;0,data!CB74,"")</f>
        <v/>
      </c>
      <c r="D377" s="302">
        <f>IF(data!CC74&gt;0,data!CC74,"")</f>
        <v>2405.41</v>
      </c>
      <c r="E377" s="297"/>
      <c r="F377" s="297"/>
      <c r="G377" s="297"/>
      <c r="H377" s="297"/>
      <c r="I377" s="303">
        <f>data!CE88</f>
        <v>1180626713.6099999</v>
      </c>
    </row>
    <row r="378" spans="1:9" ht="20.149999999999999" customHeight="1" x14ac:dyDescent="0.35">
      <c r="A378" s="279">
        <v>21</v>
      </c>
      <c r="B378" s="295" t="s">
        <v>981</v>
      </c>
      <c r="C378" s="302" t="str">
        <f>IF(data!CB75&gt;0,data!CB75,"")</f>
        <v/>
      </c>
      <c r="D378" s="302">
        <f>IF(data!CC75&gt;0,data!CC75,"")</f>
        <v>456766.01</v>
      </c>
      <c r="E378" s="297"/>
      <c r="F378" s="297"/>
      <c r="G378" s="297"/>
      <c r="H378" s="297"/>
      <c r="I378" s="303">
        <f>data!CE89</f>
        <v>1713174372.5800002</v>
      </c>
    </row>
    <row r="379" spans="1:9" ht="20.149999999999999" customHeight="1" x14ac:dyDescent="0.35">
      <c r="A379" s="279" t="s">
        <v>982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983</v>
      </c>
      <c r="C380" s="303">
        <f>data!CB90</f>
        <v>20753</v>
      </c>
      <c r="D380" s="303">
        <f>data!CC90</f>
        <v>6224</v>
      </c>
      <c r="E380" s="297"/>
      <c r="F380" s="297"/>
      <c r="G380" s="297"/>
      <c r="H380" s="297"/>
      <c r="I380" s="287">
        <f>data!CE90</f>
        <v>1070776</v>
      </c>
    </row>
    <row r="381" spans="1:9" ht="20.149999999999999" customHeight="1" x14ac:dyDescent="0.35">
      <c r="A381" s="279">
        <v>23</v>
      </c>
      <c r="B381" s="287" t="s">
        <v>984</v>
      </c>
      <c r="C381" s="303">
        <f>data!CB91</f>
        <v>0</v>
      </c>
      <c r="D381" s="302">
        <f>IF(data!CC77&gt;0,data!CC77,"")</f>
        <v>23566.16</v>
      </c>
      <c r="E381" s="297"/>
      <c r="F381" s="297"/>
      <c r="G381" s="297"/>
      <c r="H381" s="297"/>
      <c r="I381" s="287">
        <f>data!CE91</f>
        <v>197802.78</v>
      </c>
    </row>
    <row r="382" spans="1:9" ht="20.149999999999999" customHeight="1" x14ac:dyDescent="0.35">
      <c r="A382" s="279">
        <v>24</v>
      </c>
      <c r="B382" s="287" t="s">
        <v>985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116220</v>
      </c>
    </row>
    <row r="383" spans="1:9" ht="20.149999999999999" customHeight="1" x14ac:dyDescent="0.35">
      <c r="A383" s="279">
        <v>25</v>
      </c>
      <c r="B383" s="287" t="s">
        <v>986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2021704.83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727.5200000000001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40" transitionEvaluation="1" transitionEntry="1" codeName="Sheet12">
    <tabColor rgb="FF92D050"/>
    <pageSetUpPr autoPageBreaks="0" fitToPage="1"/>
  </sheetPr>
  <dimension ref="A1:CF717"/>
  <sheetViews>
    <sheetView topLeftCell="A40" zoomScale="80" zoomScaleNormal="80" workbookViewId="0">
      <selection activeCell="W64" sqref="W64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1328</v>
      </c>
    </row>
    <row r="7" spans="1:3" x14ac:dyDescent="0.35">
      <c r="A7" s="12" t="s">
        <v>4</v>
      </c>
    </row>
    <row r="8" spans="1:3" x14ac:dyDescent="0.35">
      <c r="A8" s="12" t="s">
        <v>1330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1329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1331</v>
      </c>
    </row>
    <row r="19" spans="1:10" ht="14.5" customHeight="1" x14ac:dyDescent="0.35">
      <c r="A19" s="18" t="s">
        <v>1332</v>
      </c>
    </row>
    <row r="20" spans="1:10" ht="14.5" customHeight="1" x14ac:dyDescent="0.35">
      <c r="A20" s="18" t="s">
        <v>1333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1334</v>
      </c>
      <c r="E24" s="71"/>
      <c r="F24" s="71"/>
      <c r="G24" s="71"/>
    </row>
    <row r="25" spans="1:10" x14ac:dyDescent="0.35">
      <c r="A25" s="18" t="s">
        <v>1335</v>
      </c>
    </row>
    <row r="26" spans="1:10" x14ac:dyDescent="0.35">
      <c r="A26" s="18" t="s">
        <v>1336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1337</v>
      </c>
      <c r="C29" s="17"/>
    </row>
    <row r="30" spans="1:10" x14ac:dyDescent="0.35">
      <c r="C30" s="17"/>
    </row>
    <row r="31" spans="1:10" x14ac:dyDescent="0.35">
      <c r="A31" s="12" t="s">
        <v>1347</v>
      </c>
      <c r="C31" s="333" t="s">
        <v>1348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35">
      <c r="A38" s="337" t="s">
        <v>1340</v>
      </c>
      <c r="B38" s="338"/>
      <c r="C38" s="336"/>
      <c r="D38" s="335"/>
      <c r="E38" s="335"/>
      <c r="F38" s="335"/>
      <c r="G38" s="335"/>
    </row>
    <row r="39" spans="1:83" x14ac:dyDescent="0.35">
      <c r="A39" s="339" t="s">
        <v>1338</v>
      </c>
      <c r="B39" s="338"/>
      <c r="C39" s="336"/>
      <c r="D39" s="335"/>
      <c r="E39" s="335"/>
      <c r="F39" s="335"/>
      <c r="G39" s="335"/>
    </row>
    <row r="40" spans="1:83" x14ac:dyDescent="0.35">
      <c r="A40" s="340" t="s">
        <v>1341</v>
      </c>
      <c r="B40" s="335"/>
      <c r="C40" s="336"/>
      <c r="D40" s="335"/>
      <c r="E40" s="335"/>
      <c r="F40" s="335"/>
      <c r="G40" s="335"/>
    </row>
    <row r="41" spans="1:83" x14ac:dyDescent="0.35">
      <c r="A41" s="339" t="s">
        <v>1339</v>
      </c>
      <c r="B41" s="335"/>
      <c r="C41" s="336"/>
      <c r="D41" s="335"/>
      <c r="E41" s="335"/>
      <c r="F41" s="335"/>
      <c r="G41" s="33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47972455.719999999</v>
      </c>
      <c r="C49" s="270">
        <f>IF($B$49,(ROUND((($B$49/$CE$62)*C62),0)))</f>
        <v>1233791</v>
      </c>
      <c r="D49" s="270">
        <f t="shared" ref="D49:BO49" si="0">IF($B$49,(ROUND((($B$49/$CE$62)*D62),0)))</f>
        <v>0</v>
      </c>
      <c r="E49" s="270">
        <f t="shared" si="0"/>
        <v>4538313</v>
      </c>
      <c r="F49" s="270">
        <f t="shared" si="0"/>
        <v>857621</v>
      </c>
      <c r="G49" s="270">
        <f t="shared" si="0"/>
        <v>0</v>
      </c>
      <c r="H49" s="270">
        <f t="shared" si="0"/>
        <v>650435</v>
      </c>
      <c r="I49" s="270">
        <f t="shared" si="0"/>
        <v>0</v>
      </c>
      <c r="J49" s="270">
        <f t="shared" si="0"/>
        <v>0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894059</v>
      </c>
      <c r="P49" s="270">
        <f t="shared" si="0"/>
        <v>1539811</v>
      </c>
      <c r="Q49" s="270">
        <f t="shared" si="0"/>
        <v>562382</v>
      </c>
      <c r="R49" s="270">
        <f t="shared" si="0"/>
        <v>49182</v>
      </c>
      <c r="S49" s="270">
        <f t="shared" si="0"/>
        <v>240442</v>
      </c>
      <c r="T49" s="270">
        <f t="shared" si="0"/>
        <v>228750</v>
      </c>
      <c r="U49" s="270">
        <f t="shared" si="0"/>
        <v>997196</v>
      </c>
      <c r="V49" s="270">
        <f t="shared" si="0"/>
        <v>16510</v>
      </c>
      <c r="W49" s="270">
        <f t="shared" si="0"/>
        <v>214570</v>
      </c>
      <c r="X49" s="270">
        <f t="shared" si="0"/>
        <v>309255</v>
      </c>
      <c r="Y49" s="270">
        <f t="shared" si="0"/>
        <v>1340971</v>
      </c>
      <c r="Z49" s="270">
        <f t="shared" si="0"/>
        <v>299042</v>
      </c>
      <c r="AA49" s="270">
        <f t="shared" si="0"/>
        <v>103892</v>
      </c>
      <c r="AB49" s="270">
        <f t="shared" si="0"/>
        <v>1488220</v>
      </c>
      <c r="AC49" s="270">
        <f t="shared" si="0"/>
        <v>453850</v>
      </c>
      <c r="AD49" s="270">
        <f t="shared" si="0"/>
        <v>0</v>
      </c>
      <c r="AE49" s="270">
        <f t="shared" si="0"/>
        <v>512313</v>
      </c>
      <c r="AF49" s="270">
        <f t="shared" si="0"/>
        <v>0</v>
      </c>
      <c r="AG49" s="270">
        <f t="shared" si="0"/>
        <v>1796547</v>
      </c>
      <c r="AH49" s="270">
        <f t="shared" si="0"/>
        <v>0</v>
      </c>
      <c r="AI49" s="270">
        <f t="shared" si="0"/>
        <v>0</v>
      </c>
      <c r="AJ49" s="270">
        <f t="shared" si="0"/>
        <v>1642998</v>
      </c>
      <c r="AK49" s="270">
        <f t="shared" si="0"/>
        <v>0</v>
      </c>
      <c r="AL49" s="270">
        <f t="shared" si="0"/>
        <v>0</v>
      </c>
      <c r="AM49" s="270">
        <f t="shared" si="0"/>
        <v>0</v>
      </c>
      <c r="AN49" s="270">
        <f t="shared" si="0"/>
        <v>0</v>
      </c>
      <c r="AO49" s="270">
        <f t="shared" si="0"/>
        <v>0</v>
      </c>
      <c r="AP49" s="270">
        <f t="shared" si="0"/>
        <v>12617810</v>
      </c>
      <c r="AQ49" s="270">
        <f t="shared" si="0"/>
        <v>0</v>
      </c>
      <c r="AR49" s="270">
        <f t="shared" si="0"/>
        <v>2105771</v>
      </c>
      <c r="AS49" s="270">
        <f t="shared" si="0"/>
        <v>0</v>
      </c>
      <c r="AT49" s="270">
        <f t="shared" si="0"/>
        <v>0</v>
      </c>
      <c r="AU49" s="270">
        <f t="shared" si="0"/>
        <v>0</v>
      </c>
      <c r="AV49" s="270">
        <f t="shared" si="0"/>
        <v>3805160</v>
      </c>
      <c r="AW49" s="270">
        <f t="shared" si="0"/>
        <v>0</v>
      </c>
      <c r="AX49" s="270">
        <f t="shared" si="0"/>
        <v>0</v>
      </c>
      <c r="AY49" s="270">
        <f t="shared" si="0"/>
        <v>355270</v>
      </c>
      <c r="AZ49" s="270">
        <f t="shared" si="0"/>
        <v>176914</v>
      </c>
      <c r="BA49" s="270">
        <f t="shared" si="0"/>
        <v>30772</v>
      </c>
      <c r="BB49" s="270">
        <f t="shared" si="0"/>
        <v>0</v>
      </c>
      <c r="BC49" s="270">
        <f t="shared" si="0"/>
        <v>0</v>
      </c>
      <c r="BD49" s="270">
        <f t="shared" si="0"/>
        <v>244104</v>
      </c>
      <c r="BE49" s="270">
        <f t="shared" si="0"/>
        <v>330009</v>
      </c>
      <c r="BF49" s="270">
        <f t="shared" si="0"/>
        <v>628171</v>
      </c>
      <c r="BG49" s="270">
        <f t="shared" si="0"/>
        <v>33214</v>
      </c>
      <c r="BH49" s="270">
        <f t="shared" si="0"/>
        <v>585823</v>
      </c>
      <c r="BI49" s="270">
        <f t="shared" si="0"/>
        <v>214888</v>
      </c>
      <c r="BJ49" s="270">
        <f t="shared" si="0"/>
        <v>138977</v>
      </c>
      <c r="BK49" s="270">
        <f t="shared" si="0"/>
        <v>601905</v>
      </c>
      <c r="BL49" s="270">
        <f t="shared" si="0"/>
        <v>580477</v>
      </c>
      <c r="BM49" s="270">
        <f t="shared" si="0"/>
        <v>247901</v>
      </c>
      <c r="BN49" s="270">
        <f t="shared" si="0"/>
        <v>691943</v>
      </c>
      <c r="BO49" s="270">
        <f t="shared" si="0"/>
        <v>187074</v>
      </c>
      <c r="BP49" s="270">
        <f t="shared" ref="BP49:CD49" si="1">IF($B$49,(ROUND((($B$49/$CE$62)*BP62),0)))</f>
        <v>56856</v>
      </c>
      <c r="BQ49" s="270">
        <f t="shared" si="1"/>
        <v>0</v>
      </c>
      <c r="BR49" s="270">
        <f t="shared" si="1"/>
        <v>457576</v>
      </c>
      <c r="BS49" s="270">
        <f t="shared" si="1"/>
        <v>16909</v>
      </c>
      <c r="BT49" s="270">
        <f t="shared" si="1"/>
        <v>39906</v>
      </c>
      <c r="BU49" s="270">
        <f t="shared" si="1"/>
        <v>0</v>
      </c>
      <c r="BV49" s="270">
        <f t="shared" si="1"/>
        <v>617422</v>
      </c>
      <c r="BW49" s="270">
        <f t="shared" si="1"/>
        <v>74440</v>
      </c>
      <c r="BX49" s="270">
        <f t="shared" si="1"/>
        <v>1022344</v>
      </c>
      <c r="BY49" s="270">
        <f t="shared" si="1"/>
        <v>393891</v>
      </c>
      <c r="BZ49" s="270">
        <f t="shared" si="1"/>
        <v>310885</v>
      </c>
      <c r="CA49" s="270">
        <f t="shared" si="1"/>
        <v>0</v>
      </c>
      <c r="CB49" s="270">
        <f t="shared" si="1"/>
        <v>0</v>
      </c>
      <c r="CC49" s="270">
        <f t="shared" si="1"/>
        <v>1435893</v>
      </c>
      <c r="CD49" s="270">
        <f t="shared" si="1"/>
        <v>0</v>
      </c>
      <c r="CE49" s="32">
        <f>SUM(C49:CD49)</f>
        <v>47972455</v>
      </c>
    </row>
    <row r="50" spans="1:83" x14ac:dyDescent="0.35">
      <c r="A50" s="20" t="s">
        <v>218</v>
      </c>
      <c r="B50" s="270">
        <f>B48+B49</f>
        <v>47972455.719999999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19838670.600000001</v>
      </c>
      <c r="C53" s="270">
        <f>IF($B$53,ROUND(($B$53/($CE$91+$CF$91)*C91),0))</f>
        <v>203272</v>
      </c>
      <c r="D53" s="270">
        <f t="shared" ref="D53:BO53" si="2">IF($B$53,ROUND(($B$53/($CE$91+$CF$91)*D91),0))</f>
        <v>0</v>
      </c>
      <c r="E53" s="270">
        <f t="shared" si="2"/>
        <v>1139140</v>
      </c>
      <c r="F53" s="270">
        <f t="shared" si="2"/>
        <v>335648</v>
      </c>
      <c r="G53" s="270">
        <f t="shared" si="2"/>
        <v>0</v>
      </c>
      <c r="H53" s="270">
        <f t="shared" si="2"/>
        <v>238692</v>
      </c>
      <c r="I53" s="270">
        <f t="shared" si="2"/>
        <v>0</v>
      </c>
      <c r="J53" s="270">
        <f t="shared" si="2"/>
        <v>0</v>
      </c>
      <c r="K53" s="270">
        <f t="shared" si="2"/>
        <v>0</v>
      </c>
      <c r="L53" s="270">
        <f t="shared" si="2"/>
        <v>0</v>
      </c>
      <c r="M53" s="270">
        <f t="shared" si="2"/>
        <v>0</v>
      </c>
      <c r="N53" s="270">
        <f t="shared" si="2"/>
        <v>0</v>
      </c>
      <c r="O53" s="270">
        <f t="shared" si="2"/>
        <v>189687</v>
      </c>
      <c r="P53" s="270">
        <f t="shared" si="2"/>
        <v>763633</v>
      </c>
      <c r="Q53" s="270">
        <f t="shared" si="2"/>
        <v>56004</v>
      </c>
      <c r="R53" s="270">
        <f t="shared" si="2"/>
        <v>11204</v>
      </c>
      <c r="S53" s="270">
        <f t="shared" si="2"/>
        <v>614683</v>
      </c>
      <c r="T53" s="270">
        <f t="shared" si="2"/>
        <v>5226</v>
      </c>
      <c r="U53" s="270">
        <f t="shared" si="2"/>
        <v>211576</v>
      </c>
      <c r="V53" s="270">
        <f t="shared" si="2"/>
        <v>4045</v>
      </c>
      <c r="W53" s="270">
        <f t="shared" si="2"/>
        <v>64022</v>
      </c>
      <c r="X53" s="270">
        <f t="shared" si="2"/>
        <v>52281</v>
      </c>
      <c r="Y53" s="270">
        <f t="shared" si="2"/>
        <v>691145</v>
      </c>
      <c r="Z53" s="270">
        <f t="shared" si="2"/>
        <v>227220</v>
      </c>
      <c r="AA53" s="270">
        <f t="shared" si="2"/>
        <v>40951</v>
      </c>
      <c r="AB53" s="270">
        <f t="shared" si="2"/>
        <v>160817</v>
      </c>
      <c r="AC53" s="270">
        <f t="shared" si="2"/>
        <v>55109</v>
      </c>
      <c r="AD53" s="270">
        <f t="shared" si="2"/>
        <v>4779</v>
      </c>
      <c r="AE53" s="270">
        <f t="shared" si="2"/>
        <v>197437</v>
      </c>
      <c r="AF53" s="270">
        <f t="shared" si="2"/>
        <v>0</v>
      </c>
      <c r="AG53" s="270">
        <f t="shared" si="2"/>
        <v>320703</v>
      </c>
      <c r="AH53" s="270">
        <f t="shared" si="2"/>
        <v>0</v>
      </c>
      <c r="AI53" s="270">
        <f t="shared" si="2"/>
        <v>0</v>
      </c>
      <c r="AJ53" s="270">
        <f t="shared" si="2"/>
        <v>303950</v>
      </c>
      <c r="AK53" s="270">
        <f t="shared" si="2"/>
        <v>0</v>
      </c>
      <c r="AL53" s="270">
        <f t="shared" si="2"/>
        <v>0</v>
      </c>
      <c r="AM53" s="270">
        <f t="shared" si="2"/>
        <v>0</v>
      </c>
      <c r="AN53" s="270">
        <f t="shared" si="2"/>
        <v>0</v>
      </c>
      <c r="AO53" s="270">
        <f t="shared" si="2"/>
        <v>0</v>
      </c>
      <c r="AP53" s="270">
        <f t="shared" si="2"/>
        <v>3957682</v>
      </c>
      <c r="AQ53" s="270">
        <f t="shared" si="2"/>
        <v>0</v>
      </c>
      <c r="AR53" s="270">
        <f t="shared" si="2"/>
        <v>616401</v>
      </c>
      <c r="AS53" s="270">
        <f t="shared" si="2"/>
        <v>0</v>
      </c>
      <c r="AT53" s="270">
        <f t="shared" si="2"/>
        <v>0</v>
      </c>
      <c r="AU53" s="270">
        <f t="shared" si="2"/>
        <v>0</v>
      </c>
      <c r="AV53" s="270">
        <f t="shared" si="2"/>
        <v>194877</v>
      </c>
      <c r="AW53" s="270">
        <f t="shared" si="2"/>
        <v>0</v>
      </c>
      <c r="AX53" s="270">
        <f t="shared" si="2"/>
        <v>0</v>
      </c>
      <c r="AY53" s="270">
        <f t="shared" si="2"/>
        <v>117270</v>
      </c>
      <c r="AZ53" s="270">
        <f t="shared" si="2"/>
        <v>69320</v>
      </c>
      <c r="BA53" s="270">
        <f t="shared" si="2"/>
        <v>47001</v>
      </c>
      <c r="BB53" s="270">
        <f t="shared" si="2"/>
        <v>0</v>
      </c>
      <c r="BC53" s="270">
        <f t="shared" si="2"/>
        <v>0</v>
      </c>
      <c r="BD53" s="270">
        <f t="shared" si="2"/>
        <v>119239</v>
      </c>
      <c r="BE53" s="270">
        <f t="shared" si="2"/>
        <v>7637421</v>
      </c>
      <c r="BF53" s="270">
        <f t="shared" si="2"/>
        <v>25398</v>
      </c>
      <c r="BG53" s="270">
        <f t="shared" si="2"/>
        <v>3508</v>
      </c>
      <c r="BH53" s="270">
        <f t="shared" si="2"/>
        <v>113332</v>
      </c>
      <c r="BI53" s="270">
        <f t="shared" si="2"/>
        <v>17021</v>
      </c>
      <c r="BJ53" s="270">
        <f t="shared" si="2"/>
        <v>47252</v>
      </c>
      <c r="BK53" s="270">
        <f t="shared" si="2"/>
        <v>138336</v>
      </c>
      <c r="BL53" s="270">
        <f t="shared" si="2"/>
        <v>70537</v>
      </c>
      <c r="BM53" s="270">
        <f t="shared" si="2"/>
        <v>40253</v>
      </c>
      <c r="BN53" s="270">
        <f t="shared" si="2"/>
        <v>25326</v>
      </c>
      <c r="BO53" s="270">
        <f t="shared" si="2"/>
        <v>31251</v>
      </c>
      <c r="BP53" s="270">
        <f t="shared" ref="BP53:CD53" si="3">IF($B$53,ROUND(($B$53/($CE$91+$CF$91)*BP91),0))</f>
        <v>66260</v>
      </c>
      <c r="BQ53" s="270">
        <f t="shared" si="3"/>
        <v>0</v>
      </c>
      <c r="BR53" s="270">
        <f t="shared" si="3"/>
        <v>86019</v>
      </c>
      <c r="BS53" s="270">
        <f t="shared" si="3"/>
        <v>9057</v>
      </c>
      <c r="BT53" s="270">
        <f t="shared" si="3"/>
        <v>5352</v>
      </c>
      <c r="BU53" s="270">
        <f t="shared" si="3"/>
        <v>0</v>
      </c>
      <c r="BV53" s="270">
        <f t="shared" si="3"/>
        <v>56022</v>
      </c>
      <c r="BW53" s="270">
        <f t="shared" si="3"/>
        <v>31089</v>
      </c>
      <c r="BX53" s="270">
        <f t="shared" si="3"/>
        <v>36602</v>
      </c>
      <c r="BY53" s="270">
        <f t="shared" si="3"/>
        <v>5370</v>
      </c>
      <c r="BZ53" s="270">
        <f t="shared" si="3"/>
        <v>7571</v>
      </c>
      <c r="CA53" s="270">
        <f t="shared" si="3"/>
        <v>28333</v>
      </c>
      <c r="CB53" s="270">
        <f t="shared" si="3"/>
        <v>0</v>
      </c>
      <c r="CC53" s="270">
        <f t="shared" si="3"/>
        <v>344346</v>
      </c>
      <c r="CD53" s="270">
        <f t="shared" si="3"/>
        <v>0</v>
      </c>
      <c r="CE53" s="32">
        <f>SUM(C53:CD53)</f>
        <v>19838670</v>
      </c>
    </row>
    <row r="54" spans="1:83" x14ac:dyDescent="0.35">
      <c r="A54" s="20" t="s">
        <v>218</v>
      </c>
      <c r="B54" s="270">
        <f>B52+B53</f>
        <v>19838670.600000001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5507</v>
      </c>
      <c r="D60" s="213"/>
      <c r="E60" s="213">
        <v>32947</v>
      </c>
      <c r="F60" s="213">
        <v>7763</v>
      </c>
      <c r="G60" s="213"/>
      <c r="H60" s="213">
        <v>4631</v>
      </c>
      <c r="I60" s="213"/>
      <c r="J60" s="213"/>
      <c r="K60" s="213"/>
      <c r="L60" s="213"/>
      <c r="M60" s="213"/>
      <c r="N60" s="213"/>
      <c r="O60" s="213">
        <v>19544</v>
      </c>
      <c r="P60" s="214">
        <v>1056495</v>
      </c>
      <c r="Q60" s="214">
        <v>1176330</v>
      </c>
      <c r="R60" s="214">
        <v>840860</v>
      </c>
      <c r="S60" s="263"/>
      <c r="T60" s="263"/>
      <c r="U60" s="227">
        <v>2385722</v>
      </c>
      <c r="V60" s="214">
        <v>829816</v>
      </c>
      <c r="W60" s="214">
        <v>48286</v>
      </c>
      <c r="X60" s="214">
        <v>144496</v>
      </c>
      <c r="Y60" s="214">
        <v>194222</v>
      </c>
      <c r="Z60" s="214">
        <v>35811</v>
      </c>
      <c r="AA60" s="214">
        <v>18482</v>
      </c>
      <c r="AB60" s="263"/>
      <c r="AC60" s="214">
        <v>23615</v>
      </c>
      <c r="AD60" s="214"/>
      <c r="AE60" s="214">
        <v>72811</v>
      </c>
      <c r="AF60" s="214"/>
      <c r="AG60" s="214">
        <v>83559</v>
      </c>
      <c r="AH60" s="214"/>
      <c r="AI60" s="214"/>
      <c r="AJ60" s="214">
        <v>30379</v>
      </c>
      <c r="AK60" s="214"/>
      <c r="AL60" s="214"/>
      <c r="AM60" s="214"/>
      <c r="AN60" s="214"/>
      <c r="AO60" s="214"/>
      <c r="AP60" s="214">
        <v>59060</v>
      </c>
      <c r="AQ60" s="214"/>
      <c r="AR60" s="214">
        <v>64182</v>
      </c>
      <c r="AS60" s="214"/>
      <c r="AT60" s="214"/>
      <c r="AU60" s="214"/>
      <c r="AV60" s="263"/>
      <c r="AW60" s="263"/>
      <c r="AX60" s="263"/>
      <c r="AY60" s="214">
        <v>195229</v>
      </c>
      <c r="AZ60" s="214"/>
      <c r="BA60" s="263"/>
      <c r="BB60" s="263"/>
      <c r="BC60" s="263"/>
      <c r="BD60" s="263"/>
      <c r="BE60" s="214">
        <v>1108408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56.86</v>
      </c>
      <c r="D61" s="243"/>
      <c r="E61" s="243">
        <v>282.06</v>
      </c>
      <c r="F61" s="243">
        <v>45.51</v>
      </c>
      <c r="G61" s="243"/>
      <c r="H61" s="243">
        <v>34.46</v>
      </c>
      <c r="I61" s="243"/>
      <c r="J61" s="243"/>
      <c r="K61" s="243"/>
      <c r="L61" s="243"/>
      <c r="M61" s="243"/>
      <c r="N61" s="243"/>
      <c r="O61" s="243">
        <v>51.7</v>
      </c>
      <c r="P61" s="244">
        <v>102.41</v>
      </c>
      <c r="Q61" s="244">
        <v>32.799999999999997</v>
      </c>
      <c r="R61" s="244">
        <v>4.13</v>
      </c>
      <c r="S61" s="245">
        <v>23.22</v>
      </c>
      <c r="T61" s="245">
        <v>10.02</v>
      </c>
      <c r="U61" s="246">
        <v>72.91</v>
      </c>
      <c r="V61" s="244">
        <v>1.96</v>
      </c>
      <c r="W61" s="244">
        <v>11.51</v>
      </c>
      <c r="X61" s="244">
        <v>18.59</v>
      </c>
      <c r="Y61" s="244">
        <v>87.97</v>
      </c>
      <c r="Z61" s="244">
        <v>16.61</v>
      </c>
      <c r="AA61" s="244">
        <v>5.82</v>
      </c>
      <c r="AB61" s="245">
        <v>88.82</v>
      </c>
      <c r="AC61" s="244">
        <v>24.09</v>
      </c>
      <c r="AD61" s="244"/>
      <c r="AE61" s="244">
        <v>27.73</v>
      </c>
      <c r="AF61" s="244"/>
      <c r="AG61" s="244">
        <v>96.34</v>
      </c>
      <c r="AH61" s="244"/>
      <c r="AI61" s="244"/>
      <c r="AJ61" s="244">
        <v>80.92</v>
      </c>
      <c r="AK61" s="244"/>
      <c r="AL61" s="244"/>
      <c r="AM61" s="244"/>
      <c r="AN61" s="244"/>
      <c r="AO61" s="244"/>
      <c r="AP61" s="244">
        <v>454.45</v>
      </c>
      <c r="AQ61" s="244"/>
      <c r="AR61" s="244">
        <v>120.33</v>
      </c>
      <c r="AS61" s="244"/>
      <c r="AT61" s="244"/>
      <c r="AU61" s="244"/>
      <c r="AV61" s="245">
        <v>131.37</v>
      </c>
      <c r="AW61" s="245"/>
      <c r="AX61" s="245"/>
      <c r="AY61" s="244">
        <v>35.24</v>
      </c>
      <c r="AZ61" s="244">
        <v>20.77</v>
      </c>
      <c r="BA61" s="245">
        <v>4.1100000000000003</v>
      </c>
      <c r="BB61" s="245"/>
      <c r="BC61" s="245"/>
      <c r="BD61" s="245">
        <v>21.94</v>
      </c>
      <c r="BE61" s="244">
        <v>24.65</v>
      </c>
      <c r="BF61" s="245">
        <v>82.67</v>
      </c>
      <c r="BG61" s="245">
        <v>4.08</v>
      </c>
      <c r="BH61" s="245">
        <v>34.200000000000003</v>
      </c>
      <c r="BI61" s="245">
        <v>20.190000000000001</v>
      </c>
      <c r="BJ61" s="245">
        <v>10.97</v>
      </c>
      <c r="BK61" s="245">
        <v>61.82</v>
      </c>
      <c r="BL61" s="245">
        <v>61.34</v>
      </c>
      <c r="BM61" s="245">
        <v>12.29</v>
      </c>
      <c r="BN61" s="245">
        <v>14.62</v>
      </c>
      <c r="BO61" s="245">
        <v>10.56</v>
      </c>
      <c r="BP61" s="245">
        <v>3.63</v>
      </c>
      <c r="BQ61" s="245"/>
      <c r="BR61" s="245">
        <v>21.52</v>
      </c>
      <c r="BS61" s="245">
        <v>1.28</v>
      </c>
      <c r="BT61" s="245">
        <v>2.93</v>
      </c>
      <c r="BU61" s="245"/>
      <c r="BV61" s="245">
        <v>61.24</v>
      </c>
      <c r="BW61" s="245">
        <v>5</v>
      </c>
      <c r="BX61" s="245">
        <v>55.73</v>
      </c>
      <c r="BY61" s="245">
        <v>17.64</v>
      </c>
      <c r="BZ61" s="245">
        <v>21.62</v>
      </c>
      <c r="CA61" s="245"/>
      <c r="CB61" s="245"/>
      <c r="CC61" s="245">
        <v>97.22</v>
      </c>
      <c r="CD61" s="247" t="s">
        <v>233</v>
      </c>
      <c r="CE61" s="268">
        <f t="shared" ref="CE61:CE69" si="4">SUM(C61:CD61)</f>
        <v>2589.8499999999995</v>
      </c>
    </row>
    <row r="62" spans="1:83" x14ac:dyDescent="0.35">
      <c r="A62" s="39" t="s">
        <v>248</v>
      </c>
      <c r="B62" s="20"/>
      <c r="C62" s="213">
        <v>5952936.9100000001</v>
      </c>
      <c r="D62" s="213"/>
      <c r="E62" s="213">
        <v>21896966.859999999</v>
      </c>
      <c r="F62" s="213">
        <v>4137949.58</v>
      </c>
      <c r="G62" s="213"/>
      <c r="H62" s="213">
        <v>3138294.71</v>
      </c>
      <c r="I62" s="213"/>
      <c r="J62" s="213"/>
      <c r="K62" s="213"/>
      <c r="L62" s="213"/>
      <c r="M62" s="213"/>
      <c r="N62" s="213"/>
      <c r="O62" s="213">
        <v>4313758.24</v>
      </c>
      <c r="P62" s="214">
        <v>7429455.0700000003</v>
      </c>
      <c r="Q62" s="214">
        <v>2713444.53</v>
      </c>
      <c r="R62" s="214">
        <v>237299.39</v>
      </c>
      <c r="S62" s="228">
        <v>1160112.83</v>
      </c>
      <c r="T62" s="228">
        <v>1103700.99</v>
      </c>
      <c r="U62" s="227">
        <v>4811386.47</v>
      </c>
      <c r="V62" s="214">
        <v>79660.98</v>
      </c>
      <c r="W62" s="214">
        <v>1035280.34</v>
      </c>
      <c r="X62" s="214">
        <v>1492128.37</v>
      </c>
      <c r="Y62" s="214">
        <v>6470070.7999999998</v>
      </c>
      <c r="Z62" s="214">
        <v>1442850.97</v>
      </c>
      <c r="AA62" s="214">
        <v>501270.42</v>
      </c>
      <c r="AB62" s="240">
        <v>7180531.0899999999</v>
      </c>
      <c r="AC62" s="214">
        <v>2189788.87</v>
      </c>
      <c r="AD62" s="214"/>
      <c r="AE62" s="214">
        <v>2471865.7000000002</v>
      </c>
      <c r="AF62" s="214"/>
      <c r="AG62" s="214">
        <v>8668186.3800000008</v>
      </c>
      <c r="AH62" s="214"/>
      <c r="AI62" s="214"/>
      <c r="AJ62" s="214">
        <v>7927323.04</v>
      </c>
      <c r="AK62" s="214"/>
      <c r="AL62" s="214"/>
      <c r="AM62" s="214"/>
      <c r="AN62" s="214"/>
      <c r="AO62" s="214"/>
      <c r="AP62" s="214">
        <v>60879842.280000001</v>
      </c>
      <c r="AQ62" s="214"/>
      <c r="AR62" s="214">
        <v>10160162</v>
      </c>
      <c r="AS62" s="214"/>
      <c r="AT62" s="214"/>
      <c r="AU62" s="214"/>
      <c r="AV62" s="228">
        <v>18359570.350000001</v>
      </c>
      <c r="AW62" s="228"/>
      <c r="AX62" s="228"/>
      <c r="AY62" s="214">
        <v>1714148.74</v>
      </c>
      <c r="AZ62" s="214">
        <v>853593.26</v>
      </c>
      <c r="BA62" s="228">
        <v>148470.22</v>
      </c>
      <c r="BB62" s="228"/>
      <c r="BC62" s="228"/>
      <c r="BD62" s="228">
        <v>1177779.29</v>
      </c>
      <c r="BE62" s="214">
        <v>1592263.62</v>
      </c>
      <c r="BF62" s="228">
        <v>3030869.05</v>
      </c>
      <c r="BG62" s="228">
        <v>160252.34</v>
      </c>
      <c r="BH62" s="228">
        <v>2826543.14</v>
      </c>
      <c r="BI62" s="228">
        <v>1036817.1</v>
      </c>
      <c r="BJ62" s="228">
        <v>670552.88</v>
      </c>
      <c r="BK62" s="228">
        <v>2904139.22</v>
      </c>
      <c r="BL62" s="228">
        <v>2800750.07</v>
      </c>
      <c r="BM62" s="228">
        <v>1196101.3999999999</v>
      </c>
      <c r="BN62" s="228">
        <v>3338565.14</v>
      </c>
      <c r="BO62" s="228">
        <v>902616.64</v>
      </c>
      <c r="BP62" s="228">
        <v>274325.56</v>
      </c>
      <c r="BQ62" s="228"/>
      <c r="BR62" s="228">
        <v>2207764.35</v>
      </c>
      <c r="BS62" s="228">
        <v>81584.399999999994</v>
      </c>
      <c r="BT62" s="228">
        <v>192540.86</v>
      </c>
      <c r="BU62" s="228"/>
      <c r="BV62" s="228">
        <v>2979010.12</v>
      </c>
      <c r="BW62" s="228">
        <v>359167.09</v>
      </c>
      <c r="BX62" s="228">
        <v>4932720.9400000004</v>
      </c>
      <c r="BY62" s="228">
        <v>1900488.02</v>
      </c>
      <c r="BZ62" s="228">
        <v>1499994.02</v>
      </c>
      <c r="CA62" s="228"/>
      <c r="CB62" s="228"/>
      <c r="CC62" s="228">
        <v>6928060.4500000002</v>
      </c>
      <c r="CD62" s="29" t="s">
        <v>233</v>
      </c>
      <c r="CE62" s="32">
        <f t="shared" si="4"/>
        <v>231462955.09</v>
      </c>
    </row>
    <row r="63" spans="1:83" x14ac:dyDescent="0.35">
      <c r="A63" s="39" t="s">
        <v>9</v>
      </c>
      <c r="B63" s="20"/>
      <c r="C63" s="269">
        <f>ROUND(C48+C49,0)</f>
        <v>1233791</v>
      </c>
      <c r="D63" s="269">
        <f t="shared" ref="D63:BO63" si="5">ROUND(D48+D49,0)</f>
        <v>0</v>
      </c>
      <c r="E63" s="269">
        <f t="shared" si="5"/>
        <v>4538313</v>
      </c>
      <c r="F63" s="269">
        <f t="shared" si="5"/>
        <v>857621</v>
      </c>
      <c r="G63" s="269">
        <f t="shared" si="5"/>
        <v>0</v>
      </c>
      <c r="H63" s="269">
        <f t="shared" si="5"/>
        <v>650435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894059</v>
      </c>
      <c r="P63" s="269">
        <f t="shared" si="5"/>
        <v>1539811</v>
      </c>
      <c r="Q63" s="269">
        <f t="shared" si="5"/>
        <v>562382</v>
      </c>
      <c r="R63" s="269">
        <f t="shared" si="5"/>
        <v>49182</v>
      </c>
      <c r="S63" s="269">
        <f t="shared" si="5"/>
        <v>240442</v>
      </c>
      <c r="T63" s="269">
        <f t="shared" si="5"/>
        <v>228750</v>
      </c>
      <c r="U63" s="269">
        <f t="shared" si="5"/>
        <v>997196</v>
      </c>
      <c r="V63" s="269">
        <f t="shared" si="5"/>
        <v>16510</v>
      </c>
      <c r="W63" s="269">
        <f t="shared" si="5"/>
        <v>214570</v>
      </c>
      <c r="X63" s="269">
        <f t="shared" si="5"/>
        <v>309255</v>
      </c>
      <c r="Y63" s="269">
        <f t="shared" si="5"/>
        <v>1340971</v>
      </c>
      <c r="Z63" s="269">
        <f t="shared" si="5"/>
        <v>299042</v>
      </c>
      <c r="AA63" s="269">
        <f t="shared" si="5"/>
        <v>103892</v>
      </c>
      <c r="AB63" s="269">
        <f t="shared" si="5"/>
        <v>1488220</v>
      </c>
      <c r="AC63" s="269">
        <f t="shared" si="5"/>
        <v>453850</v>
      </c>
      <c r="AD63" s="269">
        <f t="shared" si="5"/>
        <v>0</v>
      </c>
      <c r="AE63" s="269">
        <f t="shared" si="5"/>
        <v>512313</v>
      </c>
      <c r="AF63" s="269">
        <f t="shared" si="5"/>
        <v>0</v>
      </c>
      <c r="AG63" s="269">
        <f t="shared" si="5"/>
        <v>1796547</v>
      </c>
      <c r="AH63" s="269">
        <f t="shared" si="5"/>
        <v>0</v>
      </c>
      <c r="AI63" s="269">
        <f t="shared" si="5"/>
        <v>0</v>
      </c>
      <c r="AJ63" s="269">
        <f t="shared" si="5"/>
        <v>1642998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12617810</v>
      </c>
      <c r="AQ63" s="269">
        <f t="shared" si="5"/>
        <v>0</v>
      </c>
      <c r="AR63" s="269">
        <f t="shared" si="5"/>
        <v>2105771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3805160</v>
      </c>
      <c r="AW63" s="269">
        <f t="shared" si="5"/>
        <v>0</v>
      </c>
      <c r="AX63" s="269">
        <f t="shared" si="5"/>
        <v>0</v>
      </c>
      <c r="AY63" s="269">
        <f t="shared" si="5"/>
        <v>355270</v>
      </c>
      <c r="AZ63" s="269">
        <f t="shared" si="5"/>
        <v>176914</v>
      </c>
      <c r="BA63" s="269">
        <f t="shared" si="5"/>
        <v>30772</v>
      </c>
      <c r="BB63" s="269">
        <f t="shared" si="5"/>
        <v>0</v>
      </c>
      <c r="BC63" s="269">
        <f t="shared" si="5"/>
        <v>0</v>
      </c>
      <c r="BD63" s="269">
        <f t="shared" si="5"/>
        <v>244104</v>
      </c>
      <c r="BE63" s="269">
        <f t="shared" si="5"/>
        <v>330009</v>
      </c>
      <c r="BF63" s="269">
        <f t="shared" si="5"/>
        <v>628171</v>
      </c>
      <c r="BG63" s="269">
        <f t="shared" si="5"/>
        <v>33214</v>
      </c>
      <c r="BH63" s="269">
        <f t="shared" si="5"/>
        <v>585823</v>
      </c>
      <c r="BI63" s="269">
        <f t="shared" si="5"/>
        <v>214888</v>
      </c>
      <c r="BJ63" s="269">
        <f t="shared" si="5"/>
        <v>138977</v>
      </c>
      <c r="BK63" s="269">
        <f t="shared" si="5"/>
        <v>601905</v>
      </c>
      <c r="BL63" s="269">
        <f t="shared" si="5"/>
        <v>580477</v>
      </c>
      <c r="BM63" s="269">
        <f t="shared" si="5"/>
        <v>247901</v>
      </c>
      <c r="BN63" s="269">
        <f t="shared" si="5"/>
        <v>691943</v>
      </c>
      <c r="BO63" s="269">
        <f t="shared" si="5"/>
        <v>187074</v>
      </c>
      <c r="BP63" s="269">
        <f t="shared" ref="BP63:CC63" si="6">ROUND(BP48+BP49,0)</f>
        <v>56856</v>
      </c>
      <c r="BQ63" s="269">
        <f t="shared" si="6"/>
        <v>0</v>
      </c>
      <c r="BR63" s="269">
        <f t="shared" si="6"/>
        <v>457576</v>
      </c>
      <c r="BS63" s="269">
        <f t="shared" si="6"/>
        <v>16909</v>
      </c>
      <c r="BT63" s="269">
        <f t="shared" si="6"/>
        <v>39906</v>
      </c>
      <c r="BU63" s="269">
        <f t="shared" si="6"/>
        <v>0</v>
      </c>
      <c r="BV63" s="269">
        <f t="shared" si="6"/>
        <v>617422</v>
      </c>
      <c r="BW63" s="269">
        <f t="shared" si="6"/>
        <v>74440</v>
      </c>
      <c r="BX63" s="269">
        <f t="shared" si="6"/>
        <v>1022344</v>
      </c>
      <c r="BY63" s="269">
        <f t="shared" si="6"/>
        <v>393891</v>
      </c>
      <c r="BZ63" s="269">
        <f t="shared" si="6"/>
        <v>310885</v>
      </c>
      <c r="CA63" s="269">
        <f t="shared" si="6"/>
        <v>0</v>
      </c>
      <c r="CB63" s="269">
        <f t="shared" si="6"/>
        <v>0</v>
      </c>
      <c r="CC63" s="269">
        <f t="shared" si="6"/>
        <v>1435893</v>
      </c>
      <c r="CD63" s="29" t="s">
        <v>233</v>
      </c>
      <c r="CE63" s="32">
        <f t="shared" si="4"/>
        <v>47972455</v>
      </c>
    </row>
    <row r="64" spans="1:83" x14ac:dyDescent="0.35">
      <c r="A64" s="39" t="s">
        <v>249</v>
      </c>
      <c r="B64" s="20"/>
      <c r="C64" s="213">
        <v>494025.5</v>
      </c>
      <c r="D64" s="213"/>
      <c r="E64" s="213"/>
      <c r="F64" s="213"/>
      <c r="G64" s="213"/>
      <c r="H64" s="213">
        <v>12675</v>
      </c>
      <c r="I64" s="213"/>
      <c r="J64" s="213"/>
      <c r="K64" s="213"/>
      <c r="L64" s="213"/>
      <c r="M64" s="213"/>
      <c r="N64" s="213"/>
      <c r="O64" s="213"/>
      <c r="P64" s="214">
        <v>227042.01</v>
      </c>
      <c r="Q64" s="214"/>
      <c r="R64" s="214"/>
      <c r="S64" s="228"/>
      <c r="T64" s="228"/>
      <c r="U64" s="227">
        <v>174000</v>
      </c>
      <c r="V64" s="214">
        <v>275</v>
      </c>
      <c r="W64" s="214"/>
      <c r="X64" s="214"/>
      <c r="Y64" s="214">
        <v>141906.25</v>
      </c>
      <c r="Z64" s="214">
        <v>-1000</v>
      </c>
      <c r="AA64" s="214"/>
      <c r="AB64" s="240"/>
      <c r="AC64" s="214"/>
      <c r="AD64" s="214"/>
      <c r="AE64" s="214"/>
      <c r="AF64" s="214"/>
      <c r="AG64" s="214">
        <v>11918167.039999999</v>
      </c>
      <c r="AH64" s="214"/>
      <c r="AI64" s="214"/>
      <c r="AJ64" s="214">
        <v>135961.48000000001</v>
      </c>
      <c r="AK64" s="214"/>
      <c r="AL64" s="214"/>
      <c r="AM64" s="214"/>
      <c r="AN64" s="214"/>
      <c r="AO64" s="214"/>
      <c r="AP64" s="214">
        <v>14425848.09</v>
      </c>
      <c r="AQ64" s="214"/>
      <c r="AR64" s="214"/>
      <c r="AS64" s="214"/>
      <c r="AT64" s="214"/>
      <c r="AU64" s="214"/>
      <c r="AV64" s="228">
        <v>3078937.02</v>
      </c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>
        <v>138455</v>
      </c>
      <c r="BI64" s="228">
        <v>2660000.02</v>
      </c>
      <c r="BJ64" s="228"/>
      <c r="BK64" s="228"/>
      <c r="BL64" s="228"/>
      <c r="BM64" s="228"/>
      <c r="BN64" s="228">
        <v>631586</v>
      </c>
      <c r="BO64" s="228">
        <v>58</v>
      </c>
      <c r="BP64" s="228"/>
      <c r="BQ64" s="228"/>
      <c r="BR64" s="228"/>
      <c r="BS64" s="228"/>
      <c r="BT64" s="228"/>
      <c r="BU64" s="228"/>
      <c r="BV64" s="228"/>
      <c r="BW64" s="228">
        <v>40750</v>
      </c>
      <c r="BX64" s="228"/>
      <c r="BY64" s="228"/>
      <c r="BZ64" s="228"/>
      <c r="CA64" s="228"/>
      <c r="CB64" s="228"/>
      <c r="CC64" s="228">
        <v>34029.519999999997</v>
      </c>
      <c r="CD64" s="29" t="s">
        <v>233</v>
      </c>
      <c r="CE64" s="32">
        <f t="shared" si="4"/>
        <v>34112715.93</v>
      </c>
    </row>
    <row r="65" spans="1:83" x14ac:dyDescent="0.35">
      <c r="A65" s="39" t="s">
        <v>250</v>
      </c>
      <c r="B65" s="20"/>
      <c r="C65" s="213">
        <v>640119.36</v>
      </c>
      <c r="D65" s="213"/>
      <c r="E65" s="213">
        <v>1782498.66</v>
      </c>
      <c r="F65" s="213">
        <v>163476.54999999999</v>
      </c>
      <c r="G65" s="213"/>
      <c r="H65" s="213">
        <v>54036.31</v>
      </c>
      <c r="I65" s="213"/>
      <c r="J65" s="213"/>
      <c r="K65" s="213"/>
      <c r="L65" s="213"/>
      <c r="M65" s="213"/>
      <c r="N65" s="213"/>
      <c r="O65" s="213">
        <v>620352.42000000004</v>
      </c>
      <c r="P65" s="214">
        <v>18856594.43</v>
      </c>
      <c r="Q65" s="214">
        <v>68365.87</v>
      </c>
      <c r="R65" s="214">
        <v>405582.39</v>
      </c>
      <c r="S65" s="228">
        <v>373396.19</v>
      </c>
      <c r="T65" s="228">
        <v>449141.63</v>
      </c>
      <c r="U65" s="227">
        <v>6549440.5700000003</v>
      </c>
      <c r="V65" s="214">
        <v>13322.9</v>
      </c>
      <c r="W65" s="214">
        <v>71841.899999999994</v>
      </c>
      <c r="X65" s="214">
        <v>428010.01</v>
      </c>
      <c r="Y65" s="214">
        <v>7293580.0599999996</v>
      </c>
      <c r="Z65" s="214">
        <v>74018.149999999994</v>
      </c>
      <c r="AA65" s="214">
        <v>649500.43000000005</v>
      </c>
      <c r="AB65" s="240">
        <v>12684771.880000001</v>
      </c>
      <c r="AC65" s="214">
        <v>872684.93</v>
      </c>
      <c r="AD65" s="214"/>
      <c r="AE65" s="214">
        <v>22512.94</v>
      </c>
      <c r="AF65" s="214"/>
      <c r="AG65" s="214">
        <v>1723359.74</v>
      </c>
      <c r="AH65" s="214"/>
      <c r="AI65" s="214"/>
      <c r="AJ65" s="214">
        <v>24209129.52</v>
      </c>
      <c r="AK65" s="214"/>
      <c r="AL65" s="214"/>
      <c r="AM65" s="214"/>
      <c r="AN65" s="214"/>
      <c r="AO65" s="214"/>
      <c r="AP65" s="214">
        <v>5388745.0499999998</v>
      </c>
      <c r="AQ65" s="214"/>
      <c r="AR65" s="214">
        <v>1095129.33</v>
      </c>
      <c r="AS65" s="214"/>
      <c r="AT65" s="214"/>
      <c r="AU65" s="214"/>
      <c r="AV65" s="228">
        <v>8329998.7199999997</v>
      </c>
      <c r="AW65" s="228"/>
      <c r="AX65" s="228"/>
      <c r="AY65" s="214">
        <v>580397</v>
      </c>
      <c r="AZ65" s="214">
        <v>555243.69999999995</v>
      </c>
      <c r="BA65" s="228">
        <v>400976.34</v>
      </c>
      <c r="BB65" s="228"/>
      <c r="BC65" s="228"/>
      <c r="BD65" s="228">
        <v>-241841.45</v>
      </c>
      <c r="BE65" s="214">
        <v>85716.32</v>
      </c>
      <c r="BF65" s="228">
        <v>401218</v>
      </c>
      <c r="BG65" s="228">
        <v>1063.93</v>
      </c>
      <c r="BH65" s="228">
        <v>6256.59</v>
      </c>
      <c r="BI65" s="228">
        <v>47282.49</v>
      </c>
      <c r="BJ65" s="228">
        <v>12751.19</v>
      </c>
      <c r="BK65" s="228">
        <v>15733.58</v>
      </c>
      <c r="BL65" s="228">
        <v>34136.86</v>
      </c>
      <c r="BM65" s="228">
        <v>1032.28</v>
      </c>
      <c r="BN65" s="228">
        <v>49738.47</v>
      </c>
      <c r="BO65" s="228">
        <v>75860.03</v>
      </c>
      <c r="BP65" s="228">
        <v>8041.19</v>
      </c>
      <c r="BQ65" s="228"/>
      <c r="BR65" s="228">
        <v>6337.79</v>
      </c>
      <c r="BS65" s="228">
        <v>2136.17</v>
      </c>
      <c r="BT65" s="228">
        <v>575.16</v>
      </c>
      <c r="BU65" s="228"/>
      <c r="BV65" s="228">
        <v>1357.65</v>
      </c>
      <c r="BW65" s="228">
        <v>2793.65</v>
      </c>
      <c r="BX65" s="228">
        <v>10815.18</v>
      </c>
      <c r="BY65" s="228">
        <v>4248.4399999999996</v>
      </c>
      <c r="BZ65" s="228">
        <v>2869.16</v>
      </c>
      <c r="CA65" s="228"/>
      <c r="CB65" s="228"/>
      <c r="CC65" s="228">
        <v>147496.6</v>
      </c>
      <c r="CD65" s="29" t="s">
        <v>233</v>
      </c>
      <c r="CE65" s="32">
        <f t="shared" si="4"/>
        <v>95031846.260000005</v>
      </c>
    </row>
    <row r="66" spans="1:83" x14ac:dyDescent="0.35">
      <c r="A66" s="39" t="s">
        <v>251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>
        <v>51450.21</v>
      </c>
      <c r="Q66" s="214"/>
      <c r="R66" s="214"/>
      <c r="S66" s="228"/>
      <c r="T66" s="228"/>
      <c r="U66" s="227">
        <v>86.46</v>
      </c>
      <c r="V66" s="214"/>
      <c r="W66" s="214"/>
      <c r="X66" s="214"/>
      <c r="Y66" s="214">
        <v>112836.86</v>
      </c>
      <c r="Z66" s="214"/>
      <c r="AA66" s="214">
        <v>357.1</v>
      </c>
      <c r="AB66" s="240">
        <v>3174.14</v>
      </c>
      <c r="AC66" s="214"/>
      <c r="AD66" s="214"/>
      <c r="AE66" s="214">
        <v>9561.61</v>
      </c>
      <c r="AF66" s="214"/>
      <c r="AG66" s="214"/>
      <c r="AH66" s="214"/>
      <c r="AI66" s="214"/>
      <c r="AJ66" s="214">
        <v>132362.82</v>
      </c>
      <c r="AK66" s="214"/>
      <c r="AL66" s="214"/>
      <c r="AM66" s="214"/>
      <c r="AN66" s="214"/>
      <c r="AO66" s="214"/>
      <c r="AP66" s="214">
        <v>439965.89</v>
      </c>
      <c r="AQ66" s="214"/>
      <c r="AR66" s="214">
        <v>67648.84</v>
      </c>
      <c r="AS66" s="214"/>
      <c r="AT66" s="214"/>
      <c r="AU66" s="214"/>
      <c r="AV66" s="228">
        <v>49915.77</v>
      </c>
      <c r="AW66" s="228"/>
      <c r="AX66" s="228"/>
      <c r="AY66" s="214"/>
      <c r="AZ66" s="214"/>
      <c r="BA66" s="228"/>
      <c r="BB66" s="228"/>
      <c r="BC66" s="228"/>
      <c r="BD66" s="228"/>
      <c r="BE66" s="214">
        <v>1495465.25</v>
      </c>
      <c r="BF66" s="228">
        <v>104184.85</v>
      </c>
      <c r="BG66" s="228"/>
      <c r="BH66" s="228"/>
      <c r="BI66" s="228"/>
      <c r="BJ66" s="228"/>
      <c r="BK66" s="228"/>
      <c r="BL66" s="228"/>
      <c r="BM66" s="228"/>
      <c r="BN66" s="228"/>
      <c r="BO66" s="228">
        <v>1539.45</v>
      </c>
      <c r="BP66" s="228">
        <v>5066.3599999999997</v>
      </c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>
        <v>123639.37</v>
      </c>
      <c r="CD66" s="29" t="s">
        <v>233</v>
      </c>
      <c r="CE66" s="32">
        <f t="shared" si="4"/>
        <v>2597254.9800000004</v>
      </c>
    </row>
    <row r="67" spans="1:83" x14ac:dyDescent="0.35">
      <c r="A67" s="39" t="s">
        <v>252</v>
      </c>
      <c r="B67" s="20"/>
      <c r="C67" s="213">
        <v>759251.45</v>
      </c>
      <c r="D67" s="213"/>
      <c r="E67" s="213">
        <v>2849808.55</v>
      </c>
      <c r="F67" s="213">
        <v>47941.79</v>
      </c>
      <c r="G67" s="213"/>
      <c r="H67" s="213">
        <v>127416.62</v>
      </c>
      <c r="I67" s="213"/>
      <c r="J67" s="213"/>
      <c r="K67" s="213"/>
      <c r="L67" s="213"/>
      <c r="M67" s="213"/>
      <c r="N67" s="213"/>
      <c r="O67" s="213">
        <v>84256</v>
      </c>
      <c r="P67" s="214">
        <v>1571237.8</v>
      </c>
      <c r="Q67" s="214">
        <v>15829.35</v>
      </c>
      <c r="R67" s="214">
        <v>570.45000000000005</v>
      </c>
      <c r="S67" s="228">
        <v>186126.15</v>
      </c>
      <c r="T67" s="228"/>
      <c r="U67" s="227">
        <v>5556117.2999999998</v>
      </c>
      <c r="V67" s="214"/>
      <c r="W67" s="214">
        <v>394209.73</v>
      </c>
      <c r="X67" s="214">
        <v>198747.66</v>
      </c>
      <c r="Y67" s="214">
        <v>1241956.26</v>
      </c>
      <c r="Z67" s="214">
        <v>725960</v>
      </c>
      <c r="AA67" s="214">
        <v>58039.69</v>
      </c>
      <c r="AB67" s="240">
        <v>274182.92</v>
      </c>
      <c r="AC67" s="214">
        <v>775452.67</v>
      </c>
      <c r="AD67" s="214">
        <v>1444793.34</v>
      </c>
      <c r="AE67" s="214">
        <v>5230.17</v>
      </c>
      <c r="AF67" s="214"/>
      <c r="AG67" s="214">
        <v>1520200.35</v>
      </c>
      <c r="AH67" s="214"/>
      <c r="AI67" s="214"/>
      <c r="AJ67" s="214">
        <v>194230.5</v>
      </c>
      <c r="AK67" s="214"/>
      <c r="AL67" s="214"/>
      <c r="AM67" s="214"/>
      <c r="AN67" s="214"/>
      <c r="AO67" s="214"/>
      <c r="AP67" s="214">
        <v>10657071.23</v>
      </c>
      <c r="AQ67" s="214"/>
      <c r="AR67" s="214">
        <v>694877.3</v>
      </c>
      <c r="AS67" s="214"/>
      <c r="AT67" s="214"/>
      <c r="AU67" s="214"/>
      <c r="AV67" s="228">
        <v>824106</v>
      </c>
      <c r="AW67" s="228"/>
      <c r="AX67" s="228"/>
      <c r="AY67" s="214">
        <v>3909.34</v>
      </c>
      <c r="AZ67" s="214"/>
      <c r="BA67" s="228">
        <v>618304.97</v>
      </c>
      <c r="BB67" s="228"/>
      <c r="BC67" s="228"/>
      <c r="BD67" s="228">
        <v>145332.81</v>
      </c>
      <c r="BE67" s="214">
        <v>400687.82</v>
      </c>
      <c r="BF67" s="228">
        <v>148613.42000000001</v>
      </c>
      <c r="BG67" s="228"/>
      <c r="BH67" s="228">
        <v>521970.35</v>
      </c>
      <c r="BI67" s="228">
        <v>726984.37</v>
      </c>
      <c r="BJ67" s="228">
        <v>348476.81</v>
      </c>
      <c r="BK67" s="228">
        <v>1584986.04</v>
      </c>
      <c r="BL67" s="228">
        <v>1463721.03</v>
      </c>
      <c r="BM67" s="228">
        <v>178769.68</v>
      </c>
      <c r="BN67" s="228">
        <v>4342911.59</v>
      </c>
      <c r="BO67" s="228">
        <v>249111.87</v>
      </c>
      <c r="BP67" s="228">
        <v>117788.97</v>
      </c>
      <c r="BQ67" s="228"/>
      <c r="BR67" s="228">
        <v>1163531.99</v>
      </c>
      <c r="BS67" s="228">
        <v>1816.95</v>
      </c>
      <c r="BT67" s="228">
        <v>32.36</v>
      </c>
      <c r="BU67" s="228"/>
      <c r="BV67" s="228">
        <v>1351286.9</v>
      </c>
      <c r="BW67" s="228">
        <v>22819.53</v>
      </c>
      <c r="BX67" s="228">
        <v>1638539.21</v>
      </c>
      <c r="BY67" s="228">
        <v>63547.98</v>
      </c>
      <c r="BZ67" s="228">
        <v>1572975.87</v>
      </c>
      <c r="CA67" s="228"/>
      <c r="CB67" s="228"/>
      <c r="CC67" s="228">
        <v>2139902.59</v>
      </c>
      <c r="CD67" s="29" t="s">
        <v>233</v>
      </c>
      <c r="CE67" s="32">
        <f t="shared" si="4"/>
        <v>49013635.730000004</v>
      </c>
    </row>
    <row r="68" spans="1:83" x14ac:dyDescent="0.35">
      <c r="A68" s="39" t="s">
        <v>11</v>
      </c>
      <c r="B68" s="20"/>
      <c r="C68" s="32">
        <f t="shared" ref="C68:BN68" si="7">ROUND(C52+C53,0)</f>
        <v>203272</v>
      </c>
      <c r="D68" s="32">
        <f t="shared" si="7"/>
        <v>0</v>
      </c>
      <c r="E68" s="32">
        <f t="shared" si="7"/>
        <v>1139140</v>
      </c>
      <c r="F68" s="32">
        <f t="shared" si="7"/>
        <v>335648</v>
      </c>
      <c r="G68" s="32">
        <f t="shared" si="7"/>
        <v>0</v>
      </c>
      <c r="H68" s="32">
        <f t="shared" si="7"/>
        <v>238692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189687</v>
      </c>
      <c r="P68" s="32">
        <f t="shared" si="7"/>
        <v>763633</v>
      </c>
      <c r="Q68" s="32">
        <f t="shared" si="7"/>
        <v>56004</v>
      </c>
      <c r="R68" s="32">
        <f t="shared" si="7"/>
        <v>11204</v>
      </c>
      <c r="S68" s="32">
        <f t="shared" si="7"/>
        <v>614683</v>
      </c>
      <c r="T68" s="32">
        <f t="shared" si="7"/>
        <v>5226</v>
      </c>
      <c r="U68" s="32">
        <f t="shared" si="7"/>
        <v>211576</v>
      </c>
      <c r="V68" s="32">
        <f t="shared" si="7"/>
        <v>4045</v>
      </c>
      <c r="W68" s="32">
        <f t="shared" si="7"/>
        <v>64022</v>
      </c>
      <c r="X68" s="32">
        <f t="shared" si="7"/>
        <v>52281</v>
      </c>
      <c r="Y68" s="32">
        <f t="shared" si="7"/>
        <v>691145</v>
      </c>
      <c r="Z68" s="32">
        <f t="shared" si="7"/>
        <v>227220</v>
      </c>
      <c r="AA68" s="32">
        <f t="shared" si="7"/>
        <v>40951</v>
      </c>
      <c r="AB68" s="32">
        <f t="shared" si="7"/>
        <v>160817</v>
      </c>
      <c r="AC68" s="32">
        <f t="shared" si="7"/>
        <v>55109</v>
      </c>
      <c r="AD68" s="32">
        <f t="shared" si="7"/>
        <v>4779</v>
      </c>
      <c r="AE68" s="32">
        <f t="shared" si="7"/>
        <v>197437</v>
      </c>
      <c r="AF68" s="32">
        <f t="shared" si="7"/>
        <v>0</v>
      </c>
      <c r="AG68" s="32">
        <f t="shared" si="7"/>
        <v>320703</v>
      </c>
      <c r="AH68" s="32">
        <f t="shared" si="7"/>
        <v>0</v>
      </c>
      <c r="AI68" s="32">
        <f t="shared" si="7"/>
        <v>0</v>
      </c>
      <c r="AJ68" s="32">
        <f t="shared" si="7"/>
        <v>303950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3957682</v>
      </c>
      <c r="AQ68" s="32">
        <f t="shared" si="7"/>
        <v>0</v>
      </c>
      <c r="AR68" s="32">
        <f t="shared" si="7"/>
        <v>616401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194877</v>
      </c>
      <c r="AW68" s="32">
        <f t="shared" si="7"/>
        <v>0</v>
      </c>
      <c r="AX68" s="32">
        <f t="shared" si="7"/>
        <v>0</v>
      </c>
      <c r="AY68" s="32">
        <f t="shared" si="7"/>
        <v>117270</v>
      </c>
      <c r="AZ68" s="32">
        <f t="shared" si="7"/>
        <v>69320</v>
      </c>
      <c r="BA68" s="32">
        <f t="shared" si="7"/>
        <v>47001</v>
      </c>
      <c r="BB68" s="32">
        <f t="shared" si="7"/>
        <v>0</v>
      </c>
      <c r="BC68" s="32">
        <f t="shared" si="7"/>
        <v>0</v>
      </c>
      <c r="BD68" s="32">
        <f t="shared" si="7"/>
        <v>119239</v>
      </c>
      <c r="BE68" s="32">
        <f t="shared" si="7"/>
        <v>7637421</v>
      </c>
      <c r="BF68" s="32">
        <f t="shared" si="7"/>
        <v>25398</v>
      </c>
      <c r="BG68" s="32">
        <f t="shared" si="7"/>
        <v>3508</v>
      </c>
      <c r="BH68" s="32">
        <f t="shared" si="7"/>
        <v>113332</v>
      </c>
      <c r="BI68" s="32">
        <f t="shared" si="7"/>
        <v>17021</v>
      </c>
      <c r="BJ68" s="32">
        <f t="shared" si="7"/>
        <v>47252</v>
      </c>
      <c r="BK68" s="32">
        <f t="shared" si="7"/>
        <v>138336</v>
      </c>
      <c r="BL68" s="32">
        <f t="shared" si="7"/>
        <v>70537</v>
      </c>
      <c r="BM68" s="32">
        <f t="shared" si="7"/>
        <v>40253</v>
      </c>
      <c r="BN68" s="32">
        <f t="shared" si="7"/>
        <v>25326</v>
      </c>
      <c r="BO68" s="32">
        <f t="shared" ref="BO68:CC68" si="8">ROUND(BO52+BO53,0)</f>
        <v>31251</v>
      </c>
      <c r="BP68" s="32">
        <f t="shared" si="8"/>
        <v>66260</v>
      </c>
      <c r="BQ68" s="32">
        <f t="shared" si="8"/>
        <v>0</v>
      </c>
      <c r="BR68" s="32">
        <f t="shared" si="8"/>
        <v>86019</v>
      </c>
      <c r="BS68" s="32">
        <f t="shared" si="8"/>
        <v>9057</v>
      </c>
      <c r="BT68" s="32">
        <f t="shared" si="8"/>
        <v>5352</v>
      </c>
      <c r="BU68" s="32">
        <f t="shared" si="8"/>
        <v>0</v>
      </c>
      <c r="BV68" s="32">
        <f t="shared" si="8"/>
        <v>56022</v>
      </c>
      <c r="BW68" s="32">
        <f t="shared" si="8"/>
        <v>31089</v>
      </c>
      <c r="BX68" s="32">
        <f t="shared" si="8"/>
        <v>36602</v>
      </c>
      <c r="BY68" s="32">
        <f t="shared" si="8"/>
        <v>5370</v>
      </c>
      <c r="BZ68" s="32">
        <f t="shared" si="8"/>
        <v>7571</v>
      </c>
      <c r="CA68" s="32">
        <f t="shared" si="8"/>
        <v>28333</v>
      </c>
      <c r="CB68" s="32">
        <f t="shared" si="8"/>
        <v>0</v>
      </c>
      <c r="CC68" s="32">
        <f t="shared" si="8"/>
        <v>344346</v>
      </c>
      <c r="CD68" s="29" t="s">
        <v>233</v>
      </c>
      <c r="CE68" s="32">
        <f t="shared" si="4"/>
        <v>19838670</v>
      </c>
    </row>
    <row r="69" spans="1:83" x14ac:dyDescent="0.35">
      <c r="A69" s="39" t="s">
        <v>253</v>
      </c>
      <c r="B69" s="32"/>
      <c r="C69" s="213">
        <v>2085.58</v>
      </c>
      <c r="D69" s="213"/>
      <c r="E69" s="213">
        <v>11361.54</v>
      </c>
      <c r="F69" s="213">
        <v>24511.25</v>
      </c>
      <c r="G69" s="213"/>
      <c r="H69" s="213">
        <v>6523.1</v>
      </c>
      <c r="I69" s="213"/>
      <c r="J69" s="213"/>
      <c r="K69" s="213"/>
      <c r="L69" s="213"/>
      <c r="M69" s="213"/>
      <c r="N69" s="213"/>
      <c r="O69" s="213">
        <v>261.79000000000002</v>
      </c>
      <c r="P69" s="214">
        <v>899072.5</v>
      </c>
      <c r="Q69" s="214">
        <v>2061.19</v>
      </c>
      <c r="R69" s="214">
        <v>18.52</v>
      </c>
      <c r="S69" s="228">
        <v>85548.05</v>
      </c>
      <c r="T69" s="228">
        <v>262.94</v>
      </c>
      <c r="U69" s="227">
        <v>504950.95</v>
      </c>
      <c r="V69" s="214">
        <v>9513.08</v>
      </c>
      <c r="W69" s="214">
        <v>727.39</v>
      </c>
      <c r="X69" s="214">
        <v>1003.26</v>
      </c>
      <c r="Y69" s="214">
        <v>809569.33</v>
      </c>
      <c r="Z69" s="214">
        <v>5162.95</v>
      </c>
      <c r="AA69" s="214">
        <v>24469.31</v>
      </c>
      <c r="AB69" s="240">
        <v>73416.52</v>
      </c>
      <c r="AC69" s="214">
        <v>89181.05</v>
      </c>
      <c r="AD69" s="214"/>
      <c r="AE69" s="214">
        <v>109839.29</v>
      </c>
      <c r="AF69" s="214"/>
      <c r="AG69" s="214">
        <v>5012.34</v>
      </c>
      <c r="AH69" s="214"/>
      <c r="AI69" s="214"/>
      <c r="AJ69" s="214">
        <v>71268.08</v>
      </c>
      <c r="AK69" s="214"/>
      <c r="AL69" s="214"/>
      <c r="AM69" s="214"/>
      <c r="AN69" s="214"/>
      <c r="AO69" s="214"/>
      <c r="AP69" s="214">
        <v>4947537.88</v>
      </c>
      <c r="AQ69" s="214"/>
      <c r="AR69" s="214">
        <v>287290.13</v>
      </c>
      <c r="AS69" s="214"/>
      <c r="AT69" s="214"/>
      <c r="AU69" s="214"/>
      <c r="AV69" s="228">
        <v>504444.7</v>
      </c>
      <c r="AW69" s="228"/>
      <c r="AX69" s="228"/>
      <c r="AY69" s="214">
        <v>12749.92</v>
      </c>
      <c r="AZ69" s="214"/>
      <c r="BA69" s="228">
        <v>215668.14</v>
      </c>
      <c r="BB69" s="228"/>
      <c r="BC69" s="228"/>
      <c r="BD69" s="228">
        <v>11740.16</v>
      </c>
      <c r="BE69" s="214">
        <v>208580.91</v>
      </c>
      <c r="BF69" s="228">
        <v>3277.69</v>
      </c>
      <c r="BG69" s="228">
        <v>1134.23</v>
      </c>
      <c r="BH69" s="228">
        <v>987.3</v>
      </c>
      <c r="BI69" s="228">
        <v>40887.96</v>
      </c>
      <c r="BJ69" s="228">
        <v>36048.81</v>
      </c>
      <c r="BK69" s="228">
        <v>7522.34</v>
      </c>
      <c r="BL69" s="228">
        <v>13162.01</v>
      </c>
      <c r="BM69" s="228">
        <v>1029.83</v>
      </c>
      <c r="BN69" s="228">
        <v>18139.37</v>
      </c>
      <c r="BO69" s="228">
        <v>80924.22</v>
      </c>
      <c r="BP69" s="228">
        <v>1409.56</v>
      </c>
      <c r="BQ69" s="228"/>
      <c r="BR69" s="228">
        <v>243152.18</v>
      </c>
      <c r="BS69" s="228">
        <v>244.47</v>
      </c>
      <c r="BT69" s="228">
        <v>52.91</v>
      </c>
      <c r="BU69" s="228"/>
      <c r="BV69" s="228">
        <v>94585</v>
      </c>
      <c r="BW69" s="228">
        <v>2933.49</v>
      </c>
      <c r="BX69" s="228">
        <v>40548.839999999997</v>
      </c>
      <c r="BY69" s="228">
        <v>472.62</v>
      </c>
      <c r="BZ69" s="228">
        <v>3813.69</v>
      </c>
      <c r="CA69" s="228"/>
      <c r="CB69" s="228"/>
      <c r="CC69" s="228">
        <v>159515.23000000001</v>
      </c>
      <c r="CD69" s="29" t="s">
        <v>233</v>
      </c>
      <c r="CE69" s="32">
        <f t="shared" si="4"/>
        <v>9673673.6000000015</v>
      </c>
    </row>
    <row r="70" spans="1:83" x14ac:dyDescent="0.35">
      <c r="A70" s="39" t="s">
        <v>254</v>
      </c>
      <c r="B70" s="20"/>
      <c r="C70" s="32">
        <f t="shared" ref="C70:BN70" si="9">SUM(C71:C84)</f>
        <v>85275.22</v>
      </c>
      <c r="D70" s="32">
        <f t="shared" si="9"/>
        <v>0</v>
      </c>
      <c r="E70" s="32">
        <f t="shared" si="9"/>
        <v>21155.63</v>
      </c>
      <c r="F70" s="32">
        <f t="shared" si="9"/>
        <v>43405.86</v>
      </c>
      <c r="G70" s="32">
        <f t="shared" si="9"/>
        <v>0</v>
      </c>
      <c r="H70" s="32">
        <f t="shared" si="9"/>
        <v>29435.45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21119.88</v>
      </c>
      <c r="P70" s="32">
        <f t="shared" si="9"/>
        <v>831161.71</v>
      </c>
      <c r="Q70" s="32">
        <f t="shared" si="9"/>
        <v>5543.32</v>
      </c>
      <c r="R70" s="32">
        <f t="shared" si="9"/>
        <v>8783.82</v>
      </c>
      <c r="S70" s="32">
        <f t="shared" si="9"/>
        <v>41066.43</v>
      </c>
      <c r="T70" s="32">
        <f t="shared" si="9"/>
        <v>220.32</v>
      </c>
      <c r="U70" s="32">
        <f t="shared" si="9"/>
        <v>763487.29</v>
      </c>
      <c r="V70" s="32">
        <f t="shared" si="9"/>
        <v>1188.98</v>
      </c>
      <c r="W70" s="32">
        <f t="shared" si="9"/>
        <v>14651.07</v>
      </c>
      <c r="X70" s="32">
        <f t="shared" si="9"/>
        <v>194177.93</v>
      </c>
      <c r="Y70" s="32">
        <f t="shared" si="9"/>
        <v>882483.94</v>
      </c>
      <c r="Z70" s="32">
        <f t="shared" si="9"/>
        <v>1036474.85</v>
      </c>
      <c r="AA70" s="32">
        <f t="shared" si="9"/>
        <v>19766.259999999998</v>
      </c>
      <c r="AB70" s="32">
        <f t="shared" si="9"/>
        <v>478354.63</v>
      </c>
      <c r="AC70" s="32">
        <f t="shared" si="9"/>
        <v>14553.68</v>
      </c>
      <c r="AD70" s="32">
        <f t="shared" si="9"/>
        <v>3115.79</v>
      </c>
      <c r="AE70" s="32">
        <f t="shared" si="9"/>
        <v>26442.19</v>
      </c>
      <c r="AF70" s="32">
        <f t="shared" si="9"/>
        <v>0</v>
      </c>
      <c r="AG70" s="32">
        <f t="shared" si="9"/>
        <v>75961.61</v>
      </c>
      <c r="AH70" s="32">
        <f t="shared" si="9"/>
        <v>0</v>
      </c>
      <c r="AI70" s="32">
        <f t="shared" si="9"/>
        <v>0</v>
      </c>
      <c r="AJ70" s="32">
        <f t="shared" si="9"/>
        <v>824841.47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6187125.2400000002</v>
      </c>
      <c r="AQ70" s="32">
        <f t="shared" si="9"/>
        <v>0</v>
      </c>
      <c r="AR70" s="32">
        <f t="shared" si="9"/>
        <v>555386.14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565975.37</v>
      </c>
      <c r="AW70" s="32">
        <f t="shared" si="9"/>
        <v>0</v>
      </c>
      <c r="AX70" s="32">
        <f t="shared" si="9"/>
        <v>0</v>
      </c>
      <c r="AY70" s="32">
        <f t="shared" si="9"/>
        <v>149272.89000000001</v>
      </c>
      <c r="AZ70" s="32">
        <f t="shared" si="9"/>
        <v>110721.29</v>
      </c>
      <c r="BA70" s="32">
        <f t="shared" si="9"/>
        <v>1619.6</v>
      </c>
      <c r="BB70" s="32">
        <f t="shared" si="9"/>
        <v>0</v>
      </c>
      <c r="BC70" s="32">
        <f t="shared" si="9"/>
        <v>0</v>
      </c>
      <c r="BD70" s="32">
        <f t="shared" si="9"/>
        <v>558719.81000000006</v>
      </c>
      <c r="BE70" s="32">
        <f t="shared" si="9"/>
        <v>2527890.12</v>
      </c>
      <c r="BF70" s="32">
        <f t="shared" si="9"/>
        <v>964498.91</v>
      </c>
      <c r="BG70" s="32">
        <f t="shared" si="9"/>
        <v>258560.58</v>
      </c>
      <c r="BH70" s="32">
        <f t="shared" si="9"/>
        <v>8964725.0299999993</v>
      </c>
      <c r="BI70" s="32">
        <f t="shared" si="9"/>
        <v>102258.59</v>
      </c>
      <c r="BJ70" s="32">
        <f t="shared" si="9"/>
        <v>150742.6</v>
      </c>
      <c r="BK70" s="32">
        <f t="shared" si="9"/>
        <v>257117.2</v>
      </c>
      <c r="BL70" s="32">
        <f t="shared" si="9"/>
        <v>73573.94</v>
      </c>
      <c r="BM70" s="32">
        <f t="shared" si="9"/>
        <v>236785.97</v>
      </c>
      <c r="BN70" s="32">
        <f t="shared" si="9"/>
        <v>10298225.65</v>
      </c>
      <c r="BO70" s="32">
        <f t="shared" ref="BO70:CD70" si="10">SUM(BO71:BO84)</f>
        <v>84874.98</v>
      </c>
      <c r="BP70" s="32">
        <f t="shared" si="10"/>
        <v>57355.05</v>
      </c>
      <c r="BQ70" s="32">
        <f t="shared" si="10"/>
        <v>0</v>
      </c>
      <c r="BR70" s="32">
        <f t="shared" si="10"/>
        <v>703418.48</v>
      </c>
      <c r="BS70" s="32">
        <f t="shared" si="10"/>
        <v>12520.93</v>
      </c>
      <c r="BT70" s="32">
        <f t="shared" si="10"/>
        <v>2620.9299999999998</v>
      </c>
      <c r="BU70" s="32">
        <f t="shared" si="10"/>
        <v>0</v>
      </c>
      <c r="BV70" s="32">
        <f t="shared" si="10"/>
        <v>11103.6</v>
      </c>
      <c r="BW70" s="32">
        <f t="shared" si="10"/>
        <v>204899.79</v>
      </c>
      <c r="BX70" s="32">
        <f t="shared" si="10"/>
        <v>369240.21</v>
      </c>
      <c r="BY70" s="32">
        <f t="shared" si="10"/>
        <v>167230.45000000001</v>
      </c>
      <c r="BZ70" s="32">
        <f t="shared" si="10"/>
        <v>75064.039999999994</v>
      </c>
      <c r="CA70" s="32">
        <f t="shared" si="10"/>
        <v>3326.01</v>
      </c>
      <c r="CB70" s="32">
        <f t="shared" si="10"/>
        <v>0</v>
      </c>
      <c r="CC70" s="32">
        <f t="shared" si="10"/>
        <v>3989618.22</v>
      </c>
      <c r="CD70" s="32">
        <f t="shared" si="10"/>
        <v>9000093.3399999999</v>
      </c>
      <c r="CE70" s="32">
        <f>SUM(CE71:CE85)</f>
        <v>69998368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85275.22</v>
      </c>
      <c r="D84" s="24"/>
      <c r="E84" s="30">
        <v>21155.63</v>
      </c>
      <c r="F84" s="30">
        <v>43405.86</v>
      </c>
      <c r="G84" s="24"/>
      <c r="H84" s="24">
        <v>29435.45</v>
      </c>
      <c r="I84" s="30"/>
      <c r="J84" s="30"/>
      <c r="K84" s="30"/>
      <c r="L84" s="30"/>
      <c r="M84" s="24"/>
      <c r="N84" s="24"/>
      <c r="O84" s="24">
        <v>21119.88</v>
      </c>
      <c r="P84" s="30">
        <v>831161.71</v>
      </c>
      <c r="Q84" s="30">
        <v>5543.32</v>
      </c>
      <c r="R84" s="31">
        <v>8783.82</v>
      </c>
      <c r="S84" s="30">
        <v>41066.43</v>
      </c>
      <c r="T84" s="24">
        <v>220.32</v>
      </c>
      <c r="U84" s="30">
        <v>763487.29</v>
      </c>
      <c r="V84" s="30">
        <v>1188.98</v>
      </c>
      <c r="W84" s="24">
        <v>14651.07</v>
      </c>
      <c r="X84" s="30">
        <v>194177.93</v>
      </c>
      <c r="Y84" s="30">
        <v>882483.94</v>
      </c>
      <c r="Z84" s="30">
        <v>1036474.85</v>
      </c>
      <c r="AA84" s="30">
        <v>19766.259999999998</v>
      </c>
      <c r="AB84" s="30">
        <v>478354.63</v>
      </c>
      <c r="AC84" s="30">
        <v>14553.68</v>
      </c>
      <c r="AD84" s="30">
        <v>3115.79</v>
      </c>
      <c r="AE84" s="30">
        <v>26442.19</v>
      </c>
      <c r="AF84" s="30"/>
      <c r="AG84" s="30">
        <v>75961.61</v>
      </c>
      <c r="AH84" s="30"/>
      <c r="AI84" s="30"/>
      <c r="AJ84" s="30">
        <v>824841.47</v>
      </c>
      <c r="AK84" s="30"/>
      <c r="AL84" s="30"/>
      <c r="AM84" s="30"/>
      <c r="AN84" s="30"/>
      <c r="AO84" s="24"/>
      <c r="AP84" s="30">
        <v>6187125.2400000002</v>
      </c>
      <c r="AQ84" s="24"/>
      <c r="AR84" s="24">
        <v>555386.14</v>
      </c>
      <c r="AS84" s="24"/>
      <c r="AT84" s="24"/>
      <c r="AU84" s="30"/>
      <c r="AV84" s="30">
        <v>565975.37</v>
      </c>
      <c r="AW84" s="30"/>
      <c r="AX84" s="30"/>
      <c r="AY84" s="30">
        <v>149272.89000000001</v>
      </c>
      <c r="AZ84" s="30">
        <v>110721.29</v>
      </c>
      <c r="BA84" s="30">
        <v>1619.6</v>
      </c>
      <c r="BB84" s="30"/>
      <c r="BC84" s="30"/>
      <c r="BD84" s="30">
        <v>558719.81000000006</v>
      </c>
      <c r="BE84" s="30">
        <v>2527890.12</v>
      </c>
      <c r="BF84" s="30">
        <v>964498.91</v>
      </c>
      <c r="BG84" s="30">
        <v>258560.58</v>
      </c>
      <c r="BH84" s="31">
        <v>8964725.0299999993</v>
      </c>
      <c r="BI84" s="30">
        <v>102258.59</v>
      </c>
      <c r="BJ84" s="30">
        <v>150742.6</v>
      </c>
      <c r="BK84" s="30">
        <v>257117.2</v>
      </c>
      <c r="BL84" s="30">
        <v>73573.94</v>
      </c>
      <c r="BM84" s="30">
        <v>236785.97</v>
      </c>
      <c r="BN84" s="30">
        <v>10298225.65</v>
      </c>
      <c r="BO84" s="30">
        <v>84874.98</v>
      </c>
      <c r="BP84" s="30">
        <v>57355.05</v>
      </c>
      <c r="BQ84" s="30"/>
      <c r="BR84" s="30">
        <v>703418.48</v>
      </c>
      <c r="BS84" s="30">
        <v>12520.93</v>
      </c>
      <c r="BT84" s="30">
        <v>2620.9299999999998</v>
      </c>
      <c r="BU84" s="30"/>
      <c r="BV84" s="30">
        <v>11103.6</v>
      </c>
      <c r="BW84" s="30">
        <v>204899.79</v>
      </c>
      <c r="BX84" s="30">
        <v>369240.21</v>
      </c>
      <c r="BY84" s="30">
        <v>167230.45000000001</v>
      </c>
      <c r="BZ84" s="30">
        <v>75064.039999999994</v>
      </c>
      <c r="CA84" s="30">
        <v>3326.01</v>
      </c>
      <c r="CB84" s="30"/>
      <c r="CC84" s="30">
        <v>3989618.22</v>
      </c>
      <c r="CD84" s="35">
        <v>9000093.3399999999</v>
      </c>
      <c r="CE84" s="32">
        <f t="shared" si="11"/>
        <v>52067232.289999992</v>
      </c>
    </row>
    <row r="85" spans="1:84" x14ac:dyDescent="0.35">
      <c r="A85" s="39" t="s">
        <v>269</v>
      </c>
      <c r="B85" s="20"/>
      <c r="C85" s="213">
        <v>71696.11</v>
      </c>
      <c r="D85" s="213"/>
      <c r="E85" s="213">
        <v>600.82000000000005</v>
      </c>
      <c r="F85" s="213">
        <v>31913.24</v>
      </c>
      <c r="G85" s="213"/>
      <c r="H85" s="213"/>
      <c r="I85" s="213"/>
      <c r="J85" s="213"/>
      <c r="K85" s="213"/>
      <c r="L85" s="213"/>
      <c r="M85" s="213"/>
      <c r="N85" s="213"/>
      <c r="O85" s="213">
        <v>18619.98</v>
      </c>
      <c r="P85" s="213"/>
      <c r="Q85" s="213"/>
      <c r="R85" s="213"/>
      <c r="S85" s="213"/>
      <c r="T85" s="213"/>
      <c r="U85" s="213">
        <v>75010.95</v>
      </c>
      <c r="V85" s="213"/>
      <c r="W85" s="213"/>
      <c r="X85" s="213"/>
      <c r="Y85" s="213">
        <v>21874.27</v>
      </c>
      <c r="Z85" s="213"/>
      <c r="AA85" s="213"/>
      <c r="AB85" s="213">
        <v>137123.76999999999</v>
      </c>
      <c r="AC85" s="213"/>
      <c r="AD85" s="213"/>
      <c r="AE85" s="213">
        <v>203784.55</v>
      </c>
      <c r="AF85" s="213"/>
      <c r="AG85" s="213">
        <v>38794.69</v>
      </c>
      <c r="AH85" s="213"/>
      <c r="AI85" s="213"/>
      <c r="AJ85" s="213">
        <v>1756253.02</v>
      </c>
      <c r="AK85" s="213"/>
      <c r="AL85" s="213"/>
      <c r="AM85" s="213"/>
      <c r="AN85" s="213"/>
      <c r="AO85" s="213"/>
      <c r="AP85" s="213">
        <v>310474.86</v>
      </c>
      <c r="AQ85" s="213"/>
      <c r="AR85" s="213">
        <v>163982.04999999999</v>
      </c>
      <c r="AS85" s="213"/>
      <c r="AT85" s="213"/>
      <c r="AU85" s="213"/>
      <c r="AV85" s="213">
        <v>7465701.9800000004</v>
      </c>
      <c r="AW85" s="213"/>
      <c r="AX85" s="213"/>
      <c r="AY85" s="213"/>
      <c r="AZ85" s="213">
        <v>1565351.23</v>
      </c>
      <c r="BA85" s="213"/>
      <c r="BB85" s="213"/>
      <c r="BC85" s="213"/>
      <c r="BD85" s="213">
        <v>109790.38</v>
      </c>
      <c r="BE85" s="213"/>
      <c r="BF85" s="213"/>
      <c r="BG85" s="213"/>
      <c r="BH85" s="213">
        <v>211693.72</v>
      </c>
      <c r="BI85" s="213"/>
      <c r="BJ85" s="213">
        <v>8838.09</v>
      </c>
      <c r="BK85" s="213">
        <v>130.19999999999999</v>
      </c>
      <c r="BL85" s="213">
        <v>2125.52</v>
      </c>
      <c r="BM85" s="213"/>
      <c r="BN85" s="213">
        <v>1787617.19</v>
      </c>
      <c r="BO85" s="213">
        <v>40130.230000000003</v>
      </c>
      <c r="BP85" s="213"/>
      <c r="BQ85" s="213"/>
      <c r="BR85" s="213">
        <v>519.30999999999995</v>
      </c>
      <c r="BS85" s="213"/>
      <c r="BT85" s="213"/>
      <c r="BU85" s="213"/>
      <c r="BV85" s="213">
        <v>1475.06</v>
      </c>
      <c r="BW85" s="213">
        <v>168027.5</v>
      </c>
      <c r="BX85" s="213"/>
      <c r="BY85" s="213"/>
      <c r="BZ85" s="213"/>
      <c r="CA85" s="213"/>
      <c r="CB85" s="213"/>
      <c r="CC85" s="213">
        <v>3739606.99</v>
      </c>
      <c r="CD85" s="35"/>
      <c r="CE85" s="32">
        <f t="shared" si="11"/>
        <v>17931135.710000001</v>
      </c>
    </row>
    <row r="86" spans="1:84" x14ac:dyDescent="0.35">
      <c r="A86" s="39" t="s">
        <v>270</v>
      </c>
      <c r="B86" s="32"/>
      <c r="C86" s="32">
        <f>SUM(C62:C70)-C85</f>
        <v>9299060.910000002</v>
      </c>
      <c r="D86" s="32">
        <f t="shared" ref="D86:BO86" si="12">SUM(D62:D70)-D85</f>
        <v>0</v>
      </c>
      <c r="E86" s="32">
        <f t="shared" si="12"/>
        <v>32238643.419999998</v>
      </c>
      <c r="F86" s="32">
        <f t="shared" si="12"/>
        <v>5578640.79</v>
      </c>
      <c r="G86" s="32">
        <f t="shared" si="12"/>
        <v>0</v>
      </c>
      <c r="H86" s="32">
        <f t="shared" si="12"/>
        <v>4257508.1900000004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6104874.3499999996</v>
      </c>
      <c r="P86" s="32">
        <f t="shared" si="12"/>
        <v>32169457.73</v>
      </c>
      <c r="Q86" s="32">
        <f t="shared" si="12"/>
        <v>3423630.26</v>
      </c>
      <c r="R86" s="32">
        <f t="shared" si="12"/>
        <v>712640.57</v>
      </c>
      <c r="S86" s="32">
        <f t="shared" si="12"/>
        <v>2701374.65</v>
      </c>
      <c r="T86" s="32">
        <f t="shared" si="12"/>
        <v>1787301.8800000001</v>
      </c>
      <c r="U86" s="32">
        <f t="shared" si="12"/>
        <v>19493230.09</v>
      </c>
      <c r="V86" s="32">
        <f t="shared" si="12"/>
        <v>124515.93999999999</v>
      </c>
      <c r="W86" s="32">
        <f t="shared" si="12"/>
        <v>1795302.4299999997</v>
      </c>
      <c r="X86" s="32">
        <f t="shared" si="12"/>
        <v>2675603.23</v>
      </c>
      <c r="Y86" s="32">
        <f t="shared" si="12"/>
        <v>18962645.229999997</v>
      </c>
      <c r="Z86" s="32">
        <f t="shared" si="12"/>
        <v>3809728.9200000004</v>
      </c>
      <c r="AA86" s="32">
        <f t="shared" si="12"/>
        <v>1398246.2100000002</v>
      </c>
      <c r="AB86" s="32">
        <f t="shared" si="12"/>
        <v>22206344.41</v>
      </c>
      <c r="AC86" s="32">
        <f t="shared" si="12"/>
        <v>4450620.2</v>
      </c>
      <c r="AD86" s="32">
        <f t="shared" si="12"/>
        <v>1452688.1300000001</v>
      </c>
      <c r="AE86" s="32">
        <f t="shared" si="12"/>
        <v>3151417.35</v>
      </c>
      <c r="AF86" s="32">
        <f t="shared" si="12"/>
        <v>0</v>
      </c>
      <c r="AG86" s="32">
        <f t="shared" si="12"/>
        <v>25989342.77</v>
      </c>
      <c r="AH86" s="32">
        <f t="shared" si="12"/>
        <v>0</v>
      </c>
      <c r="AI86" s="32">
        <f t="shared" si="12"/>
        <v>0</v>
      </c>
      <c r="AJ86" s="32">
        <f t="shared" si="12"/>
        <v>33685811.889999993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119191152.8</v>
      </c>
      <c r="AQ86" s="32">
        <f t="shared" si="12"/>
        <v>0</v>
      </c>
      <c r="AR86" s="32">
        <f t="shared" si="12"/>
        <v>15418683.690000001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28247282.950000007</v>
      </c>
      <c r="AW86" s="32">
        <f t="shared" si="12"/>
        <v>0</v>
      </c>
      <c r="AX86" s="32">
        <f t="shared" si="12"/>
        <v>0</v>
      </c>
      <c r="AY86" s="32">
        <f t="shared" si="12"/>
        <v>2933017.89</v>
      </c>
      <c r="AZ86" s="32">
        <f t="shared" si="12"/>
        <v>200441.02000000002</v>
      </c>
      <c r="BA86" s="32">
        <f t="shared" si="12"/>
        <v>1462812.27</v>
      </c>
      <c r="BB86" s="32">
        <f t="shared" si="12"/>
        <v>0</v>
      </c>
      <c r="BC86" s="32">
        <f t="shared" si="12"/>
        <v>0</v>
      </c>
      <c r="BD86" s="32">
        <f t="shared" si="12"/>
        <v>1905283.2400000002</v>
      </c>
      <c r="BE86" s="32">
        <f t="shared" si="12"/>
        <v>14278034.039999999</v>
      </c>
      <c r="BF86" s="32">
        <f t="shared" si="12"/>
        <v>5306230.9200000009</v>
      </c>
      <c r="BG86" s="32">
        <f t="shared" si="12"/>
        <v>457733.07999999996</v>
      </c>
      <c r="BH86" s="32">
        <f t="shared" si="12"/>
        <v>12946398.689999999</v>
      </c>
      <c r="BI86" s="32">
        <f t="shared" si="12"/>
        <v>4846139.53</v>
      </c>
      <c r="BJ86" s="32">
        <f t="shared" si="12"/>
        <v>1395963.2</v>
      </c>
      <c r="BK86" s="32">
        <f t="shared" si="12"/>
        <v>5509609.1799999997</v>
      </c>
      <c r="BL86" s="32">
        <f t="shared" si="12"/>
        <v>5034232.3900000006</v>
      </c>
      <c r="BM86" s="32">
        <f t="shared" si="12"/>
        <v>1901873.16</v>
      </c>
      <c r="BN86" s="32">
        <f t="shared" si="12"/>
        <v>17608818.029999997</v>
      </c>
      <c r="BO86" s="32">
        <f t="shared" si="12"/>
        <v>1573179.9600000002</v>
      </c>
      <c r="BP86" s="32">
        <f t="shared" ref="BP86:CD86" si="13">SUM(BP62:BP70)-BP85</f>
        <v>587102.69000000006</v>
      </c>
      <c r="BQ86" s="32">
        <f t="shared" si="13"/>
        <v>0</v>
      </c>
      <c r="BR86" s="32">
        <f t="shared" si="13"/>
        <v>4867280.4800000004</v>
      </c>
      <c r="BS86" s="32">
        <f t="shared" si="13"/>
        <v>124268.91999999998</v>
      </c>
      <c r="BT86" s="32">
        <f t="shared" si="13"/>
        <v>241080.21999999997</v>
      </c>
      <c r="BU86" s="32">
        <f t="shared" si="13"/>
        <v>0</v>
      </c>
      <c r="BV86" s="32">
        <f t="shared" si="13"/>
        <v>5109312.21</v>
      </c>
      <c r="BW86" s="32">
        <f t="shared" si="13"/>
        <v>570865.05000000005</v>
      </c>
      <c r="BX86" s="32">
        <f t="shared" si="13"/>
        <v>8050810.3799999999</v>
      </c>
      <c r="BY86" s="32">
        <f t="shared" si="13"/>
        <v>2535248.5100000002</v>
      </c>
      <c r="BZ86" s="32">
        <f t="shared" si="13"/>
        <v>3473172.78</v>
      </c>
      <c r="CA86" s="32">
        <f t="shared" si="13"/>
        <v>31659.010000000002</v>
      </c>
      <c r="CB86" s="32">
        <f t="shared" si="13"/>
        <v>0</v>
      </c>
      <c r="CC86" s="32">
        <f t="shared" si="13"/>
        <v>11562893.99</v>
      </c>
      <c r="CD86" s="32">
        <f t="shared" si="13"/>
        <v>9000093.3399999999</v>
      </c>
      <c r="CE86" s="32">
        <f t="shared" si="11"/>
        <v>523839303.16999984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33199126.239999998</v>
      </c>
      <c r="D88" s="213"/>
      <c r="E88" s="213">
        <v>139569792.25</v>
      </c>
      <c r="F88" s="213">
        <v>23310480.170000002</v>
      </c>
      <c r="G88" s="213"/>
      <c r="H88" s="213">
        <v>20567208.309999999</v>
      </c>
      <c r="I88" s="213"/>
      <c r="J88" s="213"/>
      <c r="K88" s="213"/>
      <c r="L88" s="213"/>
      <c r="M88" s="213"/>
      <c r="N88" s="213"/>
      <c r="O88" s="213">
        <v>12276572.59</v>
      </c>
      <c r="P88" s="213">
        <v>27727397.399999999</v>
      </c>
      <c r="Q88" s="213">
        <v>1896115.76</v>
      </c>
      <c r="R88" s="213">
        <v>1304867.97</v>
      </c>
      <c r="S88" s="213">
        <v>105965.56</v>
      </c>
      <c r="T88" s="213">
        <v>1428707.05</v>
      </c>
      <c r="U88" s="213">
        <v>43800695.93</v>
      </c>
      <c r="V88" s="213">
        <v>2457875.7599999998</v>
      </c>
      <c r="W88" s="213">
        <v>2886426.78</v>
      </c>
      <c r="X88" s="213">
        <v>21873202.41</v>
      </c>
      <c r="Y88" s="213">
        <v>27977946.699999999</v>
      </c>
      <c r="Z88" s="213">
        <v>168973.58</v>
      </c>
      <c r="AA88" s="213">
        <v>196148.29</v>
      </c>
      <c r="AB88" s="213">
        <v>44527430.799999997</v>
      </c>
      <c r="AC88" s="213">
        <v>25612450.600000001</v>
      </c>
      <c r="AD88" s="213">
        <v>3093714.98</v>
      </c>
      <c r="AE88" s="213">
        <v>2616122.1800000002</v>
      </c>
      <c r="AF88" s="213"/>
      <c r="AG88" s="213">
        <v>30283561.75</v>
      </c>
      <c r="AH88" s="213"/>
      <c r="AI88" s="213"/>
      <c r="AJ88" s="213">
        <v>1162504.31</v>
      </c>
      <c r="AK88" s="213"/>
      <c r="AL88" s="213"/>
      <c r="AM88" s="213"/>
      <c r="AN88" s="213"/>
      <c r="AO88" s="213"/>
      <c r="AP88" s="213">
        <v>18104231.039999999</v>
      </c>
      <c r="AQ88" s="213"/>
      <c r="AR88" s="213"/>
      <c r="AS88" s="213"/>
      <c r="AT88" s="213"/>
      <c r="AU88" s="213"/>
      <c r="AV88" s="213">
        <v>17336090.190000001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503483608.60000008</v>
      </c>
    </row>
    <row r="89" spans="1:84" x14ac:dyDescent="0.35">
      <c r="A89" s="26" t="s">
        <v>273</v>
      </c>
      <c r="B89" s="20"/>
      <c r="C89" s="213">
        <v>1036324.66</v>
      </c>
      <c r="D89" s="213"/>
      <c r="E89" s="213">
        <v>23576878.09</v>
      </c>
      <c r="F89" s="213">
        <v>616793.04</v>
      </c>
      <c r="G89" s="213"/>
      <c r="H89" s="213">
        <v>35423.370000000003</v>
      </c>
      <c r="I89" s="213"/>
      <c r="J89" s="213"/>
      <c r="K89" s="213"/>
      <c r="L89" s="213"/>
      <c r="M89" s="213"/>
      <c r="N89" s="213"/>
      <c r="O89" s="213">
        <v>1034264.89</v>
      </c>
      <c r="P89" s="213">
        <v>119133485.55</v>
      </c>
      <c r="Q89" s="213">
        <v>8553393.3399999999</v>
      </c>
      <c r="R89" s="213">
        <v>5451204.2199999997</v>
      </c>
      <c r="S89" s="213">
        <v>195152.45</v>
      </c>
      <c r="T89" s="213">
        <v>847870.25</v>
      </c>
      <c r="U89" s="213">
        <v>52245429.159999996</v>
      </c>
      <c r="V89" s="213">
        <v>5331537.33</v>
      </c>
      <c r="W89" s="213">
        <v>23239382.16</v>
      </c>
      <c r="X89" s="213">
        <v>79680848.680000007</v>
      </c>
      <c r="Y89" s="213">
        <v>85463833.689999998</v>
      </c>
      <c r="Z89" s="213">
        <v>23480753.239999998</v>
      </c>
      <c r="AA89" s="213">
        <v>8419589.5399999991</v>
      </c>
      <c r="AB89" s="213">
        <v>39391118.93</v>
      </c>
      <c r="AC89" s="213">
        <v>5783281.3899999997</v>
      </c>
      <c r="AD89" s="213">
        <v>239397.35</v>
      </c>
      <c r="AE89" s="213">
        <v>4824796.08</v>
      </c>
      <c r="AF89" s="213"/>
      <c r="AG89" s="213">
        <v>145539630.78</v>
      </c>
      <c r="AH89" s="213"/>
      <c r="AI89" s="213"/>
      <c r="AJ89" s="213">
        <v>184504033.90000001</v>
      </c>
      <c r="AK89" s="213"/>
      <c r="AL89" s="213"/>
      <c r="AM89" s="213"/>
      <c r="AN89" s="213"/>
      <c r="AO89" s="213"/>
      <c r="AP89" s="213">
        <v>201218565.43000001</v>
      </c>
      <c r="AQ89" s="213"/>
      <c r="AR89" s="213">
        <v>25935982.309999999</v>
      </c>
      <c r="AS89" s="213"/>
      <c r="AT89" s="213"/>
      <c r="AU89" s="213"/>
      <c r="AV89" s="213">
        <v>117840283.66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1163619253.49</v>
      </c>
    </row>
    <row r="90" spans="1:84" x14ac:dyDescent="0.35">
      <c r="A90" s="26" t="s">
        <v>274</v>
      </c>
      <c r="B90" s="20"/>
      <c r="C90" s="32">
        <f>C88+C89</f>
        <v>34235450.899999999</v>
      </c>
      <c r="D90" s="32">
        <f t="shared" ref="D90:AV90" si="15">D88+D89</f>
        <v>0</v>
      </c>
      <c r="E90" s="32">
        <f t="shared" si="15"/>
        <v>163146670.34</v>
      </c>
      <c r="F90" s="32">
        <f t="shared" si="15"/>
        <v>23927273.210000001</v>
      </c>
      <c r="G90" s="32">
        <f t="shared" si="15"/>
        <v>0</v>
      </c>
      <c r="H90" s="32">
        <f t="shared" si="15"/>
        <v>20602631.68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13310837.48</v>
      </c>
      <c r="P90" s="32">
        <f t="shared" si="15"/>
        <v>146860882.94999999</v>
      </c>
      <c r="Q90" s="32">
        <f t="shared" si="15"/>
        <v>10449509.1</v>
      </c>
      <c r="R90" s="32">
        <f t="shared" si="15"/>
        <v>6756072.1899999995</v>
      </c>
      <c r="S90" s="32">
        <f t="shared" si="15"/>
        <v>301118.01</v>
      </c>
      <c r="T90" s="32">
        <f t="shared" si="15"/>
        <v>2276577.2999999998</v>
      </c>
      <c r="U90" s="32">
        <f t="shared" si="15"/>
        <v>96046125.090000004</v>
      </c>
      <c r="V90" s="32">
        <f t="shared" si="15"/>
        <v>7789413.0899999999</v>
      </c>
      <c r="W90" s="32">
        <f t="shared" si="15"/>
        <v>26125808.940000001</v>
      </c>
      <c r="X90" s="32">
        <f t="shared" si="15"/>
        <v>101554051.09</v>
      </c>
      <c r="Y90" s="32">
        <f t="shared" si="15"/>
        <v>113441780.39</v>
      </c>
      <c r="Z90" s="32">
        <f t="shared" si="15"/>
        <v>23649726.819999997</v>
      </c>
      <c r="AA90" s="32">
        <f t="shared" si="15"/>
        <v>8615737.8299999982</v>
      </c>
      <c r="AB90" s="32">
        <f t="shared" si="15"/>
        <v>83918549.729999989</v>
      </c>
      <c r="AC90" s="32">
        <f t="shared" si="15"/>
        <v>31395731.990000002</v>
      </c>
      <c r="AD90" s="32">
        <f t="shared" si="15"/>
        <v>3333112.33</v>
      </c>
      <c r="AE90" s="32">
        <f t="shared" si="15"/>
        <v>7440918.2599999998</v>
      </c>
      <c r="AF90" s="32">
        <f t="shared" si="15"/>
        <v>0</v>
      </c>
      <c r="AG90" s="32">
        <f t="shared" si="15"/>
        <v>175823192.53</v>
      </c>
      <c r="AH90" s="32">
        <f t="shared" si="15"/>
        <v>0</v>
      </c>
      <c r="AI90" s="32">
        <f t="shared" si="15"/>
        <v>0</v>
      </c>
      <c r="AJ90" s="32">
        <f t="shared" si="15"/>
        <v>185666538.21000001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219322796.47</v>
      </c>
      <c r="AQ90" s="32">
        <f t="shared" si="15"/>
        <v>0</v>
      </c>
      <c r="AR90" s="32">
        <f t="shared" si="15"/>
        <v>25935982.309999999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135176373.84999999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1667102862.0900002</v>
      </c>
    </row>
    <row r="91" spans="1:84" x14ac:dyDescent="0.35">
      <c r="A91" s="39" t="s">
        <v>275</v>
      </c>
      <c r="B91" s="32"/>
      <c r="C91" s="213">
        <v>11357</v>
      </c>
      <c r="D91" s="213"/>
      <c r="E91" s="213">
        <v>63645</v>
      </c>
      <c r="F91" s="213">
        <v>18753</v>
      </c>
      <c r="G91" s="213"/>
      <c r="H91" s="213">
        <v>13336</v>
      </c>
      <c r="I91" s="213"/>
      <c r="J91" s="213"/>
      <c r="K91" s="213"/>
      <c r="L91" s="213"/>
      <c r="M91" s="213"/>
      <c r="N91" s="213"/>
      <c r="O91" s="213">
        <v>10598</v>
      </c>
      <c r="P91" s="213">
        <v>42665</v>
      </c>
      <c r="Q91" s="213">
        <v>3129</v>
      </c>
      <c r="R91" s="213">
        <v>626</v>
      </c>
      <c r="S91" s="213">
        <v>34343</v>
      </c>
      <c r="T91" s="213">
        <v>292</v>
      </c>
      <c r="U91" s="213">
        <v>11821</v>
      </c>
      <c r="V91" s="213">
        <v>226</v>
      </c>
      <c r="W91" s="213">
        <v>3577</v>
      </c>
      <c r="X91" s="213">
        <v>2921</v>
      </c>
      <c r="Y91" s="213">
        <v>38615</v>
      </c>
      <c r="Z91" s="213">
        <v>12695</v>
      </c>
      <c r="AA91" s="213">
        <v>2288</v>
      </c>
      <c r="AB91" s="213">
        <v>8985</v>
      </c>
      <c r="AC91" s="213">
        <v>3079</v>
      </c>
      <c r="AD91" s="213">
        <v>267</v>
      </c>
      <c r="AE91" s="213">
        <v>11031</v>
      </c>
      <c r="AF91" s="213"/>
      <c r="AG91" s="213">
        <v>17918</v>
      </c>
      <c r="AH91" s="213"/>
      <c r="AI91" s="213"/>
      <c r="AJ91" s="213">
        <v>16982</v>
      </c>
      <c r="AK91" s="213"/>
      <c r="AL91" s="213"/>
      <c r="AM91" s="213"/>
      <c r="AN91" s="213"/>
      <c r="AO91" s="213"/>
      <c r="AP91" s="213">
        <v>221120</v>
      </c>
      <c r="AQ91" s="213"/>
      <c r="AR91" s="213">
        <v>34439</v>
      </c>
      <c r="AS91" s="213"/>
      <c r="AT91" s="213"/>
      <c r="AU91" s="213"/>
      <c r="AV91" s="213">
        <v>10888</v>
      </c>
      <c r="AW91" s="213"/>
      <c r="AX91" s="213"/>
      <c r="AY91" s="213">
        <v>6552</v>
      </c>
      <c r="AZ91" s="213">
        <v>3873</v>
      </c>
      <c r="BA91" s="213">
        <v>2626</v>
      </c>
      <c r="BB91" s="213"/>
      <c r="BC91" s="213"/>
      <c r="BD91" s="213">
        <v>6662</v>
      </c>
      <c r="BE91" s="213">
        <v>426711</v>
      </c>
      <c r="BF91" s="213">
        <v>1419</v>
      </c>
      <c r="BG91" s="213">
        <v>196</v>
      </c>
      <c r="BH91" s="213">
        <v>6332</v>
      </c>
      <c r="BI91" s="213">
        <v>951</v>
      </c>
      <c r="BJ91" s="213">
        <v>2640</v>
      </c>
      <c r="BK91" s="213">
        <v>7729</v>
      </c>
      <c r="BL91" s="213">
        <v>3941</v>
      </c>
      <c r="BM91" s="213">
        <v>2249</v>
      </c>
      <c r="BN91" s="213">
        <v>1415</v>
      </c>
      <c r="BO91" s="213">
        <v>1746</v>
      </c>
      <c r="BP91" s="213">
        <v>3702</v>
      </c>
      <c r="BQ91" s="213"/>
      <c r="BR91" s="213">
        <v>4806</v>
      </c>
      <c r="BS91" s="213">
        <v>506</v>
      </c>
      <c r="BT91" s="213">
        <v>299</v>
      </c>
      <c r="BU91" s="213"/>
      <c r="BV91" s="213">
        <v>3130</v>
      </c>
      <c r="BW91" s="213">
        <v>1737</v>
      </c>
      <c r="BX91" s="213">
        <v>2045</v>
      </c>
      <c r="BY91" s="213">
        <v>300</v>
      </c>
      <c r="BZ91" s="213">
        <v>423</v>
      </c>
      <c r="CA91" s="213">
        <v>1583</v>
      </c>
      <c r="CB91" s="213"/>
      <c r="CC91" s="213">
        <v>19239</v>
      </c>
      <c r="CD91" s="233" t="s">
        <v>233</v>
      </c>
      <c r="CE91" s="32">
        <f t="shared" si="14"/>
        <v>1108408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4107</v>
      </c>
      <c r="D92" s="213"/>
      <c r="E92" s="213">
        <v>155139</v>
      </c>
      <c r="F92" s="213">
        <v>12435</v>
      </c>
      <c r="G92" s="213"/>
      <c r="H92" s="213">
        <v>17314</v>
      </c>
      <c r="I92" s="213"/>
      <c r="J92" s="213"/>
      <c r="K92" s="213"/>
      <c r="L92" s="213"/>
      <c r="M92" s="213"/>
      <c r="N92" s="213"/>
      <c r="O92" s="213"/>
      <c r="P92" s="213">
        <v>78</v>
      </c>
      <c r="Q92" s="213">
        <v>11</v>
      </c>
      <c r="R92" s="213"/>
      <c r="S92" s="213"/>
      <c r="T92" s="213"/>
      <c r="U92" s="213"/>
      <c r="V92" s="213"/>
      <c r="W92" s="213"/>
      <c r="X92" s="213"/>
      <c r="Y92" s="213">
        <v>953</v>
      </c>
      <c r="Z92" s="213"/>
      <c r="AA92" s="213"/>
      <c r="AB92" s="213"/>
      <c r="AC92" s="213"/>
      <c r="AD92" s="213"/>
      <c r="AE92" s="213"/>
      <c r="AF92" s="213"/>
      <c r="AG92" s="213">
        <v>5092</v>
      </c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>
        <v>100</v>
      </c>
      <c r="AS92" s="213"/>
      <c r="AT92" s="213"/>
      <c r="AU92" s="213"/>
      <c r="AV92" s="213"/>
      <c r="AW92" s="213"/>
      <c r="AX92" s="265" t="s">
        <v>233</v>
      </c>
      <c r="AY92" s="265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195229</v>
      </c>
      <c r="CF92" s="32">
        <f>AY60-CE92</f>
        <v>0</v>
      </c>
    </row>
    <row r="93" spans="1:84" x14ac:dyDescent="0.35">
      <c r="A93" s="26" t="s">
        <v>277</v>
      </c>
      <c r="B93" s="20"/>
      <c r="C93" s="213">
        <v>4420</v>
      </c>
      <c r="D93" s="213"/>
      <c r="E93" s="213">
        <v>21528</v>
      </c>
      <c r="F93" s="213">
        <v>5408</v>
      </c>
      <c r="G93" s="213"/>
      <c r="H93" s="213">
        <v>2496</v>
      </c>
      <c r="I93" s="213"/>
      <c r="J93" s="213"/>
      <c r="K93" s="213"/>
      <c r="L93" s="213"/>
      <c r="M93" s="213"/>
      <c r="N93" s="213"/>
      <c r="O93" s="213">
        <v>5408</v>
      </c>
      <c r="P93" s="213">
        <v>11947</v>
      </c>
      <c r="Q93" s="213">
        <v>884</v>
      </c>
      <c r="R93" s="213">
        <v>91</v>
      </c>
      <c r="S93" s="213">
        <v>3042</v>
      </c>
      <c r="T93" s="213">
        <v>26</v>
      </c>
      <c r="U93" s="213">
        <v>1261</v>
      </c>
      <c r="V93" s="213">
        <v>637</v>
      </c>
      <c r="W93" s="213">
        <v>195</v>
      </c>
      <c r="X93" s="213">
        <v>377</v>
      </c>
      <c r="Y93" s="213">
        <v>7631</v>
      </c>
      <c r="Z93" s="213">
        <v>2132</v>
      </c>
      <c r="AA93" s="213">
        <v>910</v>
      </c>
      <c r="AB93" s="213">
        <v>1339</v>
      </c>
      <c r="AC93" s="213">
        <v>182</v>
      </c>
      <c r="AD93" s="213"/>
      <c r="AE93" s="213">
        <v>1937</v>
      </c>
      <c r="AF93" s="213"/>
      <c r="AG93" s="213">
        <v>13728</v>
      </c>
      <c r="AH93" s="213"/>
      <c r="AI93" s="213"/>
      <c r="AJ93" s="213">
        <v>5330</v>
      </c>
      <c r="AK93" s="213"/>
      <c r="AL93" s="213"/>
      <c r="AM93" s="213"/>
      <c r="AN93" s="213"/>
      <c r="AO93" s="213"/>
      <c r="AP93" s="213">
        <v>7956</v>
      </c>
      <c r="AQ93" s="213"/>
      <c r="AR93" s="213">
        <v>4667</v>
      </c>
      <c r="AS93" s="213"/>
      <c r="AT93" s="213"/>
      <c r="AU93" s="213"/>
      <c r="AV93" s="213">
        <v>6422</v>
      </c>
      <c r="AW93" s="213"/>
      <c r="AX93" s="265" t="s">
        <v>233</v>
      </c>
      <c r="AY93" s="265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195</v>
      </c>
      <c r="BI93" s="213">
        <v>26</v>
      </c>
      <c r="BJ93" s="229" t="s">
        <v>233</v>
      </c>
      <c r="BK93" s="213">
        <v>0</v>
      </c>
      <c r="BL93" s="213">
        <v>260</v>
      </c>
      <c r="BM93" s="213">
        <v>0</v>
      </c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65</v>
      </c>
      <c r="BT93" s="213">
        <v>0</v>
      </c>
      <c r="BU93" s="213"/>
      <c r="BV93" s="213">
        <v>0</v>
      </c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110500</v>
      </c>
      <c r="CF93" s="20"/>
    </row>
    <row r="94" spans="1:84" x14ac:dyDescent="0.35">
      <c r="A94" s="26" t="s">
        <v>278</v>
      </c>
      <c r="B94" s="20"/>
      <c r="C94" s="213">
        <v>42925.33</v>
      </c>
      <c r="D94" s="213"/>
      <c r="E94" s="213">
        <v>462034.75</v>
      </c>
      <c r="F94" s="213">
        <v>81587.88</v>
      </c>
      <c r="G94" s="213"/>
      <c r="H94" s="213">
        <v>34479.040000000001</v>
      </c>
      <c r="I94" s="213"/>
      <c r="J94" s="213"/>
      <c r="K94" s="213"/>
      <c r="L94" s="213"/>
      <c r="M94" s="213"/>
      <c r="N94" s="213"/>
      <c r="O94" s="213">
        <v>125962.51</v>
      </c>
      <c r="P94" s="213">
        <v>317751.5</v>
      </c>
      <c r="Q94" s="213">
        <v>37216.629999999997</v>
      </c>
      <c r="R94" s="213"/>
      <c r="S94" s="213">
        <v>13814.39</v>
      </c>
      <c r="T94" s="213"/>
      <c r="U94" s="213"/>
      <c r="V94" s="213"/>
      <c r="W94" s="213">
        <v>7694.37</v>
      </c>
      <c r="X94" s="213">
        <v>27933.439999999999</v>
      </c>
      <c r="Y94" s="213">
        <v>65121.51</v>
      </c>
      <c r="Z94" s="213"/>
      <c r="AA94" s="213">
        <v>4041.32</v>
      </c>
      <c r="AB94" s="213">
        <v>4026.45</v>
      </c>
      <c r="AC94" s="213"/>
      <c r="AD94" s="213"/>
      <c r="AE94" s="213"/>
      <c r="AF94" s="213"/>
      <c r="AG94" s="213">
        <v>360275.43</v>
      </c>
      <c r="AH94" s="213"/>
      <c r="AI94" s="213"/>
      <c r="AJ94" s="213"/>
      <c r="AK94" s="213"/>
      <c r="AL94" s="213"/>
      <c r="AM94" s="213"/>
      <c r="AN94" s="213"/>
      <c r="AO94" s="213"/>
      <c r="AP94" s="213">
        <v>5263.1</v>
      </c>
      <c r="AQ94" s="213"/>
      <c r="AR94" s="213"/>
      <c r="AS94" s="213"/>
      <c r="AT94" s="213"/>
      <c r="AU94" s="213"/>
      <c r="AV94" s="213">
        <v>34066.75</v>
      </c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1624194.4</v>
      </c>
      <c r="CF94" s="32">
        <f>BA60</f>
        <v>0</v>
      </c>
    </row>
    <row r="95" spans="1:84" x14ac:dyDescent="0.35">
      <c r="A95" s="26" t="s">
        <v>279</v>
      </c>
      <c r="B95" s="20"/>
      <c r="C95" s="243">
        <v>53.05</v>
      </c>
      <c r="D95" s="243"/>
      <c r="E95" s="243">
        <v>240.12</v>
      </c>
      <c r="F95" s="243">
        <v>39.17</v>
      </c>
      <c r="G95" s="243"/>
      <c r="H95" s="243">
        <v>25.33</v>
      </c>
      <c r="I95" s="243"/>
      <c r="J95" s="243"/>
      <c r="K95" s="243"/>
      <c r="L95" s="243"/>
      <c r="M95" s="243"/>
      <c r="N95" s="243"/>
      <c r="O95" s="243">
        <v>35.700000000000003</v>
      </c>
      <c r="P95" s="244">
        <v>52.28</v>
      </c>
      <c r="Q95" s="244">
        <v>29.13</v>
      </c>
      <c r="R95" s="244">
        <v>2.0699999999999998</v>
      </c>
      <c r="S95" s="245">
        <v>0.19</v>
      </c>
      <c r="T95" s="245">
        <v>10.02</v>
      </c>
      <c r="U95" s="246">
        <v>7.91</v>
      </c>
      <c r="V95" s="244"/>
      <c r="W95" s="244"/>
      <c r="X95" s="244"/>
      <c r="Y95" s="244">
        <v>7.42</v>
      </c>
      <c r="Z95" s="244">
        <v>4.62</v>
      </c>
      <c r="AA95" s="244">
        <v>0.06</v>
      </c>
      <c r="AB95" s="245">
        <v>1.01</v>
      </c>
      <c r="AC95" s="244"/>
      <c r="AD95" s="244"/>
      <c r="AE95" s="244"/>
      <c r="AF95" s="244"/>
      <c r="AG95" s="244">
        <v>72.849999999999994</v>
      </c>
      <c r="AH95" s="244"/>
      <c r="AI95" s="244"/>
      <c r="AJ95" s="244">
        <v>28.83</v>
      </c>
      <c r="AK95" s="244"/>
      <c r="AL95" s="244"/>
      <c r="AM95" s="244"/>
      <c r="AN95" s="244"/>
      <c r="AO95" s="244"/>
      <c r="AP95" s="244">
        <v>139.69999999999999</v>
      </c>
      <c r="AQ95" s="244"/>
      <c r="AR95" s="244">
        <v>56.41</v>
      </c>
      <c r="AS95" s="244"/>
      <c r="AT95" s="244"/>
      <c r="AU95" s="244"/>
      <c r="AV95" s="245">
        <v>26.5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832.37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1361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1362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1363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1364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1366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1365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98902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1367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1368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1369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1370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2" t="s">
        <v>1371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2" t="s">
        <v>1372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>
        <v>1</v>
      </c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13313</v>
      </c>
      <c r="D128" s="220">
        <v>57614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2308</v>
      </c>
      <c r="D131" s="220">
        <v>3269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18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>
        <v>20</v>
      </c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122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>
        <v>16</v>
      </c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32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>
        <v>18</v>
      </c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226</v>
      </c>
    </row>
    <row r="145" spans="1:6" x14ac:dyDescent="0.35">
      <c r="A145" s="20" t="s">
        <v>325</v>
      </c>
      <c r="B145" s="46" t="s">
        <v>284</v>
      </c>
      <c r="C145" s="47">
        <v>226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>
        <v>32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5102</v>
      </c>
      <c r="C155" s="50">
        <v>5225</v>
      </c>
      <c r="D155" s="50">
        <v>2986</v>
      </c>
      <c r="E155" s="32">
        <f>SUM(B155:D155)</f>
        <v>13313</v>
      </c>
    </row>
    <row r="156" spans="1:6" x14ac:dyDescent="0.35">
      <c r="A156" s="20" t="s">
        <v>227</v>
      </c>
      <c r="B156" s="50">
        <v>28033</v>
      </c>
      <c r="C156" s="50">
        <v>19667</v>
      </c>
      <c r="D156" s="50">
        <v>9914</v>
      </c>
      <c r="E156" s="32">
        <f>SUM(B156:D156)</f>
        <v>57614</v>
      </c>
    </row>
    <row r="157" spans="1:6" x14ac:dyDescent="0.35">
      <c r="A157" s="20" t="s">
        <v>332</v>
      </c>
      <c r="B157" s="50">
        <v>156467</v>
      </c>
      <c r="C157" s="50">
        <v>78017</v>
      </c>
      <c r="D157" s="50">
        <v>105348</v>
      </c>
      <c r="E157" s="32">
        <f>SUM(B157:D157)</f>
        <v>339832</v>
      </c>
    </row>
    <row r="158" spans="1:6" x14ac:dyDescent="0.35">
      <c r="A158" s="20" t="s">
        <v>272</v>
      </c>
      <c r="B158" s="50">
        <v>257579212</v>
      </c>
      <c r="C158" s="50">
        <v>144135389</v>
      </c>
      <c r="D158" s="50">
        <v>101769005</v>
      </c>
      <c r="E158" s="32">
        <f>SUM(B158:D158)</f>
        <v>503483606</v>
      </c>
      <c r="F158" s="18"/>
    </row>
    <row r="159" spans="1:6" x14ac:dyDescent="0.35">
      <c r="A159" s="20" t="s">
        <v>273</v>
      </c>
      <c r="B159" s="50">
        <v>535605285</v>
      </c>
      <c r="C159" s="50">
        <v>267041487</v>
      </c>
      <c r="D159" s="50">
        <v>360772481</v>
      </c>
      <c r="E159" s="32">
        <f>SUM(B159:D159)</f>
        <v>1163419253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>
        <v>42952528.329999998</v>
      </c>
      <c r="C174" s="50">
        <v>53454714.420000002</v>
      </c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15261331.380000001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-866849.56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1925517.38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13434224.75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983574.76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12235545.780000001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4999111.2300000004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47972455.719999999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6660996.9699999997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3178480.96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9839477.9299999997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2521137.2999999998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1611244.76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4132382.0599999996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372573.48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12748346.360000001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13120919.840000002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1552995.32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1552995.32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12015018.42</v>
      </c>
      <c r="C212" s="216"/>
      <c r="D212" s="220"/>
      <c r="E212" s="32">
        <f t="shared" ref="E212:E220" si="16">SUM(B212:C212)-D212</f>
        <v>12015018.42</v>
      </c>
    </row>
    <row r="213" spans="1:5" x14ac:dyDescent="0.35">
      <c r="A213" s="20" t="s">
        <v>367</v>
      </c>
      <c r="B213" s="220">
        <v>2770750.64</v>
      </c>
      <c r="C213" s="216"/>
      <c r="D213" s="220"/>
      <c r="E213" s="32">
        <f t="shared" si="16"/>
        <v>2770750.64</v>
      </c>
    </row>
    <row r="214" spans="1:5" x14ac:dyDescent="0.35">
      <c r="A214" s="20" t="s">
        <v>368</v>
      </c>
      <c r="B214" s="220">
        <v>97504488.780000001</v>
      </c>
      <c r="C214" s="216">
        <v>206397.55000000002</v>
      </c>
      <c r="D214" s="220"/>
      <c r="E214" s="32">
        <f t="shared" si="16"/>
        <v>97710886.329999998</v>
      </c>
    </row>
    <row r="215" spans="1:5" x14ac:dyDescent="0.35">
      <c r="A215" s="20" t="s">
        <v>369</v>
      </c>
      <c r="B215" s="220">
        <v>71356457.530000001</v>
      </c>
      <c r="C215" s="216">
        <v>744385.51</v>
      </c>
      <c r="D215" s="220"/>
      <c r="E215" s="32">
        <f t="shared" si="16"/>
        <v>72100843.040000007</v>
      </c>
    </row>
    <row r="216" spans="1:5" x14ac:dyDescent="0.35">
      <c r="A216" s="20" t="s">
        <v>370</v>
      </c>
      <c r="B216" s="220"/>
      <c r="C216" s="216"/>
      <c r="D216" s="220"/>
      <c r="E216" s="32">
        <f t="shared" si="16"/>
        <v>0</v>
      </c>
    </row>
    <row r="217" spans="1:5" x14ac:dyDescent="0.35">
      <c r="A217" s="20" t="s">
        <v>371</v>
      </c>
      <c r="B217" s="220">
        <v>94236541.079999998</v>
      </c>
      <c r="C217" s="216">
        <v>7701860.3100000005</v>
      </c>
      <c r="D217" s="220">
        <v>36150</v>
      </c>
      <c r="E217" s="32">
        <f t="shared" si="16"/>
        <v>101902251.39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6785018.1100000003</v>
      </c>
      <c r="C219" s="216"/>
      <c r="D219" s="220"/>
      <c r="E219" s="32">
        <f t="shared" si="16"/>
        <v>6785018.1100000003</v>
      </c>
    </row>
    <row r="220" spans="1:5" x14ac:dyDescent="0.35">
      <c r="A220" s="20" t="s">
        <v>374</v>
      </c>
      <c r="B220" s="220">
        <v>7184954.2999999998</v>
      </c>
      <c r="C220" s="216">
        <v>12932038.184</v>
      </c>
      <c r="D220" s="220"/>
      <c r="E220" s="32">
        <f t="shared" si="16"/>
        <v>20116992.484000001</v>
      </c>
    </row>
    <row r="221" spans="1:5" x14ac:dyDescent="0.35">
      <c r="A221" s="20" t="s">
        <v>215</v>
      </c>
      <c r="B221" s="32">
        <f>SUM(B212:B220)</f>
        <v>291853228.86000001</v>
      </c>
      <c r="C221" s="266">
        <f>SUM(C212:C220)</f>
        <v>21584681.554000001</v>
      </c>
      <c r="D221" s="32">
        <f>SUM(D212:D220)</f>
        <v>36150</v>
      </c>
      <c r="E221" s="32">
        <f>SUM(E212:E220)</f>
        <v>313401760.41400003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1641101.1</v>
      </c>
      <c r="C226" s="216">
        <v>114404.55</v>
      </c>
      <c r="D226" s="220"/>
      <c r="E226" s="32">
        <f t="shared" ref="E226:E233" si="17">SUM(B226:C226)-D226</f>
        <v>1755505.6500000001</v>
      </c>
    </row>
    <row r="227" spans="1:5" x14ac:dyDescent="0.35">
      <c r="A227" s="20" t="s">
        <v>368</v>
      </c>
      <c r="B227" s="220">
        <v>18410160.289999999</v>
      </c>
      <c r="C227" s="216">
        <v>3961461.82</v>
      </c>
      <c r="D227" s="220"/>
      <c r="E227" s="32">
        <f t="shared" si="17"/>
        <v>22371622.109999999</v>
      </c>
    </row>
    <row r="228" spans="1:5" x14ac:dyDescent="0.35">
      <c r="A228" s="20" t="s">
        <v>369</v>
      </c>
      <c r="B228" s="220">
        <v>22061351.260000002</v>
      </c>
      <c r="C228" s="216">
        <v>4800611.4000000004</v>
      </c>
      <c r="D228" s="220"/>
      <c r="E228" s="32">
        <f t="shared" si="17"/>
        <v>26861962.660000004</v>
      </c>
    </row>
    <row r="229" spans="1:5" x14ac:dyDescent="0.35">
      <c r="A229" s="20" t="s">
        <v>370</v>
      </c>
      <c r="B229" s="220"/>
      <c r="C229" s="216"/>
      <c r="D229" s="220"/>
      <c r="E229" s="32">
        <f t="shared" si="17"/>
        <v>0</v>
      </c>
    </row>
    <row r="230" spans="1:5" x14ac:dyDescent="0.35">
      <c r="A230" s="20" t="s">
        <v>371</v>
      </c>
      <c r="B230" s="220">
        <v>53471423.399999999</v>
      </c>
      <c r="C230" s="216">
        <v>10307839.859999999</v>
      </c>
      <c r="D230" s="220">
        <v>34134.519999999997</v>
      </c>
      <c r="E230" s="32">
        <f t="shared" si="17"/>
        <v>63745128.739999995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>
        <v>2735273.78</v>
      </c>
      <c r="C232" s="216">
        <v>457923.24</v>
      </c>
      <c r="D232" s="220"/>
      <c r="E232" s="32">
        <f t="shared" si="17"/>
        <v>3193197.0199999996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98319309.830000013</v>
      </c>
      <c r="C234" s="266">
        <f>SUM(C225:C233)</f>
        <v>19642240.869999997</v>
      </c>
      <c r="D234" s="32">
        <f>SUM(D225:D233)</f>
        <v>34134.519999999997</v>
      </c>
      <c r="E234" s="32">
        <f>SUM(E225:E233)</f>
        <v>117927416.17999999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8" t="s">
        <v>377</v>
      </c>
      <c r="C237" s="348"/>
      <c r="D237" s="38"/>
      <c r="E237" s="38"/>
    </row>
    <row r="238" spans="1:5" x14ac:dyDescent="0.35">
      <c r="A238" s="56" t="s">
        <v>377</v>
      </c>
      <c r="B238" s="38"/>
      <c r="C238" s="216">
        <v>5773184.4800000004</v>
      </c>
      <c r="D238" s="40">
        <f>C238</f>
        <v>5773184.4800000004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569516468.90999997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323785829.20000005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13119297.780000001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/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198494395.53999999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/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1104915991.4300001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9975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/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31178104.390000001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31178104.390000001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6733941.7999999998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6733941.7999999998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1148601222.1000001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49706461.009999998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226772308.88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160390761.10999998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>
        <v>1489925.44</v>
      </c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15923827.24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9760380.6699999999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4865065.4800000004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>
        <v>2519539.04</v>
      </c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150646746.65000001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>
        <v>69366958.5</v>
      </c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69366958.5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12015018.42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2770750.64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97710886.329999998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72100843.040000007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101902251.39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6785018.1100000003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20116992.449999999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313401760.38</v>
      </c>
      <c r="E292" s="20"/>
    </row>
    <row r="293" spans="1:5" x14ac:dyDescent="0.35">
      <c r="A293" s="20" t="s">
        <v>416</v>
      </c>
      <c r="B293" s="46" t="s">
        <v>284</v>
      </c>
      <c r="C293" s="47">
        <v>117927416.18000001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195474344.19999999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20932908.190000001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20932908.190000001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>
        <v>603090.84</v>
      </c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603090.84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437024048.38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>
        <v>44054381.119999997</v>
      </c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30138345.979999997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35080279.069999993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>
        <v>130778.95</v>
      </c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4942501.18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100000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114446286.29999998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>
        <v>10714106.6</v>
      </c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10714106.6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>
        <v>31625000</v>
      </c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2188084.48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15982007.74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49795092.219999999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100000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49695092.219999999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262168563.25999999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437024048.38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437024048.38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503483608.60000002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1163619253.5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1667102862.0999999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5773184.4800000004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1104915991.4300001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31178104.390000001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>
        <v>6733941.7999999998</v>
      </c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1148601222.1000001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518501639.99999976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19287896.460000001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19287896.460000001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19287896.460000001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537789536.4599998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231589191.61000001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47972455.719999999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34112715.93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95039042.599999994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2601529.9899999998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50640590.549999997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19838670.600000001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9839477.9300000016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4132382.0749999997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13120919.840000002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1552995.32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33756148.309999995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33756148.309999995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544196120.47500002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-6406584.0150002241</v>
      </c>
      <c r="E418" s="32"/>
    </row>
    <row r="419" spans="1:13" x14ac:dyDescent="0.35">
      <c r="A419" s="32" t="s">
        <v>508</v>
      </c>
      <c r="B419" s="20"/>
      <c r="C419" s="236">
        <v>22439890.199999999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22439890.199999999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16033306.184999775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>
        <v>9013291.1199999992</v>
      </c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25046597.304999776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681697</v>
      </c>
      <c r="E613" s="258">
        <f>SUM(C625:D648)+SUM(C669:D714)</f>
        <v>491298258.18363941</v>
      </c>
      <c r="F613" s="258">
        <f>CE65-(AX65+BD65+BE65+BG65+BJ65+BN65+BP65+BQ65+CB65+CC65+CD65)</f>
        <v>94968880.010000005</v>
      </c>
      <c r="G613" s="256">
        <f>CE92-(AX92+AY92+BD92+BE92+BG92+BJ92+BN92+BP92+BQ92+CB92+CC92+CD92)</f>
        <v>195229</v>
      </c>
      <c r="H613" s="261">
        <f>CE61-(AX61+AY61+AZ61+BD61+BE61+BG61+BJ61+BN61+BO61+BP61+BQ61+BR61+CB61+CC61+CD61)</f>
        <v>2324.6499999999996</v>
      </c>
      <c r="I613" s="256">
        <f>CE93-(AX93+AY93+AZ93+BD93+BE93+BF93+BG93+BJ93+BN93+BO93+BP93+BQ93+BR93+CB93+CC93+CD93)</f>
        <v>110500</v>
      </c>
      <c r="J613" s="256">
        <f>CE94-(AX94+AY94+AZ94+BA94+BD94+BE94+BF94+BG94+BJ94+BN94+BO94+BP94+BQ94+BR94+CB94+CC94+CD94)</f>
        <v>1624194.4</v>
      </c>
      <c r="K613" s="256">
        <f>CE90-(AW90+AX90+AY90+AZ90+BA90+BB90+BC90+BD90+BE90+BF90+BG90+BH90+BI90+BJ90+BK90+BL90+BM90+BN90+BO90+BP90+BQ90+BR90+BS90+BT90+BU90+BV90+BW90+BX90+CB90+CC90+CD90)</f>
        <v>1667102862.0900002</v>
      </c>
      <c r="L613" s="262">
        <f>CE95-(AW95+AX95+AY95+AZ95+BA95+BB95+BC95+BD95+BE95+BF95+BG95+BH95+BI95+BJ95+BK95+BL95+BM95+BN95+BO95+BP95+BQ95+BR95+BS95+BT95+BU95+BV95+BW95+BX95+BY95+BZ95+CA95+CB95+CC95+CD95)</f>
        <v>832.37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14278034.039999999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9000093.3399999999</v>
      </c>
      <c r="D616" s="256">
        <f>SUM(C615:C616)</f>
        <v>23278127.379999999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1395963.2</v>
      </c>
      <c r="D618" s="256">
        <f>(D616/D613)*BJ91</f>
        <v>90148.931685484902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457733.07999999996</v>
      </c>
      <c r="D619" s="256">
        <f>(D616/D613)*BG91</f>
        <v>6692.8752311950911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17608818.029999997</v>
      </c>
      <c r="D620" s="256">
        <f>(D616/D613)*BN91</f>
        <v>48318.461490515576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11562893.99</v>
      </c>
      <c r="D621" s="256">
        <f>(D616/D613)*CC91</f>
        <v>656960.33965797117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587102.69000000006</v>
      </c>
      <c r="D622" s="256">
        <f>(D616/D613)*BP91</f>
        <v>126413.38829532768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32541044.98636049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1905283.2400000002</v>
      </c>
      <c r="D625" s="256">
        <f>(D616/D613)*BD91</f>
        <v>227489.46321541682</v>
      </c>
      <c r="E625" s="258">
        <f>(E624/E613)*SUM(C625:D625)</f>
        <v>141263.78696639498</v>
      </c>
      <c r="F625" s="258">
        <f>SUM(C625:E625)</f>
        <v>2274036.4901818121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2933017.89</v>
      </c>
      <c r="D626" s="256">
        <f>(D616/D613)*AY91</f>
        <v>223733.2577285216</v>
      </c>
      <c r="E626" s="258">
        <f>(E624/E613)*SUM(C626:D626)</f>
        <v>209086.8009358632</v>
      </c>
      <c r="F626" s="258">
        <f>(F625/F613)*AY65</f>
        <v>13897.646857087044</v>
      </c>
      <c r="G626" s="256">
        <f>SUM(C626:F626)</f>
        <v>3379735.5955214719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4867280.4800000004</v>
      </c>
      <c r="D627" s="256">
        <f>(D616/D613)*BR91</f>
        <v>164112.03245471229</v>
      </c>
      <c r="E627" s="258">
        <f>(E624/E613)*SUM(C627:D627)</f>
        <v>333253.30868693552</v>
      </c>
      <c r="F627" s="258">
        <f>(F625/F613)*BR65</f>
        <v>151.75882589740763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1573179.9600000002</v>
      </c>
      <c r="D628" s="256">
        <f>(D616/D613)*BO91</f>
        <v>59621.22527380933</v>
      </c>
      <c r="E628" s="258">
        <f>(E624/E613)*SUM(C628:D628)</f>
        <v>108148.27029962211</v>
      </c>
      <c r="F628" s="258">
        <f>(F625/F613)*BO65</f>
        <v>1816.4737369559609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200441.02000000002</v>
      </c>
      <c r="D629" s="256">
        <f>(D616/D613)*AZ91</f>
        <v>132252.58046131933</v>
      </c>
      <c r="E629" s="258">
        <f>(E624/E613)*SUM(C629:D629)</f>
        <v>22035.896197375434</v>
      </c>
      <c r="F629" s="258">
        <f>(F625/F613)*AZ65</f>
        <v>13295.34932506953</v>
      </c>
      <c r="G629" s="256">
        <f>(G626/G613)*AZ92</f>
        <v>0</v>
      </c>
      <c r="H629" s="258">
        <f>SUM(C627:G629)</f>
        <v>7475588.3552616965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5306230.9200000009</v>
      </c>
      <c r="D630" s="256">
        <f>(D616/D613)*BF91</f>
        <v>48455.050780948128</v>
      </c>
      <c r="E630" s="258">
        <f>(E624/E613)*SUM(C630:D630)</f>
        <v>354666.58829041786</v>
      </c>
      <c r="F630" s="258">
        <f>(F625/F613)*BF65</f>
        <v>9607.1931397073895</v>
      </c>
      <c r="G630" s="256">
        <f>(G626/G613)*BF92</f>
        <v>0</v>
      </c>
      <c r="H630" s="258">
        <f>(H629/H613)*BF61</f>
        <v>265849.43511044013</v>
      </c>
      <c r="I630" s="256">
        <f>SUM(C630:H630)</f>
        <v>5984809.1873215148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1462812.27</v>
      </c>
      <c r="D631" s="256">
        <f>(D616/D613)*BA91</f>
        <v>89670.869168970967</v>
      </c>
      <c r="E631" s="258">
        <f>(E624/E613)*SUM(C631:D631)</f>
        <v>102828.42007019754</v>
      </c>
      <c r="F631" s="258">
        <f>(F625/F613)*BA65</f>
        <v>9601.4065740644182</v>
      </c>
      <c r="G631" s="256">
        <f>(G626/G613)*BA92</f>
        <v>0</v>
      </c>
      <c r="H631" s="258">
        <f>(H629/H613)*BA61</f>
        <v>13216.900668971923</v>
      </c>
      <c r="I631" s="256">
        <f>(I630/I613)*BA93</f>
        <v>0</v>
      </c>
      <c r="J631" s="256">
        <f>SUM(C631:I631)</f>
        <v>1678129.8664822048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0</v>
      </c>
      <c r="D633" s="256">
        <f>(D616/D613)*BB91</f>
        <v>0</v>
      </c>
      <c r="E633" s="258">
        <f>(E624/E613)*SUM(C633:D633)</f>
        <v>0</v>
      </c>
      <c r="F633" s="258">
        <f>(F625/F613)*BB65</f>
        <v>0</v>
      </c>
      <c r="G633" s="256">
        <f>(G626/G613)*BB92</f>
        <v>0</v>
      </c>
      <c r="H633" s="258">
        <f>(H629/H613)*BB61</f>
        <v>0</v>
      </c>
      <c r="I633" s="256">
        <f>(I630/I613)*BB93</f>
        <v>0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4846139.53</v>
      </c>
      <c r="D635" s="256">
        <f>(D616/D613)*BI91</f>
        <v>32474.103800339446</v>
      </c>
      <c r="E635" s="258">
        <f>(E624/E613)*SUM(C635:D635)</f>
        <v>323134.02924630017</v>
      </c>
      <c r="F635" s="258">
        <f>(F625/F613)*BI65</f>
        <v>1132.1825380623084</v>
      </c>
      <c r="G635" s="256">
        <f>(G626/G613)*BI92</f>
        <v>0</v>
      </c>
      <c r="H635" s="258">
        <f>(H629/H613)*BI61</f>
        <v>64926.818614730684</v>
      </c>
      <c r="I635" s="256">
        <f>(I630/I613)*BI93</f>
        <v>1408.1903970168271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5509609.1799999997</v>
      </c>
      <c r="D636" s="256">
        <f>(D616/D613)*BK91</f>
        <v>263924.65643830027</v>
      </c>
      <c r="E636" s="258">
        <f>(E624/E613)*SUM(C636:D636)</f>
        <v>382408.89555848547</v>
      </c>
      <c r="F636" s="258">
        <f>(F625/F613)*BK65</f>
        <v>376.741676193584</v>
      </c>
      <c r="G636" s="256">
        <f>(G626/G613)*BK92</f>
        <v>0</v>
      </c>
      <c r="H636" s="258">
        <f>(H629/H613)*BK61</f>
        <v>198800.19449047305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12946398.689999999</v>
      </c>
      <c r="D637" s="256">
        <f>(D616/D613)*BH91</f>
        <v>216220.8467547312</v>
      </c>
      <c r="E637" s="258">
        <f>(E624/E613)*SUM(C637:D637)</f>
        <v>871823.55595444015</v>
      </c>
      <c r="F637" s="258">
        <f>(F625/F613)*BH65</f>
        <v>149.81448620441219</v>
      </c>
      <c r="G637" s="256">
        <f>(G626/G613)*BH92</f>
        <v>0</v>
      </c>
      <c r="H637" s="258">
        <f>(H629/H613)*BH61</f>
        <v>109980.04936224812</v>
      </c>
      <c r="I637" s="256">
        <f>(I630/I613)*BH93</f>
        <v>10561.427977626203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5034232.3900000006</v>
      </c>
      <c r="D638" s="256">
        <f>(D616/D613)*BL91</f>
        <v>134574.59839867271</v>
      </c>
      <c r="E638" s="258">
        <f>(E624/E613)*SUM(C638:D638)</f>
        <v>342354.9298895048</v>
      </c>
      <c r="F638" s="258">
        <f>(F625/F613)*BL65</f>
        <v>817.40950606192041</v>
      </c>
      <c r="G638" s="256">
        <f>(G626/G613)*BL92</f>
        <v>0</v>
      </c>
      <c r="H638" s="258">
        <f>(H629/H613)*BL61</f>
        <v>197256.61485030115</v>
      </c>
      <c r="I638" s="256">
        <f>(I630/I613)*BL93</f>
        <v>14081.90397016827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1901873.16</v>
      </c>
      <c r="D639" s="256">
        <f>(D616/D613)*BM91</f>
        <v>76797.328545702854</v>
      </c>
      <c r="E639" s="258">
        <f>(E624/E613)*SUM(C639:D639)</f>
        <v>131056.85662105971</v>
      </c>
      <c r="F639" s="258">
        <f>(F625/F613)*BM65</f>
        <v>24.718016973957159</v>
      </c>
      <c r="G639" s="256">
        <f>(G626/G613)*BM92</f>
        <v>0</v>
      </c>
      <c r="H639" s="258">
        <f>(H629/H613)*BM61</f>
        <v>39522.070370234775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124268.91999999998</v>
      </c>
      <c r="D640" s="256">
        <f>(D616/D613)*BS91</f>
        <v>17278.54523971794</v>
      </c>
      <c r="E640" s="258">
        <f>(E624/E613)*SUM(C640:D640)</f>
        <v>9375.3689481823294</v>
      </c>
      <c r="F640" s="258">
        <f>(F625/F613)*BS65</f>
        <v>51.150740418547358</v>
      </c>
      <c r="G640" s="256">
        <f>(G626/G613)*BS92</f>
        <v>0</v>
      </c>
      <c r="H640" s="258">
        <f>(H629/H613)*BS61</f>
        <v>4116.2123737917418</v>
      </c>
      <c r="I640" s="256">
        <f>(I630/I613)*BS93</f>
        <v>3520.4759925420676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241080.21999999997</v>
      </c>
      <c r="D641" s="256">
        <f>(D616/D613)*BT91</f>
        <v>10210.049459833328</v>
      </c>
      <c r="E641" s="258">
        <f>(E624/E613)*SUM(C641:D641)</f>
        <v>16644.162332996835</v>
      </c>
      <c r="F641" s="258">
        <f>(F625/F613)*BT65</f>
        <v>13.772246524916882</v>
      </c>
      <c r="G641" s="256">
        <f>(G626/G613)*BT92</f>
        <v>0</v>
      </c>
      <c r="H641" s="258">
        <f>(H629/H613)*BT61</f>
        <v>9422.2673868826605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5109312.21</v>
      </c>
      <c r="D643" s="256">
        <f>(D616/D613)*BV91</f>
        <v>106881.11976347263</v>
      </c>
      <c r="E643" s="258">
        <f>(E624/E613)*SUM(C643:D643)</f>
        <v>345493.55503300088</v>
      </c>
      <c r="F643" s="258">
        <f>(F625/F613)*BV65</f>
        <v>32.50902443590202</v>
      </c>
      <c r="G643" s="256">
        <f>(G626/G613)*BV92</f>
        <v>0</v>
      </c>
      <c r="H643" s="258">
        <f>(H629/H613)*BV61</f>
        <v>196935.03575859868</v>
      </c>
      <c r="I643" s="256">
        <f>(I630/I613)*BV93</f>
        <v>0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570865.05000000005</v>
      </c>
      <c r="D644" s="256">
        <f>(D616/D613)*BW91</f>
        <v>59313.899370336083</v>
      </c>
      <c r="E644" s="258">
        <f>(E624/E613)*SUM(C644:D644)</f>
        <v>41739.780671586319</v>
      </c>
      <c r="F644" s="258">
        <f>(F625/F613)*BW65</f>
        <v>66.894145114983743</v>
      </c>
      <c r="G644" s="256">
        <f>(G626/G613)*BW92</f>
        <v>0</v>
      </c>
      <c r="H644" s="258">
        <f>(H629/H613)*BW61</f>
        <v>16078.954585123993</v>
      </c>
      <c r="I644" s="256">
        <f>(I630/I613)*BW93</f>
        <v>0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8050810.3799999999</v>
      </c>
      <c r="D645" s="256">
        <f>(D616/D613)*BX91</f>
        <v>69831.274733642655</v>
      </c>
      <c r="E645" s="258">
        <f>(E624/E613)*SUM(C645:D645)</f>
        <v>537869.12736423011</v>
      </c>
      <c r="F645" s="258">
        <f>(F625/F613)*BX65</f>
        <v>258.97024336071803</v>
      </c>
      <c r="G645" s="256">
        <f>(G626/G613)*BX92</f>
        <v>0</v>
      </c>
      <c r="H645" s="258">
        <f>(H629/H613)*BX61</f>
        <v>179216.02780579202</v>
      </c>
      <c r="I645" s="256">
        <f>(I630/I613)*BX93</f>
        <v>0</v>
      </c>
      <c r="J645" s="256">
        <f>(J631/J613)*BX94</f>
        <v>0</v>
      </c>
      <c r="K645" s="258">
        <f>SUM(C632:J645)</f>
        <v>49372746.82068342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2535248.5100000002</v>
      </c>
      <c r="D646" s="256">
        <f>(D616/D613)*BY91</f>
        <v>10244.196782441466</v>
      </c>
      <c r="E646" s="258">
        <f>(E624/E613)*SUM(C646:D646)</f>
        <v>168600.21647562674</v>
      </c>
      <c r="F646" s="258">
        <f>(F625/F613)*BY65</f>
        <v>101.72919366144703</v>
      </c>
      <c r="G646" s="256">
        <f>(G626/G613)*BY92</f>
        <v>0</v>
      </c>
      <c r="H646" s="258">
        <f>(H629/H613)*BY61</f>
        <v>56726.55177631745</v>
      </c>
      <c r="I646" s="256">
        <f>(I630/I613)*BY93</f>
        <v>0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3473172.78</v>
      </c>
      <c r="D647" s="256">
        <f>(D616/D613)*BZ91</f>
        <v>14444.317463242467</v>
      </c>
      <c r="E647" s="258">
        <f>(E624/E613)*SUM(C647:D647)</f>
        <v>231001.64304130376</v>
      </c>
      <c r="F647" s="258">
        <f>(F625/F613)*BZ65</f>
        <v>68.702237359048823</v>
      </c>
      <c r="G647" s="256">
        <f>(G626/G613)*BZ92</f>
        <v>0</v>
      </c>
      <c r="H647" s="258">
        <f>(H629/H613)*BZ61</f>
        <v>69525.399626076149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31659.010000000002</v>
      </c>
      <c r="D648" s="256">
        <f>(D616/D613)*CA91</f>
        <v>54055.211688682801</v>
      </c>
      <c r="E648" s="258">
        <f>(E624/E613)*SUM(C648:D648)</f>
        <v>5677.2648742013926</v>
      </c>
      <c r="F648" s="258">
        <f>(F625/F613)*CA65</f>
        <v>0</v>
      </c>
      <c r="G648" s="256">
        <f>(G626/G613)*CA92</f>
        <v>0</v>
      </c>
      <c r="H648" s="258">
        <f>(H629/H613)*CA61</f>
        <v>0</v>
      </c>
      <c r="I648" s="256">
        <f>(I630/I613)*CA93</f>
        <v>0</v>
      </c>
      <c r="J648" s="256">
        <f>(J631/J613)*CA94</f>
        <v>0</v>
      </c>
      <c r="K648" s="258">
        <v>0</v>
      </c>
      <c r="L648" s="258">
        <f>SUM(C646:K648)</f>
        <v>6650525.5331589114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123513554.18000001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9299060.910000002</v>
      </c>
      <c r="D669" s="256">
        <f>(D616/D613)*C91</f>
        <v>387811.14286062575</v>
      </c>
      <c r="E669" s="258">
        <f>(E624/E613)*SUM(C669:D669)</f>
        <v>641608.09446922829</v>
      </c>
      <c r="F669" s="258">
        <f>(F625/F613)*C65</f>
        <v>15327.702954468354</v>
      </c>
      <c r="G669" s="256">
        <f>(G626/G613)*C92</f>
        <v>71098.935561861639</v>
      </c>
      <c r="H669" s="258">
        <f>(H629/H613)*C61</f>
        <v>182849.87154203004</v>
      </c>
      <c r="I669" s="256">
        <f>(I630/I613)*C93</f>
        <v>239392.36749286059</v>
      </c>
      <c r="J669" s="256">
        <f>(J631/J613)*C94</f>
        <v>44350.773713789793</v>
      </c>
      <c r="K669" s="256">
        <f>(K645/K613)*C90</f>
        <v>1013913.5910657358</v>
      </c>
      <c r="L669" s="256">
        <f>(L648/L613)*C95</f>
        <v>423862.44042202411</v>
      </c>
      <c r="M669" s="231">
        <f t="shared" ref="M669:M714" si="18">ROUND(SUM(D669:L669),0)</f>
        <v>3020215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8"/>
        <v>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32238643.419999998</v>
      </c>
      <c r="D671" s="256">
        <f>(D616/D613)*E91</f>
        <v>2173306.3473949567</v>
      </c>
      <c r="E671" s="258">
        <f>(E624/E613)*SUM(C671:D671)</f>
        <v>2279268.8286523763</v>
      </c>
      <c r="F671" s="258">
        <f>(F625/F613)*E65</f>
        <v>42682.055386073436</v>
      </c>
      <c r="G671" s="256">
        <f>(G626/G613)*E92</f>
        <v>2685711.6542808991</v>
      </c>
      <c r="H671" s="258">
        <f>(H629/H613)*E61</f>
        <v>907045.98605601466</v>
      </c>
      <c r="I671" s="256">
        <f>(I630/I613)*E93</f>
        <v>1165981.6487299327</v>
      </c>
      <c r="J671" s="256">
        <f>(J631/J613)*E94</f>
        <v>477377.77776332613</v>
      </c>
      <c r="K671" s="256">
        <f>(K645/K613)*E90</f>
        <v>4831735.0011840267</v>
      </c>
      <c r="L671" s="256">
        <f>(L648/L613)*E95</f>
        <v>1918526.8462608189</v>
      </c>
      <c r="M671" s="231">
        <f t="shared" si="18"/>
        <v>16481636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5578640.79</v>
      </c>
      <c r="D672" s="256">
        <f>(D616/D613)*F91</f>
        <v>640364.74087041605</v>
      </c>
      <c r="E672" s="258">
        <f>(E624/E613)*SUM(C672:D672)</f>
        <v>411914.62696949998</v>
      </c>
      <c r="F672" s="258">
        <f>(F625/F613)*F65</f>
        <v>3914.4574512186186</v>
      </c>
      <c r="G672" s="256">
        <f>(G626/G613)*F92</f>
        <v>215270.33448058181</v>
      </c>
      <c r="H672" s="258">
        <f>(H629/H613)*F61</f>
        <v>146350.64463379857</v>
      </c>
      <c r="I672" s="256">
        <f>(I630/I613)*F93</f>
        <v>292903.6025795</v>
      </c>
      <c r="J672" s="256">
        <f>(J631/J613)*F94</f>
        <v>84297.211079514964</v>
      </c>
      <c r="K672" s="256">
        <f>(K645/K613)*F90</f>
        <v>708627.66129836708</v>
      </c>
      <c r="L672" s="256">
        <f>(L648/L613)*F95</f>
        <v>312963.08748973958</v>
      </c>
      <c r="M672" s="231">
        <f t="shared" si="18"/>
        <v>2816606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0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4257508.1900000004</v>
      </c>
      <c r="D674" s="256">
        <f>(D616/D613)*H91</f>
        <v>455388.69430213125</v>
      </c>
      <c r="E674" s="258">
        <f>(E624/E613)*SUM(C674:D674)</f>
        <v>312157.81243586127</v>
      </c>
      <c r="F674" s="258">
        <f>(F625/F613)*H65</f>
        <v>1293.9032314779042</v>
      </c>
      <c r="G674" s="256">
        <f>(G626/G613)*H92</f>
        <v>299733.86177698377</v>
      </c>
      <c r="H674" s="258">
        <f>(H629/H613)*H61</f>
        <v>110816.15500067457</v>
      </c>
      <c r="I674" s="256">
        <f>(I630/I613)*H93</f>
        <v>135186.27811361538</v>
      </c>
      <c r="J674" s="256">
        <f>(J631/J613)*H94</f>
        <v>35624.003377695801</v>
      </c>
      <c r="K674" s="256">
        <f>(K645/K613)*H90</f>
        <v>610165.4198476905</v>
      </c>
      <c r="L674" s="256">
        <f>(L648/L613)*H95</f>
        <v>202383.32923449331</v>
      </c>
      <c r="M674" s="231">
        <f t="shared" si="18"/>
        <v>2162749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>
        <f>(D616/D613)*J91</f>
        <v>0</v>
      </c>
      <c r="E676" s="258">
        <f>(E624/E613)*SUM(C676:D676)</f>
        <v>0</v>
      </c>
      <c r="F676" s="258">
        <f>(F625/F613)*J65</f>
        <v>0</v>
      </c>
      <c r="G676" s="256">
        <f>(G626/G613)*J92</f>
        <v>0</v>
      </c>
      <c r="H676" s="258">
        <f>(H629/H613)*J61</f>
        <v>0</v>
      </c>
      <c r="I676" s="256">
        <f>(I630/I613)*J93</f>
        <v>0</v>
      </c>
      <c r="J676" s="256">
        <f>(J631/J613)*J94</f>
        <v>0</v>
      </c>
      <c r="K676" s="256">
        <f>(K645/K613)*J90</f>
        <v>0</v>
      </c>
      <c r="L676" s="256">
        <f>(L648/L613)*J95</f>
        <v>0</v>
      </c>
      <c r="M676" s="231">
        <f t="shared" si="18"/>
        <v>0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6104874.3499999996</v>
      </c>
      <c r="D681" s="256">
        <f>(D616/D613)*O91</f>
        <v>361893.32500104886</v>
      </c>
      <c r="E681" s="258">
        <f>(E624/E613)*SUM(C681:D681)</f>
        <v>428325.10460457113</v>
      </c>
      <c r="F681" s="258">
        <f>(F625/F613)*O65</f>
        <v>14854.382190292752</v>
      </c>
      <c r="G681" s="256">
        <f>(G626/G613)*O92</f>
        <v>0</v>
      </c>
      <c r="H681" s="258">
        <f>(H629/H613)*O61</f>
        <v>166256.3904101821</v>
      </c>
      <c r="I681" s="256">
        <f>(I630/I613)*O93</f>
        <v>292903.6025795</v>
      </c>
      <c r="J681" s="256">
        <f>(J631/J613)*O94</f>
        <v>130145.41245066684</v>
      </c>
      <c r="K681" s="256">
        <f>(K645/K613)*O90</f>
        <v>394212.39313775738</v>
      </c>
      <c r="L681" s="256">
        <f>(L648/L613)*O95</f>
        <v>285238.2492566685</v>
      </c>
      <c r="M681" s="231">
        <f t="shared" si="18"/>
        <v>2073829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32169457.73</v>
      </c>
      <c r="D682" s="256">
        <f>(D616/D613)*P91</f>
        <v>1456895.519076217</v>
      </c>
      <c r="E682" s="258">
        <f>(E624/E613)*SUM(C682:D682)</f>
        <v>2227234.9953995366</v>
      </c>
      <c r="F682" s="258">
        <f>(F625/F613)*P65</f>
        <v>451522.4756769152</v>
      </c>
      <c r="G682" s="256">
        <f>(G626/G613)*P92</f>
        <v>1350.3084913136615</v>
      </c>
      <c r="H682" s="258">
        <f>(H629/H613)*P61</f>
        <v>329329.14781250962</v>
      </c>
      <c r="I682" s="256">
        <f>(I630/I613)*P93</f>
        <v>647063.48742923199</v>
      </c>
      <c r="J682" s="256">
        <f>(J631/J613)*P94</f>
        <v>328303.23899006197</v>
      </c>
      <c r="K682" s="256">
        <f>(K645/K613)*P90</f>
        <v>4349416.7976306453</v>
      </c>
      <c r="L682" s="256">
        <f>(L648/L613)*P95</f>
        <v>417710.24288903718</v>
      </c>
      <c r="M682" s="231">
        <f t="shared" si="18"/>
        <v>10208826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3423630.26</v>
      </c>
      <c r="D683" s="256">
        <f>(D616/D613)*Q91</f>
        <v>106846.97244086448</v>
      </c>
      <c r="E683" s="258">
        <f>(E624/E613)*SUM(C683:D683)</f>
        <v>233840.47578128663</v>
      </c>
      <c r="F683" s="258">
        <f>(F625/F613)*Q65</f>
        <v>1637.0255503345491</v>
      </c>
      <c r="G683" s="256">
        <f>(G626/G613)*Q92</f>
        <v>190.42812056987532</v>
      </c>
      <c r="H683" s="258">
        <f>(H629/H613)*Q61</f>
        <v>105477.94207841338</v>
      </c>
      <c r="I683" s="256">
        <f>(I630/I613)*Q93</f>
        <v>47878.473498572115</v>
      </c>
      <c r="J683" s="256">
        <f>(J631/J613)*Q94</f>
        <v>38452.501949777448</v>
      </c>
      <c r="K683" s="256">
        <f>(K645/K613)*Q90</f>
        <v>309471.58626308863</v>
      </c>
      <c r="L683" s="256">
        <f>(L648/L613)*Q95</f>
        <v>232744.82355313032</v>
      </c>
      <c r="M683" s="231">
        <f t="shared" si="18"/>
        <v>1076540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712640.57</v>
      </c>
      <c r="D684" s="256">
        <f>(D616/D613)*R91</f>
        <v>21376.223952694523</v>
      </c>
      <c r="E684" s="258">
        <f>(E624/E613)*SUM(C684:D684)</f>
        <v>48617.460198343811</v>
      </c>
      <c r="F684" s="258">
        <f>(F625/F613)*R65</f>
        <v>9711.6987642481818</v>
      </c>
      <c r="G684" s="256">
        <f>(G626/G613)*R92</f>
        <v>0</v>
      </c>
      <c r="H684" s="258">
        <f>(H629/H613)*R61</f>
        <v>13281.216487312418</v>
      </c>
      <c r="I684" s="256">
        <f>(I630/I613)*R93</f>
        <v>4928.6663895588945</v>
      </c>
      <c r="J684" s="256">
        <f>(J631/J613)*R94</f>
        <v>0</v>
      </c>
      <c r="K684" s="256">
        <f>(K645/K613)*R90</f>
        <v>200087.13878695402</v>
      </c>
      <c r="L684" s="256">
        <f>(L648/L613)*R95</f>
        <v>16539.024536731195</v>
      </c>
      <c r="M684" s="231">
        <f t="shared" si="18"/>
        <v>314541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2701374.65</v>
      </c>
      <c r="D685" s="256">
        <f>(D616/D613)*S91</f>
        <v>1172721.5003312908</v>
      </c>
      <c r="E685" s="258">
        <f>(E624/E613)*SUM(C685:D685)</f>
        <v>256600.00826279062</v>
      </c>
      <c r="F685" s="258">
        <f>(F625/F613)*S65</f>
        <v>8940.9979486485572</v>
      </c>
      <c r="G685" s="256">
        <f>(G626/G613)*S92</f>
        <v>0</v>
      </c>
      <c r="H685" s="258">
        <f>(H629/H613)*S61</f>
        <v>74670.665093315823</v>
      </c>
      <c r="I685" s="256">
        <f>(I630/I613)*S93</f>
        <v>164758.27645096875</v>
      </c>
      <c r="J685" s="256">
        <f>(J631/J613)*S94</f>
        <v>14273.131619117208</v>
      </c>
      <c r="K685" s="256">
        <f>(K645/K613)*S90</f>
        <v>8917.8799994618494</v>
      </c>
      <c r="L685" s="256">
        <f>(L648/L613)*S95</f>
        <v>1518.0747159318489</v>
      </c>
      <c r="M685" s="231">
        <f t="shared" si="18"/>
        <v>1702401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1787301.8800000001</v>
      </c>
      <c r="D686" s="256">
        <f>(D616/D613)*T91</f>
        <v>9971.0182015763603</v>
      </c>
      <c r="E686" s="258">
        <f>(E624/E613)*SUM(C686:D686)</f>
        <v>119042.02235393065</v>
      </c>
      <c r="F686" s="258">
        <f>(F625/F613)*T65</f>
        <v>10754.727820020524</v>
      </c>
      <c r="G686" s="256">
        <f>(G626/G613)*T92</f>
        <v>0</v>
      </c>
      <c r="H686" s="258">
        <f>(H629/H613)*T61</f>
        <v>32222.224988588481</v>
      </c>
      <c r="I686" s="256">
        <f>(I630/I613)*T93</f>
        <v>1408.1903970168271</v>
      </c>
      <c r="J686" s="256">
        <f>(J631/J613)*T94</f>
        <v>0</v>
      </c>
      <c r="K686" s="256">
        <f>(K645/K613)*T90</f>
        <v>67422.879059604762</v>
      </c>
      <c r="L686" s="256">
        <f>(L648/L613)*T95</f>
        <v>80058.466598090134</v>
      </c>
      <c r="M686" s="231">
        <f t="shared" si="18"/>
        <v>320880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19493230.09</v>
      </c>
      <c r="D687" s="256">
        <f>(D616/D613)*U91</f>
        <v>403655.50055080187</v>
      </c>
      <c r="E687" s="258">
        <f>(E624/E613)*SUM(C687:D687)</f>
        <v>1317866.3638749749</v>
      </c>
      <c r="F687" s="258">
        <f>(F625/F613)*U65</f>
        <v>156826.81363504441</v>
      </c>
      <c r="G687" s="256">
        <f>(G626/G613)*U92</f>
        <v>0</v>
      </c>
      <c r="H687" s="258">
        <f>(H629/H613)*U61</f>
        <v>234463.31576027806</v>
      </c>
      <c r="I687" s="256">
        <f>(I630/I613)*U93</f>
        <v>68297.234255316114</v>
      </c>
      <c r="J687" s="256">
        <f>(J631/J613)*U94</f>
        <v>0</v>
      </c>
      <c r="K687" s="256">
        <f>(K645/K613)*U90</f>
        <v>2844492.1576292361</v>
      </c>
      <c r="L687" s="256">
        <f>(L648/L613)*U95</f>
        <v>63199.847384320659</v>
      </c>
      <c r="M687" s="231">
        <f t="shared" si="18"/>
        <v>5088801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124515.93999999999</v>
      </c>
      <c r="D688" s="256">
        <f>(D616/D613)*V91</f>
        <v>7717.294909439237</v>
      </c>
      <c r="E688" s="258">
        <f>(E624/E613)*SUM(C688:D688)</f>
        <v>8758.4427060428152</v>
      </c>
      <c r="F688" s="258">
        <f>(F625/F613)*V65</f>
        <v>319.01777457892609</v>
      </c>
      <c r="G688" s="256">
        <f>(G626/G613)*V92</f>
        <v>0</v>
      </c>
      <c r="H688" s="258">
        <f>(H629/H613)*V61</f>
        <v>6302.9501973686047</v>
      </c>
      <c r="I688" s="256">
        <f>(I630/I613)*V93</f>
        <v>34500.664726912262</v>
      </c>
      <c r="J688" s="256">
        <f>(J631/J613)*V94</f>
        <v>0</v>
      </c>
      <c r="K688" s="256">
        <f>(K645/K613)*V90</f>
        <v>230690.45655175962</v>
      </c>
      <c r="L688" s="256">
        <f>(L648/L613)*V95</f>
        <v>0</v>
      </c>
      <c r="M688" s="231">
        <f t="shared" si="18"/>
        <v>288289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1795302.4299999997</v>
      </c>
      <c r="D689" s="256">
        <f>(D616/D613)*W91</f>
        <v>122144.9729693104</v>
      </c>
      <c r="E689" s="258">
        <f>(E624/E613)*SUM(C689:D689)</f>
        <v>127001.75740432175</v>
      </c>
      <c r="F689" s="258">
        <f>(F625/F613)*W65</f>
        <v>1720.2593323917276</v>
      </c>
      <c r="G689" s="256">
        <f>(G626/G613)*W92</f>
        <v>0</v>
      </c>
      <c r="H689" s="258">
        <f>(H629/H613)*W61</f>
        <v>37013.753454955433</v>
      </c>
      <c r="I689" s="256">
        <f>(I630/I613)*W93</f>
        <v>10561.427977626203</v>
      </c>
      <c r="J689" s="256">
        <f>(J631/J613)*W94</f>
        <v>7949.8809383683883</v>
      </c>
      <c r="K689" s="256">
        <f>(K645/K613)*W90</f>
        <v>773739.26925124007</v>
      </c>
      <c r="L689" s="256">
        <f>(L648/L613)*W95</f>
        <v>0</v>
      </c>
      <c r="M689" s="231">
        <f t="shared" si="18"/>
        <v>1080131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2675603.23</v>
      </c>
      <c r="D690" s="256">
        <f>(D616/D613)*X91</f>
        <v>99744.329338371739</v>
      </c>
      <c r="E690" s="258">
        <f>(E624/E613)*SUM(C690:D690)</f>
        <v>183824.60812115946</v>
      </c>
      <c r="F690" s="258">
        <f>(F625/F613)*X65</f>
        <v>10248.729697566139</v>
      </c>
      <c r="G690" s="256">
        <f>(G626/G613)*X92</f>
        <v>0</v>
      </c>
      <c r="H690" s="258">
        <f>(H629/H613)*X61</f>
        <v>59781.553147491002</v>
      </c>
      <c r="I690" s="256">
        <f>(I630/I613)*X93</f>
        <v>20418.760756743992</v>
      </c>
      <c r="J690" s="256">
        <f>(J631/J613)*X94</f>
        <v>28861.040240988812</v>
      </c>
      <c r="K690" s="256">
        <f>(K645/K613)*X90</f>
        <v>3007614.3272859626</v>
      </c>
      <c r="L690" s="256">
        <f>(L648/L613)*X95</f>
        <v>0</v>
      </c>
      <c r="M690" s="231">
        <f t="shared" si="18"/>
        <v>3410493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18962645.229999997</v>
      </c>
      <c r="D691" s="256">
        <f>(D616/D613)*Y91</f>
        <v>1318598.8625132572</v>
      </c>
      <c r="E691" s="258">
        <f>(E624/E613)*SUM(C691:D691)</f>
        <v>1343324.2748178937</v>
      </c>
      <c r="F691" s="258">
        <f>(F625/F613)*Y65</f>
        <v>174645.28589529532</v>
      </c>
      <c r="G691" s="256">
        <f>(G626/G613)*Y92</f>
        <v>16497.999900281018</v>
      </c>
      <c r="H691" s="258">
        <f>(H629/H613)*Y61</f>
        <v>282893.12697067152</v>
      </c>
      <c r="I691" s="256">
        <f>(I630/I613)*Y93</f>
        <v>413303.88152443874</v>
      </c>
      <c r="J691" s="256">
        <f>(J631/J613)*Y94</f>
        <v>67284.033784022133</v>
      </c>
      <c r="K691" s="256">
        <f>(K645/K613)*Y90</f>
        <v>3359680.095001041</v>
      </c>
      <c r="L691" s="256">
        <f>(L648/L613)*Y95</f>
        <v>59284.812590601679</v>
      </c>
      <c r="M691" s="231">
        <f t="shared" si="18"/>
        <v>7035512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3809728.9200000004</v>
      </c>
      <c r="D692" s="256">
        <f>(D616/D613)*Z91</f>
        <v>433500.26051031466</v>
      </c>
      <c r="E692" s="258">
        <f>(E624/E613)*SUM(C692:D692)</f>
        <v>281049.46303068707</v>
      </c>
      <c r="F692" s="258">
        <f>(F625/F613)*Z65</f>
        <v>1772.3697912203152</v>
      </c>
      <c r="G692" s="256">
        <f>(G626/G613)*Z92</f>
        <v>0</v>
      </c>
      <c r="H692" s="258">
        <f>(H629/H613)*Z61</f>
        <v>53414.287131781901</v>
      </c>
      <c r="I692" s="256">
        <f>(I630/I613)*Z93</f>
        <v>115471.61255537982</v>
      </c>
      <c r="J692" s="256">
        <f>(J631/J613)*Z94</f>
        <v>0</v>
      </c>
      <c r="K692" s="256">
        <f>(K645/K613)*Z90</f>
        <v>700407.87597133243</v>
      </c>
      <c r="L692" s="256">
        <f>(L648/L613)*Z95</f>
        <v>36913.185197921805</v>
      </c>
      <c r="M692" s="231">
        <f t="shared" si="18"/>
        <v>1622529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1398246.2100000002</v>
      </c>
      <c r="D693" s="256">
        <f>(D616/D613)*AA91</f>
        <v>78129.074127420245</v>
      </c>
      <c r="E693" s="258">
        <f>(E624/E613)*SUM(C693:D693)</f>
        <v>97787.431030507563</v>
      </c>
      <c r="F693" s="258">
        <f>(F625/F613)*AA65</f>
        <v>15552.333333332501</v>
      </c>
      <c r="G693" s="256">
        <f>(G626/G613)*AA92</f>
        <v>0</v>
      </c>
      <c r="H693" s="258">
        <f>(H629/H613)*AA61</f>
        <v>18715.90313708433</v>
      </c>
      <c r="I693" s="256">
        <f>(I630/I613)*AA93</f>
        <v>49286.663895588943</v>
      </c>
      <c r="J693" s="256">
        <f>(J631/J613)*AA94</f>
        <v>4175.5222108953612</v>
      </c>
      <c r="K693" s="256">
        <f>(K645/K613)*AA90</f>
        <v>255162.80502373079</v>
      </c>
      <c r="L693" s="256">
        <f>(L648/L613)*AA95</f>
        <v>479.39201555742596</v>
      </c>
      <c r="M693" s="231">
        <f t="shared" si="18"/>
        <v>519289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22206344.41</v>
      </c>
      <c r="D694" s="256">
        <f>(D616/D613)*AB91</f>
        <v>306813.69363412191</v>
      </c>
      <c r="E694" s="258">
        <f>(E624/E613)*SUM(C694:D694)</f>
        <v>1491154.6671137789</v>
      </c>
      <c r="F694" s="258">
        <f>(F625/F613)*AB65</f>
        <v>303737.75200586516</v>
      </c>
      <c r="G694" s="256">
        <f>(G626/G613)*AB92</f>
        <v>0</v>
      </c>
      <c r="H694" s="258">
        <f>(H629/H613)*AB61</f>
        <v>285626.54925014259</v>
      </c>
      <c r="I694" s="256">
        <f>(I630/I613)*AB93</f>
        <v>72521.80544636659</v>
      </c>
      <c r="J694" s="256">
        <f>(J631/J613)*AB94</f>
        <v>4160.1584150870567</v>
      </c>
      <c r="K694" s="256">
        <f>(K645/K613)*AB90</f>
        <v>2485323.1336810822</v>
      </c>
      <c r="L694" s="256">
        <f>(L648/L613)*AB95</f>
        <v>8069.7655952166706</v>
      </c>
      <c r="M694" s="231">
        <f t="shared" si="18"/>
        <v>4957408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4450620.2</v>
      </c>
      <c r="D695" s="256">
        <f>(D616/D613)*AC91</f>
        <v>105139.60631045757</v>
      </c>
      <c r="E695" s="258">
        <f>(E624/E613)*SUM(C695:D695)</f>
        <v>301749.86850612523</v>
      </c>
      <c r="F695" s="258">
        <f>(F625/F613)*AC65</f>
        <v>20896.501833472135</v>
      </c>
      <c r="G695" s="256">
        <f>(G626/G613)*AC92</f>
        <v>0</v>
      </c>
      <c r="H695" s="258">
        <f>(H629/H613)*AC61</f>
        <v>77468.403191127392</v>
      </c>
      <c r="I695" s="256">
        <f>(I630/I613)*AC93</f>
        <v>9857.332779117789</v>
      </c>
      <c r="J695" s="256">
        <f>(J631/J613)*AC94</f>
        <v>0</v>
      </c>
      <c r="K695" s="256">
        <f>(K645/K613)*AC90</f>
        <v>929812.76803099748</v>
      </c>
      <c r="L695" s="256">
        <f>(L648/L613)*AC95</f>
        <v>0</v>
      </c>
      <c r="M695" s="231">
        <f t="shared" si="18"/>
        <v>1444924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1452688.1300000001</v>
      </c>
      <c r="D696" s="256">
        <f>(D616/D613)*AD91</f>
        <v>9117.3351363729034</v>
      </c>
      <c r="E696" s="258">
        <f>(E624/E613)*SUM(C696:D696)</f>
        <v>96822.401891215181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98713.111791840958</v>
      </c>
      <c r="L696" s="256">
        <f>(L648/L613)*AD95</f>
        <v>0</v>
      </c>
      <c r="M696" s="231">
        <f t="shared" si="18"/>
        <v>204653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3151417.35</v>
      </c>
      <c r="D697" s="256">
        <f>(D616/D613)*AE91</f>
        <v>376679.11569037271</v>
      </c>
      <c r="E697" s="258">
        <f>(E624/E613)*SUM(C697:D697)</f>
        <v>233682.78615662525</v>
      </c>
      <c r="F697" s="258">
        <f>(F625/F613)*AE65</f>
        <v>539.07392669980925</v>
      </c>
      <c r="G697" s="256">
        <f>(G626/G613)*AE92</f>
        <v>0</v>
      </c>
      <c r="H697" s="258">
        <f>(H629/H613)*AE61</f>
        <v>89173.882129097663</v>
      </c>
      <c r="I697" s="256">
        <f>(I630/I613)*AE93</f>
        <v>104910.18457775361</v>
      </c>
      <c r="J697" s="256">
        <f>(J631/J613)*AE94</f>
        <v>0</v>
      </c>
      <c r="K697" s="256">
        <f>(K645/K613)*AE90</f>
        <v>220369.46952619826</v>
      </c>
      <c r="L697" s="256">
        <f>(L648/L613)*AE95</f>
        <v>0</v>
      </c>
      <c r="M697" s="231">
        <f t="shared" si="18"/>
        <v>1025355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25989342.77</v>
      </c>
      <c r="D699" s="256">
        <f>(D616/D613)*AG91</f>
        <v>611851.72649262054</v>
      </c>
      <c r="E699" s="258">
        <f>(E624/E613)*SUM(C699:D699)</f>
        <v>1761924.9659088606</v>
      </c>
      <c r="F699" s="258">
        <f>(F625/F613)*AG65</f>
        <v>41265.969800397565</v>
      </c>
      <c r="G699" s="256">
        <f>(G626/G613)*AG92</f>
        <v>88150.908176527751</v>
      </c>
      <c r="H699" s="258">
        <f>(H629/H613)*AG61</f>
        <v>309809.29694616911</v>
      </c>
      <c r="I699" s="256">
        <f>(I630/I613)*AG93</f>
        <v>743524.5296248846</v>
      </c>
      <c r="J699" s="256">
        <f>(J631/J613)*AG94</f>
        <v>372239.28320570424</v>
      </c>
      <c r="K699" s="256">
        <f>(K645/K613)*AG90</f>
        <v>5207161.5779634602</v>
      </c>
      <c r="L699" s="256">
        <f>(L648/L613)*AG95</f>
        <v>582061.80555597472</v>
      </c>
      <c r="M699" s="231">
        <f t="shared" si="18"/>
        <v>9717990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>
        <f>(J631/J613)*AI94</f>
        <v>0</v>
      </c>
      <c r="K701" s="256">
        <f>(K645/K613)*AI90</f>
        <v>0</v>
      </c>
      <c r="L701" s="256">
        <f>(L648/L613)*AI95</f>
        <v>0</v>
      </c>
      <c r="M701" s="231">
        <f t="shared" si="18"/>
        <v>0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33685811.889999993</v>
      </c>
      <c r="D702" s="256">
        <f>(D616/D613)*AJ91</f>
        <v>579889.83253140317</v>
      </c>
      <c r="E702" s="258">
        <f>(E624/E613)*SUM(C702:D702)</f>
        <v>2269582.1177231194</v>
      </c>
      <c r="F702" s="258">
        <f>(F625/F613)*AJ65</f>
        <v>579689.30367738148</v>
      </c>
      <c r="G702" s="256">
        <f>(G626/G613)*AJ92</f>
        <v>0</v>
      </c>
      <c r="H702" s="258">
        <f>(H629/H613)*AJ61</f>
        <v>260221.8010056467</v>
      </c>
      <c r="I702" s="256">
        <f>(I630/I613)*AJ93</f>
        <v>288679.03138844954</v>
      </c>
      <c r="J702" s="256">
        <f>(J631/J613)*AJ94</f>
        <v>0</v>
      </c>
      <c r="K702" s="256">
        <f>(K645/K613)*AJ90</f>
        <v>5498681.0907533504</v>
      </c>
      <c r="L702" s="256">
        <f>(L648/L613)*AJ95</f>
        <v>230347.86347534318</v>
      </c>
      <c r="M702" s="231">
        <f t="shared" si="18"/>
        <v>9707091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0</v>
      </c>
      <c r="D703" s="256">
        <f>(D616/D613)*AK91</f>
        <v>0</v>
      </c>
      <c r="E703" s="258">
        <f>(E624/E613)*SUM(C703:D703)</f>
        <v>0</v>
      </c>
      <c r="F703" s="258">
        <f>(F625/F613)*AK65</f>
        <v>0</v>
      </c>
      <c r="G703" s="256">
        <f>(G626/G613)*AK92</f>
        <v>0</v>
      </c>
      <c r="H703" s="258">
        <f>(H629/H613)*AK61</f>
        <v>0</v>
      </c>
      <c r="I703" s="256">
        <f>(I630/I613)*AK93</f>
        <v>0</v>
      </c>
      <c r="J703" s="256">
        <f>(J631/J613)*AK94</f>
        <v>0</v>
      </c>
      <c r="K703" s="256">
        <f>(K645/K613)*AK90</f>
        <v>0</v>
      </c>
      <c r="L703" s="256">
        <f>(L648/L613)*AK95</f>
        <v>0</v>
      </c>
      <c r="M703" s="231">
        <f t="shared" si="18"/>
        <v>0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0</v>
      </c>
      <c r="D704" s="256">
        <f>(D616/D613)*AL91</f>
        <v>0</v>
      </c>
      <c r="E704" s="258">
        <f>(E624/E613)*SUM(C704:D704)</f>
        <v>0</v>
      </c>
      <c r="F704" s="258">
        <f>(F625/F613)*AL65</f>
        <v>0</v>
      </c>
      <c r="G704" s="256">
        <f>(G626/G613)*AL92</f>
        <v>0</v>
      </c>
      <c r="H704" s="258">
        <f>(H629/H613)*AL61</f>
        <v>0</v>
      </c>
      <c r="I704" s="256">
        <f>(I630/I613)*AL93</f>
        <v>0</v>
      </c>
      <c r="J704" s="256">
        <f>(J631/J613)*AL94</f>
        <v>0</v>
      </c>
      <c r="K704" s="256">
        <f>(K645/K613)*AL90</f>
        <v>0</v>
      </c>
      <c r="L704" s="256">
        <f>(L648/L613)*AL95</f>
        <v>0</v>
      </c>
      <c r="M704" s="231">
        <f t="shared" si="18"/>
        <v>0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0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119191152.8</v>
      </c>
      <c r="D708" s="256">
        <f>(D616/D613)*AP91</f>
        <v>7550655.9751115227</v>
      </c>
      <c r="E708" s="258">
        <f>(E624/E613)*SUM(C708:D708)</f>
        <v>8394719.159500869</v>
      </c>
      <c r="F708" s="258">
        <f>(F625/F613)*AP65</f>
        <v>129033.87803137483</v>
      </c>
      <c r="G708" s="256">
        <f>(G626/G613)*AP92</f>
        <v>0</v>
      </c>
      <c r="H708" s="258">
        <f>(H629/H613)*AP61</f>
        <v>1461416.1822419197</v>
      </c>
      <c r="I708" s="256">
        <f>(I630/I613)*AP93</f>
        <v>430906.26148714905</v>
      </c>
      <c r="J708" s="256">
        <f>(J631/J613)*AP94</f>
        <v>5437.8744935227533</v>
      </c>
      <c r="K708" s="256">
        <f>(K645/K613)*AP90</f>
        <v>6495441.372191105</v>
      </c>
      <c r="L708" s="256">
        <f>(L648/L613)*AP95</f>
        <v>1116184.4095562068</v>
      </c>
      <c r="M708" s="231">
        <f t="shared" si="18"/>
        <v>25583795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15418683.690000001</v>
      </c>
      <c r="D710" s="256">
        <f>(D616/D613)*AR91</f>
        <v>1175999.6433016721</v>
      </c>
      <c r="E710" s="258">
        <f>(E624/E613)*SUM(C710:D710)</f>
        <v>1099145.6368679611</v>
      </c>
      <c r="F710" s="258">
        <f>(F625/F613)*AR65</f>
        <v>26222.948587222781</v>
      </c>
      <c r="G710" s="256">
        <f>(G626/G613)*AR92</f>
        <v>1731.1647324534122</v>
      </c>
      <c r="H710" s="258">
        <f>(H629/H613)*AR61</f>
        <v>386956.12104559399</v>
      </c>
      <c r="I710" s="256">
        <f>(I630/I613)*AR93</f>
        <v>252770.17626452044</v>
      </c>
      <c r="J710" s="256">
        <f>(J631/J613)*AR94</f>
        <v>0</v>
      </c>
      <c r="K710" s="256">
        <f>(K645/K613)*AR90</f>
        <v>768117.38331010262</v>
      </c>
      <c r="L710" s="256">
        <f>(L648/L613)*AR95</f>
        <v>450708.39329323999</v>
      </c>
      <c r="M710" s="231">
        <f t="shared" si="18"/>
        <v>4161651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28247282.950000007</v>
      </c>
      <c r="D714" s="256">
        <f>(D616/D613)*AV91</f>
        <v>371796.04855740891</v>
      </c>
      <c r="E714" s="258">
        <f>(E624/E613)*SUM(C714:D714)</f>
        <v>1895579.1551212023</v>
      </c>
      <c r="F714" s="258">
        <f>(F625/F613)*AV65</f>
        <v>199462.40337311718</v>
      </c>
      <c r="G714" s="256">
        <f>(G626/G613)*AV92</f>
        <v>0</v>
      </c>
      <c r="H714" s="258">
        <f>(H629/H613)*AV61</f>
        <v>422458.45276954782</v>
      </c>
      <c r="I714" s="256">
        <f>(I630/I613)*AV93</f>
        <v>347823.02806315629</v>
      </c>
      <c r="J714" s="256">
        <f>(J631/J613)*AV94</f>
        <v>35198.022249665832</v>
      </c>
      <c r="K714" s="256">
        <f>(K645/K613)*AV90</f>
        <v>4003369.5784476413</v>
      </c>
      <c r="L714" s="256">
        <f>(L648/L613)*AV95</f>
        <v>211731.47353786314</v>
      </c>
      <c r="M714" s="231">
        <f t="shared" si="18"/>
        <v>7487418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523839303.16999996</v>
      </c>
      <c r="D716" s="231">
        <f>SUM(D617:D648)+SUM(D669:D714)</f>
        <v>23278127.380000003</v>
      </c>
      <c r="E716" s="231">
        <f>SUM(E625:E648)+SUM(E669:E714)</f>
        <v>32541044.986360498</v>
      </c>
      <c r="F716" s="231">
        <f>SUM(F626:F649)+SUM(F669:F714)</f>
        <v>2274036.4901818116</v>
      </c>
      <c r="G716" s="231">
        <f>SUM(G627:G648)+SUM(G669:G714)</f>
        <v>3379735.5955214724</v>
      </c>
      <c r="H716" s="231">
        <f>SUM(H630:H648)+SUM(H669:H714)</f>
        <v>7475588.3552616974</v>
      </c>
      <c r="I716" s="231">
        <f>SUM(I631:I648)+SUM(I669:I714)</f>
        <v>5984809.1873215158</v>
      </c>
      <c r="J716" s="231">
        <f>SUM(J632:J648)+SUM(J669:J714)</f>
        <v>1678129.8664822048</v>
      </c>
      <c r="K716" s="231">
        <f>SUM(K669:K714)</f>
        <v>49372746.820683412</v>
      </c>
      <c r="L716" s="231">
        <f>SUM(L669:L714)</f>
        <v>6650525.5331589133</v>
      </c>
      <c r="M716" s="231">
        <f>SUM(M669:M714)</f>
        <v>123513552</v>
      </c>
      <c r="N716" s="250" t="s">
        <v>669</v>
      </c>
    </row>
    <row r="717" spans="1:14" s="231" customFormat="1" ht="12.65" customHeight="1" x14ac:dyDescent="0.3">
      <c r="C717" s="253">
        <f>CE86</f>
        <v>523839303.16999984</v>
      </c>
      <c r="D717" s="231">
        <f>D616</f>
        <v>23278127.379999999</v>
      </c>
      <c r="E717" s="231">
        <f>E624</f>
        <v>32541044.98636049</v>
      </c>
      <c r="F717" s="231">
        <f>F625</f>
        <v>2274036.4901818121</v>
      </c>
      <c r="G717" s="231">
        <f>G626</f>
        <v>3379735.5955214719</v>
      </c>
      <c r="H717" s="231">
        <f>H629</f>
        <v>7475588.3552616965</v>
      </c>
      <c r="I717" s="231">
        <f>I630</f>
        <v>5984809.1873215148</v>
      </c>
      <c r="J717" s="231">
        <f>J631</f>
        <v>1678129.8664822048</v>
      </c>
      <c r="K717" s="231">
        <f>K645</f>
        <v>49372746.82068342</v>
      </c>
      <c r="L717" s="231">
        <f>L648</f>
        <v>6650525.5331589114</v>
      </c>
      <c r="M717" s="231">
        <f>C649</f>
        <v>123513554.18000001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1023</v>
      </c>
      <c r="B1" s="12" t="s">
        <v>1024</v>
      </c>
      <c r="C1" s="12" t="s">
        <v>1025</v>
      </c>
      <c r="D1" s="12" t="s">
        <v>1026</v>
      </c>
      <c r="E1" s="12" t="s">
        <v>1027</v>
      </c>
      <c r="F1" s="12" t="s">
        <v>1028</v>
      </c>
      <c r="G1" s="12" t="s">
        <v>1029</v>
      </c>
      <c r="H1" s="12" t="s">
        <v>1030</v>
      </c>
      <c r="I1" s="12" t="s">
        <v>1031</v>
      </c>
      <c r="J1" s="12" t="s">
        <v>1032</v>
      </c>
      <c r="K1" s="12" t="s">
        <v>1033</v>
      </c>
      <c r="L1" s="12" t="s">
        <v>1034</v>
      </c>
      <c r="M1" s="12" t="s">
        <v>1035</v>
      </c>
      <c r="N1" s="12" t="s">
        <v>1036</v>
      </c>
    </row>
    <row r="2" spans="1:14" x14ac:dyDescent="0.35">
      <c r="A2" s="12" t="str">
        <f>RIGHT(data!C96,4)</f>
        <v>2022</v>
      </c>
      <c r="B2" s="225" t="str">
        <f>RIGHT(data!C97,3)</f>
        <v>058</v>
      </c>
      <c r="C2" s="12" t="str">
        <f>SUBSTITUTE(LEFT(data!C98,49),",","")</f>
        <v xml:space="preserve">YAKIMA VALLEY MEMORIAL </v>
      </c>
      <c r="D2" s="12" t="str">
        <f>LEFT(data!C99,49)</f>
        <v>2811 TIETON DRIVE</v>
      </c>
      <c r="E2" s="12" t="str">
        <f>RIGHT(data!C100,100)</f>
        <v>YAKIMA</v>
      </c>
      <c r="F2" s="12" t="str">
        <f>RIGHT(data!C101,100)</f>
        <v>WASHINGTON</v>
      </c>
      <c r="G2" s="12" t="str">
        <f>RIGHT(data!C102,100)</f>
        <v>98902</v>
      </c>
      <c r="H2" s="12" t="str">
        <f>RIGHT(data!C103,100)</f>
        <v>YAKIMA</v>
      </c>
      <c r="I2" s="12" t="str">
        <f>LEFT(data!C104,49)</f>
        <v>TAMMY BUYOK</v>
      </c>
      <c r="J2" s="12" t="str">
        <f>LEFT(data!C105,49)</f>
        <v>JASON MITCHELL</v>
      </c>
      <c r="K2" s="12" t="str">
        <f>LEFT(data!C107,49)</f>
        <v>(509) 575-8000</v>
      </c>
      <c r="L2" s="12" t="str">
        <f>LEFT(data!C107,49)</f>
        <v>(509) 575-8000</v>
      </c>
      <c r="M2" s="12" t="str">
        <f>LEFT(data!C109,49)</f>
        <v>ANNE BEAUVAIS</v>
      </c>
      <c r="N2" s="12" t="str">
        <f>LEFT(data!C110,49)</f>
        <v>ANNE.BEAUVAIS@MULTICARE.ORG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1037</v>
      </c>
      <c r="B1" s="16" t="s">
        <v>1038</v>
      </c>
      <c r="C1" s="10" t="s">
        <v>1039</v>
      </c>
      <c r="D1" s="10" t="s">
        <v>1040</v>
      </c>
      <c r="E1" s="10" t="s">
        <v>1041</v>
      </c>
      <c r="F1" s="10" t="s">
        <v>1042</v>
      </c>
      <c r="G1" s="10" t="s">
        <v>1043</v>
      </c>
      <c r="H1" s="10" t="s">
        <v>1044</v>
      </c>
      <c r="I1" s="10" t="s">
        <v>1045</v>
      </c>
      <c r="J1" s="10" t="s">
        <v>1046</v>
      </c>
      <c r="K1" s="10" t="s">
        <v>1047</v>
      </c>
      <c r="L1" s="10" t="s">
        <v>1048</v>
      </c>
      <c r="M1" s="10" t="s">
        <v>1049</v>
      </c>
      <c r="N1" s="10" t="s">
        <v>1050</v>
      </c>
      <c r="O1" s="10" t="s">
        <v>1051</v>
      </c>
      <c r="P1" s="10" t="s">
        <v>1052</v>
      </c>
      <c r="Q1" s="10" t="s">
        <v>1053</v>
      </c>
      <c r="R1" s="10" t="s">
        <v>1054</v>
      </c>
      <c r="S1" s="10" t="s">
        <v>1055</v>
      </c>
      <c r="T1" s="10" t="s">
        <v>1056</v>
      </c>
      <c r="U1" s="10" t="s">
        <v>1057</v>
      </c>
      <c r="V1" s="10" t="s">
        <v>1058</v>
      </c>
      <c r="W1" s="10" t="s">
        <v>1059</v>
      </c>
      <c r="X1" s="10" t="s">
        <v>1060</v>
      </c>
      <c r="Y1" s="10" t="s">
        <v>1061</v>
      </c>
      <c r="Z1" s="10" t="s">
        <v>1062</v>
      </c>
      <c r="AA1" s="10" t="s">
        <v>1063</v>
      </c>
      <c r="AB1" s="10" t="s">
        <v>1064</v>
      </c>
      <c r="AC1" s="10" t="s">
        <v>1065</v>
      </c>
      <c r="AD1" s="10" t="s">
        <v>1066</v>
      </c>
      <c r="AE1" s="10" t="s">
        <v>1067</v>
      </c>
      <c r="AF1" s="10" t="s">
        <v>1068</v>
      </c>
      <c r="AG1" s="10" t="s">
        <v>1069</v>
      </c>
      <c r="AH1" s="10" t="s">
        <v>1070</v>
      </c>
      <c r="AI1" s="10" t="s">
        <v>1071</v>
      </c>
      <c r="AJ1" s="10" t="s">
        <v>1072</v>
      </c>
      <c r="AK1" s="10" t="s">
        <v>1073</v>
      </c>
      <c r="AL1" s="10" t="s">
        <v>1074</v>
      </c>
      <c r="AM1" s="10" t="s">
        <v>1075</v>
      </c>
      <c r="AN1" s="10" t="s">
        <v>1076</v>
      </c>
      <c r="AO1" s="10" t="s">
        <v>1077</v>
      </c>
      <c r="AP1" s="10" t="s">
        <v>1078</v>
      </c>
      <c r="AQ1" s="10" t="s">
        <v>1079</v>
      </c>
      <c r="AR1" s="10" t="s">
        <v>1080</v>
      </c>
      <c r="AS1" s="10" t="s">
        <v>1081</v>
      </c>
      <c r="AT1" s="10" t="s">
        <v>1082</v>
      </c>
      <c r="AU1" s="10" t="s">
        <v>1083</v>
      </c>
      <c r="AV1" s="10" t="s">
        <v>1084</v>
      </c>
      <c r="AW1" s="10" t="s">
        <v>1085</v>
      </c>
      <c r="AX1" s="10" t="s">
        <v>1086</v>
      </c>
      <c r="AY1" s="10" t="s">
        <v>1087</v>
      </c>
      <c r="AZ1" s="10" t="s">
        <v>1088</v>
      </c>
      <c r="BA1" s="10" t="s">
        <v>1089</v>
      </c>
      <c r="BB1" s="10" t="s">
        <v>1090</v>
      </c>
      <c r="BC1" s="10" t="s">
        <v>1091</v>
      </c>
      <c r="BD1" s="10" t="s">
        <v>1092</v>
      </c>
      <c r="BE1" s="10" t="s">
        <v>1093</v>
      </c>
      <c r="BF1" s="10" t="s">
        <v>1094</v>
      </c>
      <c r="BG1" s="10" t="s">
        <v>1095</v>
      </c>
      <c r="BH1" s="10" t="s">
        <v>1096</v>
      </c>
      <c r="BI1" s="10" t="s">
        <v>1097</v>
      </c>
      <c r="BJ1" s="10" t="s">
        <v>1098</v>
      </c>
      <c r="BK1" s="10" t="s">
        <v>1099</v>
      </c>
      <c r="BL1" s="10" t="s">
        <v>1100</v>
      </c>
      <c r="BM1" s="10" t="s">
        <v>1101</v>
      </c>
      <c r="BN1" s="10" t="s">
        <v>1102</v>
      </c>
      <c r="BO1" s="10" t="s">
        <v>1103</v>
      </c>
      <c r="BP1" s="10" t="s">
        <v>1104</v>
      </c>
      <c r="BQ1" s="10" t="s">
        <v>1105</v>
      </c>
      <c r="BR1" s="10" t="s">
        <v>1106</v>
      </c>
      <c r="BS1" s="10" t="s">
        <v>1107</v>
      </c>
      <c r="BT1" s="10" t="s">
        <v>1108</v>
      </c>
      <c r="BU1" s="10" t="s">
        <v>1109</v>
      </c>
      <c r="BV1" s="10" t="s">
        <v>1110</v>
      </c>
      <c r="BW1" s="10" t="s">
        <v>1111</v>
      </c>
      <c r="BX1" s="10" t="s">
        <v>1112</v>
      </c>
      <c r="BY1" s="10" t="s">
        <v>1113</v>
      </c>
      <c r="BZ1" s="10" t="s">
        <v>1114</v>
      </c>
      <c r="CA1" s="10" t="s">
        <v>1115</v>
      </c>
      <c r="CB1" s="10" t="s">
        <v>1116</v>
      </c>
      <c r="CC1" s="10" t="s">
        <v>1117</v>
      </c>
      <c r="CD1" s="10" t="s">
        <v>1118</v>
      </c>
      <c r="CE1" s="10" t="s">
        <v>1119</v>
      </c>
      <c r="CF1" s="10" t="s">
        <v>1120</v>
      </c>
    </row>
    <row r="2" spans="1:84" s="183" customFormat="1" ht="12.65" customHeight="1" x14ac:dyDescent="0.35">
      <c r="A2" s="16" t="str">
        <f>RIGHT(data!C97,3)</f>
        <v>058</v>
      </c>
      <c r="B2" s="224" t="str">
        <f>RIGHT(data!C96,4)</f>
        <v>2022</v>
      </c>
      <c r="C2" s="16" t="s">
        <v>1121</v>
      </c>
      <c r="D2" s="223">
        <f>ROUND(data!C181,0)</f>
        <v>15635663</v>
      </c>
      <c r="E2" s="223">
        <f>ROUND(data!C182,0)</f>
        <v>-1647095</v>
      </c>
      <c r="F2" s="223">
        <f>ROUND(data!C183,0)</f>
        <v>4300577</v>
      </c>
      <c r="G2" s="223">
        <f>ROUND(data!C184,0)</f>
        <v>13460091</v>
      </c>
      <c r="H2" s="223">
        <f>ROUND(data!C185,0)</f>
        <v>917346</v>
      </c>
      <c r="I2" s="223">
        <f>ROUND(data!C186,0)</f>
        <v>12757099</v>
      </c>
      <c r="J2" s="223">
        <f>ROUND(data!C187+data!C188,0)</f>
        <v>6988530</v>
      </c>
      <c r="K2" s="223">
        <f>ROUND(data!C191,0)</f>
        <v>6206314</v>
      </c>
      <c r="L2" s="223">
        <f>ROUND(data!C192,0)</f>
        <v>2114724</v>
      </c>
      <c r="M2" s="223">
        <f>ROUND(data!C195,0)</f>
        <v>3752435</v>
      </c>
      <c r="N2" s="223">
        <f>ROUND(data!C196,0)</f>
        <v>487755</v>
      </c>
      <c r="O2" s="223">
        <f>ROUND(data!C199,0)</f>
        <v>180122</v>
      </c>
      <c r="P2" s="223">
        <f>ROUND(data!C200,0)</f>
        <v>543912</v>
      </c>
      <c r="Q2" s="223">
        <f>ROUND(data!C201,0)</f>
        <v>11939453</v>
      </c>
      <c r="R2" s="223">
        <f>ROUND(data!C204,0)</f>
        <v>0</v>
      </c>
      <c r="S2" s="223">
        <f>ROUND(data!C205,0)</f>
        <v>1835768</v>
      </c>
      <c r="T2" s="223">
        <f>ROUND(data!B211,0)</f>
        <v>12015018</v>
      </c>
      <c r="U2" s="223">
        <f>ROUND(data!C211,0)</f>
        <v>115848</v>
      </c>
      <c r="V2" s="223">
        <f>ROUND(data!D211,0)</f>
        <v>0</v>
      </c>
      <c r="W2" s="223">
        <f>ROUND(data!B212,0)</f>
        <v>2770751</v>
      </c>
      <c r="X2" s="223">
        <f>ROUND(data!C212,0)</f>
        <v>0</v>
      </c>
      <c r="Y2" s="223">
        <f>ROUND(data!D212,0)</f>
        <v>0</v>
      </c>
      <c r="Z2" s="223">
        <f>ROUND(data!B213,0)</f>
        <v>97710886</v>
      </c>
      <c r="AA2" s="223">
        <f>ROUND(data!C213,0)</f>
        <v>11429877</v>
      </c>
      <c r="AB2" s="223">
        <f>ROUND(data!D213,0)</f>
        <v>0</v>
      </c>
      <c r="AC2" s="223">
        <f>ROUND(data!B214,0)</f>
        <v>72100843</v>
      </c>
      <c r="AD2" s="223">
        <f>ROUND(data!C214,0)</f>
        <v>320409</v>
      </c>
      <c r="AE2" s="223">
        <f>ROUND(data!D214,0)</f>
        <v>0</v>
      </c>
      <c r="AF2" s="223">
        <f>ROUND(data!B215,0)</f>
        <v>0</v>
      </c>
      <c r="AG2" s="223">
        <f>ROUND(data!C215,0)</f>
        <v>0</v>
      </c>
      <c r="AH2" s="223">
        <f>ROUND(data!D215,0)</f>
        <v>0</v>
      </c>
      <c r="AI2" s="223">
        <f>ROUND(data!B216,0)</f>
        <v>101902251</v>
      </c>
      <c r="AJ2" s="223">
        <f>ROUND(data!C216,0)</f>
        <v>3881473</v>
      </c>
      <c r="AK2" s="223">
        <f>ROUND(data!D216,0)</f>
        <v>2476971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6785018</v>
      </c>
      <c r="AP2" s="223">
        <f>ROUND(data!C218,0)</f>
        <v>0</v>
      </c>
      <c r="AQ2" s="223">
        <f>ROUND(data!D218,0)</f>
        <v>0</v>
      </c>
      <c r="AR2" s="223">
        <f>ROUND(data!B219,0)</f>
        <v>20116992</v>
      </c>
      <c r="AS2" s="223">
        <f>ROUND(data!C219,0)</f>
        <v>-5711093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1755506</v>
      </c>
      <c r="AY2" s="223">
        <f>ROUND(data!C225,0)</f>
        <v>112263</v>
      </c>
      <c r="AZ2" s="223">
        <f>ROUND(data!D225,0)</f>
        <v>0</v>
      </c>
      <c r="BA2" s="223">
        <f>ROUND(data!B226,0)</f>
        <v>22371622</v>
      </c>
      <c r="BB2" s="223">
        <f>ROUND(data!C226,0)</f>
        <v>4221257</v>
      </c>
      <c r="BC2" s="223">
        <f>ROUND(data!D226,0)</f>
        <v>0</v>
      </c>
      <c r="BD2" s="223">
        <f>ROUND(data!B227,0)</f>
        <v>26861963</v>
      </c>
      <c r="BE2" s="223">
        <f>ROUND(data!C227,0)</f>
        <v>4652675</v>
      </c>
      <c r="BF2" s="223">
        <f>ROUND(data!D227,0)</f>
        <v>0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63745129</v>
      </c>
      <c r="BK2" s="223">
        <f>ROUND(data!C229,0)</f>
        <v>9934663</v>
      </c>
      <c r="BL2" s="223">
        <f>ROUND(data!D229,0)</f>
        <v>2126434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3193197</v>
      </c>
      <c r="BQ2" s="223">
        <f>ROUND(data!C231,0)</f>
        <v>448481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605581097</v>
      </c>
      <c r="BW2" s="223">
        <f>ROUND(data!C240,0)</f>
        <v>339126418</v>
      </c>
      <c r="BX2" s="223">
        <f>ROUND(data!C241,0)</f>
        <v>12311135</v>
      </c>
      <c r="BY2" s="223">
        <f>ROUND(data!C242,0)</f>
        <v>0</v>
      </c>
      <c r="BZ2" s="223">
        <f>ROUND(data!C243,0)</f>
        <v>209369994</v>
      </c>
      <c r="CA2" s="223">
        <f>ROUND(data!C244,0)</f>
        <v>0</v>
      </c>
      <c r="CB2" s="223">
        <f>ROUND(data!C247,0)</f>
        <v>0</v>
      </c>
      <c r="CC2" s="223">
        <f>ROUND(data!C249,0)</f>
        <v>0</v>
      </c>
      <c r="CD2" s="223">
        <f>ROUND(data!C250,0)</f>
        <v>34946592</v>
      </c>
      <c r="CE2" s="223">
        <f>ROUND(data!C254+data!C255,0)</f>
        <v>11993322</v>
      </c>
      <c r="CF2" s="223">
        <f>data!D237</f>
        <v>4006877.91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1122</v>
      </c>
      <c r="B1" s="16" t="s">
        <v>1123</v>
      </c>
      <c r="C1" s="16" t="s">
        <v>1124</v>
      </c>
      <c r="D1" s="10" t="s">
        <v>1125</v>
      </c>
      <c r="E1" s="10" t="s">
        <v>1126</v>
      </c>
      <c r="F1" s="10" t="s">
        <v>1127</v>
      </c>
      <c r="G1" s="10" t="s">
        <v>1128</v>
      </c>
      <c r="H1" s="10" t="s">
        <v>1129</v>
      </c>
      <c r="I1" s="10" t="s">
        <v>1130</v>
      </c>
      <c r="J1" s="10" t="s">
        <v>1131</v>
      </c>
      <c r="K1" s="10" t="s">
        <v>1132</v>
      </c>
      <c r="L1" s="10" t="s">
        <v>1133</v>
      </c>
      <c r="M1" s="10" t="s">
        <v>1134</v>
      </c>
      <c r="N1" s="10" t="s">
        <v>1135</v>
      </c>
      <c r="O1" s="10" t="s">
        <v>1136</v>
      </c>
      <c r="P1" s="10" t="s">
        <v>1137</v>
      </c>
      <c r="Q1" s="10" t="s">
        <v>1138</v>
      </c>
      <c r="R1" s="10" t="s">
        <v>1139</v>
      </c>
      <c r="S1" s="10" t="s">
        <v>1140</v>
      </c>
      <c r="T1" s="10" t="s">
        <v>1141</v>
      </c>
      <c r="U1" s="10" t="s">
        <v>1142</v>
      </c>
      <c r="V1" s="10" t="s">
        <v>1143</v>
      </c>
      <c r="W1" s="10" t="s">
        <v>1144</v>
      </c>
      <c r="X1" s="10" t="s">
        <v>1145</v>
      </c>
      <c r="Y1" s="10" t="s">
        <v>1146</v>
      </c>
      <c r="Z1" s="10" t="s">
        <v>1147</v>
      </c>
      <c r="AA1" s="10" t="s">
        <v>1148</v>
      </c>
      <c r="AB1" s="10" t="s">
        <v>1149</v>
      </c>
      <c r="AC1" s="10" t="s">
        <v>1150</v>
      </c>
      <c r="AD1" s="10" t="s">
        <v>1151</v>
      </c>
      <c r="AE1" s="10" t="s">
        <v>1152</v>
      </c>
      <c r="AF1" s="10" t="s">
        <v>1153</v>
      </c>
      <c r="AG1" s="10" t="s">
        <v>1154</v>
      </c>
      <c r="AH1" s="10" t="s">
        <v>1155</v>
      </c>
      <c r="AI1" s="10" t="s">
        <v>1156</v>
      </c>
      <c r="AJ1" s="10" t="s">
        <v>1157</v>
      </c>
      <c r="AK1" s="10" t="s">
        <v>1158</v>
      </c>
      <c r="AL1" s="10" t="s">
        <v>1159</v>
      </c>
      <c r="AM1" s="10" t="s">
        <v>1160</v>
      </c>
      <c r="AN1" s="10" t="s">
        <v>1161</v>
      </c>
      <c r="AO1" s="10" t="s">
        <v>1162</v>
      </c>
      <c r="AP1" s="10" t="s">
        <v>1163</v>
      </c>
      <c r="AQ1" s="10" t="s">
        <v>1164</v>
      </c>
      <c r="AR1" s="10" t="s">
        <v>1165</v>
      </c>
      <c r="AS1" s="10" t="s">
        <v>1166</v>
      </c>
      <c r="AT1" s="10" t="s">
        <v>1167</v>
      </c>
      <c r="AU1" s="10" t="s">
        <v>1168</v>
      </c>
      <c r="AV1" s="10" t="s">
        <v>1169</v>
      </c>
      <c r="AW1" s="10" t="s">
        <v>1170</v>
      </c>
      <c r="AX1" s="10" t="s">
        <v>1171</v>
      </c>
      <c r="AY1" s="10" t="s">
        <v>1172</v>
      </c>
      <c r="AZ1" s="10" t="s">
        <v>1173</v>
      </c>
      <c r="BA1" s="10" t="s">
        <v>1174</v>
      </c>
      <c r="BB1" s="10" t="s">
        <v>1175</v>
      </c>
      <c r="BC1" s="10" t="s">
        <v>1176</v>
      </c>
      <c r="BD1" s="10" t="s">
        <v>1177</v>
      </c>
      <c r="BE1" s="10" t="s">
        <v>1178</v>
      </c>
      <c r="BF1" s="10" t="s">
        <v>1179</v>
      </c>
      <c r="BG1" s="10" t="s">
        <v>1180</v>
      </c>
      <c r="BH1" s="10" t="s">
        <v>1181</v>
      </c>
      <c r="BI1" s="10" t="s">
        <v>1182</v>
      </c>
      <c r="BJ1" s="10" t="s">
        <v>1183</v>
      </c>
      <c r="BK1" s="10" t="s">
        <v>1184</v>
      </c>
      <c r="BL1" s="10" t="s">
        <v>1185</v>
      </c>
      <c r="BM1" s="10" t="s">
        <v>1186</v>
      </c>
      <c r="BN1" s="10" t="s">
        <v>1187</v>
      </c>
      <c r="BO1" s="10" t="s">
        <v>1188</v>
      </c>
      <c r="BP1" s="10" t="s">
        <v>1189</v>
      </c>
      <c r="BQ1" s="10" t="s">
        <v>1190</v>
      </c>
      <c r="BR1" s="10" t="s">
        <v>1191</v>
      </c>
      <c r="BS1" s="10" t="s">
        <v>1192</v>
      </c>
    </row>
    <row r="2" spans="1:87" s="183" customFormat="1" ht="12.65" customHeight="1" x14ac:dyDescent="0.35">
      <c r="A2" s="16" t="str">
        <f>RIGHT(data!C97,3)</f>
        <v>058</v>
      </c>
      <c r="B2" s="16" t="str">
        <f>RIGHT(data!C96,4)</f>
        <v>2022</v>
      </c>
      <c r="C2" s="16" t="s">
        <v>1121</v>
      </c>
      <c r="D2" s="222">
        <f>ROUND(data!C127,0)</f>
        <v>121477</v>
      </c>
      <c r="E2" s="222">
        <f>ROUND(data!C128,0)</f>
        <v>0</v>
      </c>
      <c r="F2" s="222">
        <f>ROUND(data!C129,0)</f>
        <v>0</v>
      </c>
      <c r="G2" s="222">
        <f>ROUND(data!C130,0)</f>
        <v>2416</v>
      </c>
      <c r="H2" s="222">
        <f>ROUND(data!D127,0)</f>
        <v>59260</v>
      </c>
      <c r="I2" s="222">
        <f>ROUND(data!D128,0)</f>
        <v>0</v>
      </c>
      <c r="J2" s="222">
        <f>ROUND(data!D129,0)</f>
        <v>0</v>
      </c>
      <c r="K2" s="222">
        <f>ROUND(data!D130,0)</f>
        <v>3466</v>
      </c>
      <c r="L2" s="222">
        <f>ROUND(data!C132,0)</f>
        <v>18</v>
      </c>
      <c r="M2" s="222">
        <f>ROUND(data!C133,0)</f>
        <v>20</v>
      </c>
      <c r="N2" s="222">
        <f>ROUND(data!C134,0)</f>
        <v>122</v>
      </c>
      <c r="O2" s="222">
        <f>ROUND(data!C135,0)</f>
        <v>16</v>
      </c>
      <c r="P2" s="222">
        <f>ROUND(data!C136,0)</f>
        <v>32</v>
      </c>
      <c r="Q2" s="222">
        <f>ROUND(data!C137,0)</f>
        <v>0</v>
      </c>
      <c r="R2" s="222">
        <f>ROUND(data!C138,0)</f>
        <v>18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226</v>
      </c>
      <c r="X2" s="222">
        <f>ROUND(data!C145,0)</f>
        <v>32</v>
      </c>
      <c r="Y2" s="222">
        <f>ROUND(data!B154,0)</f>
        <v>4714</v>
      </c>
      <c r="Z2" s="222">
        <f>ROUND(data!B155,0)</f>
        <v>30137</v>
      </c>
      <c r="AA2" s="222">
        <f>ROUND(data!B156,0)</f>
        <v>148225</v>
      </c>
      <c r="AB2" s="222">
        <f>ROUND(data!B157,0)</f>
        <v>280831247</v>
      </c>
      <c r="AC2" s="222">
        <f>ROUND(data!B158,0)</f>
        <v>540379493</v>
      </c>
      <c r="AD2" s="222">
        <f>ROUND(data!C154,0)</f>
        <v>5242</v>
      </c>
      <c r="AE2" s="222">
        <f>ROUND(data!C155,0)</f>
        <v>17919</v>
      </c>
      <c r="AF2" s="222">
        <f>ROUND(data!C156,0)</f>
        <v>77622</v>
      </c>
      <c r="AG2" s="222">
        <f>ROUND(data!C157,0)</f>
        <v>149026460</v>
      </c>
      <c r="AH2" s="222">
        <f>ROUND(data!C158,0)</f>
        <v>282753298</v>
      </c>
      <c r="AI2" s="222">
        <f>ROUND(data!D154,0)</f>
        <v>2521</v>
      </c>
      <c r="AJ2" s="222">
        <f>ROUND(data!D155,0)</f>
        <v>11204</v>
      </c>
      <c r="AK2" s="222">
        <f>ROUND(data!D156,0)</f>
        <v>98051</v>
      </c>
      <c r="AL2" s="222">
        <f>ROUND(data!D157,0)</f>
        <v>102689952</v>
      </c>
      <c r="AM2" s="222">
        <f>ROUND(data!D158,0)</f>
        <v>357493924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1193</v>
      </c>
      <c r="B1" s="16" t="s">
        <v>1194</v>
      </c>
      <c r="C1" s="16" t="s">
        <v>1195</v>
      </c>
      <c r="D1" s="10" t="s">
        <v>1196</v>
      </c>
      <c r="E1" s="10" t="s">
        <v>1197</v>
      </c>
      <c r="F1" s="10" t="s">
        <v>1198</v>
      </c>
      <c r="G1" s="10" t="s">
        <v>1199</v>
      </c>
      <c r="H1" s="10" t="s">
        <v>1200</v>
      </c>
      <c r="I1" s="10" t="s">
        <v>1201</v>
      </c>
      <c r="J1" s="10" t="s">
        <v>1202</v>
      </c>
      <c r="K1" s="10" t="s">
        <v>1203</v>
      </c>
      <c r="L1" s="10" t="s">
        <v>1204</v>
      </c>
      <c r="M1" s="10" t="s">
        <v>1205</v>
      </c>
      <c r="N1" s="10" t="s">
        <v>1206</v>
      </c>
      <c r="O1" s="10" t="s">
        <v>1207</v>
      </c>
      <c r="P1" s="10" t="s">
        <v>1208</v>
      </c>
      <c r="Q1" s="10" t="s">
        <v>1209</v>
      </c>
      <c r="R1" s="10" t="s">
        <v>1210</v>
      </c>
      <c r="S1" s="10" t="s">
        <v>1211</v>
      </c>
      <c r="T1" s="10" t="s">
        <v>1212</v>
      </c>
      <c r="U1" s="10" t="s">
        <v>1213</v>
      </c>
      <c r="V1" s="10" t="s">
        <v>1214</v>
      </c>
      <c r="W1" s="10" t="s">
        <v>1215</v>
      </c>
      <c r="X1" s="10" t="s">
        <v>1216</v>
      </c>
      <c r="Y1" s="10" t="s">
        <v>1217</v>
      </c>
      <c r="Z1" s="10" t="s">
        <v>1218</v>
      </c>
      <c r="AA1" s="10" t="s">
        <v>1219</v>
      </c>
      <c r="AB1" s="10" t="s">
        <v>1220</v>
      </c>
      <c r="AC1" s="10" t="s">
        <v>1221</v>
      </c>
      <c r="AD1" s="10" t="s">
        <v>1222</v>
      </c>
      <c r="AE1" s="10" t="s">
        <v>1223</v>
      </c>
      <c r="AF1" s="10" t="s">
        <v>1224</v>
      </c>
      <c r="AG1" s="10" t="s">
        <v>1225</v>
      </c>
      <c r="AH1" s="10" t="s">
        <v>1226</v>
      </c>
      <c r="AI1" s="10" t="s">
        <v>1227</v>
      </c>
      <c r="AJ1" s="10" t="s">
        <v>1228</v>
      </c>
      <c r="AK1" s="10" t="s">
        <v>1229</v>
      </c>
      <c r="AL1" s="10" t="s">
        <v>1230</v>
      </c>
      <c r="AM1" s="10" t="s">
        <v>1231</v>
      </c>
      <c r="AN1" s="10" t="s">
        <v>1232</v>
      </c>
      <c r="AO1" s="10" t="s">
        <v>1233</v>
      </c>
      <c r="AP1" s="10" t="s">
        <v>1234</v>
      </c>
      <c r="AQ1" s="10" t="s">
        <v>1235</v>
      </c>
      <c r="AR1" s="10" t="s">
        <v>1236</v>
      </c>
      <c r="AS1" s="10" t="s">
        <v>1237</v>
      </c>
      <c r="AT1" s="10" t="s">
        <v>1238</v>
      </c>
      <c r="AU1" s="10" t="s">
        <v>1239</v>
      </c>
      <c r="AV1" s="10" t="s">
        <v>1240</v>
      </c>
      <c r="AW1" s="10" t="s">
        <v>1241</v>
      </c>
      <c r="AX1" s="10" t="s">
        <v>1242</v>
      </c>
      <c r="AY1" s="10" t="s">
        <v>1243</v>
      </c>
      <c r="AZ1" s="10" t="s">
        <v>1244</v>
      </c>
      <c r="BA1" s="10" t="s">
        <v>1245</v>
      </c>
      <c r="BB1" s="10" t="s">
        <v>1246</v>
      </c>
      <c r="BC1" s="10" t="s">
        <v>1247</v>
      </c>
      <c r="BD1" s="10" t="s">
        <v>1248</v>
      </c>
      <c r="BE1" s="10" t="s">
        <v>1249</v>
      </c>
      <c r="BF1" s="10" t="s">
        <v>1250</v>
      </c>
      <c r="BG1" s="10" t="s">
        <v>1251</v>
      </c>
      <c r="BH1" s="10" t="s">
        <v>1252</v>
      </c>
      <c r="BI1" s="10" t="s">
        <v>1253</v>
      </c>
      <c r="BJ1" s="10" t="s">
        <v>1254</v>
      </c>
      <c r="BK1" s="10" t="s">
        <v>1255</v>
      </c>
      <c r="BL1" s="10" t="s">
        <v>1256</v>
      </c>
      <c r="BM1" s="10" t="s">
        <v>1257</v>
      </c>
      <c r="BN1" s="10" t="s">
        <v>1258</v>
      </c>
      <c r="BO1" s="10" t="s">
        <v>1259</v>
      </c>
      <c r="BP1" s="10" t="s">
        <v>1260</v>
      </c>
      <c r="BQ1" s="10" t="s">
        <v>1261</v>
      </c>
      <c r="BR1" s="10" t="s">
        <v>1262</v>
      </c>
      <c r="BS1" s="10" t="s">
        <v>1263</v>
      </c>
      <c r="BT1" s="10" t="s">
        <v>1264</v>
      </c>
      <c r="BU1" s="10" t="s">
        <v>1265</v>
      </c>
      <c r="BV1" s="10" t="s">
        <v>1266</v>
      </c>
      <c r="BW1" s="10" t="s">
        <v>1267</v>
      </c>
      <c r="BX1" s="10" t="s">
        <v>1268</v>
      </c>
      <c r="BY1" s="10" t="s">
        <v>1269</v>
      </c>
      <c r="BZ1" s="10" t="s">
        <v>1270</v>
      </c>
      <c r="CA1" s="10" t="s">
        <v>1271</v>
      </c>
      <c r="CB1" s="10" t="s">
        <v>1272</v>
      </c>
      <c r="CC1" s="10" t="s">
        <v>1273</v>
      </c>
      <c r="CD1" s="10" t="s">
        <v>1274</v>
      </c>
      <c r="CE1" s="10" t="s">
        <v>1275</v>
      </c>
      <c r="CF1" s="10" t="s">
        <v>1276</v>
      </c>
      <c r="CG1" s="10" t="s">
        <v>1277</v>
      </c>
      <c r="CH1" s="10" t="s">
        <v>1278</v>
      </c>
      <c r="CI1" s="10" t="s">
        <v>1279</v>
      </c>
      <c r="CJ1" s="10" t="s">
        <v>1280</v>
      </c>
      <c r="CK1" s="10" t="s">
        <v>1281</v>
      </c>
      <c r="CL1" s="10" t="s">
        <v>1282</v>
      </c>
      <c r="CM1" s="10" t="s">
        <v>1283</v>
      </c>
      <c r="CN1" s="10" t="s">
        <v>1284</v>
      </c>
      <c r="CO1" s="10" t="s">
        <v>1285</v>
      </c>
      <c r="CP1" s="10" t="s">
        <v>1286</v>
      </c>
      <c r="CQ1" s="211" t="s">
        <v>1287</v>
      </c>
      <c r="CR1" s="211" t="s">
        <v>1288</v>
      </c>
      <c r="CS1" s="211" t="s">
        <v>1289</v>
      </c>
      <c r="CT1" s="211" t="s">
        <v>1290</v>
      </c>
      <c r="CU1" s="211" t="s">
        <v>1291</v>
      </c>
      <c r="CV1" s="211" t="s">
        <v>1292</v>
      </c>
      <c r="CW1" s="211" t="s">
        <v>1293</v>
      </c>
      <c r="CX1" s="211" t="s">
        <v>1294</v>
      </c>
      <c r="CY1" s="211" t="s">
        <v>1295</v>
      </c>
      <c r="CZ1" s="211" t="s">
        <v>1296</v>
      </c>
      <c r="DA1" s="211" t="s">
        <v>1297</v>
      </c>
      <c r="DB1" s="211" t="s">
        <v>1298</v>
      </c>
      <c r="DC1" s="211" t="s">
        <v>1299</v>
      </c>
      <c r="DD1" s="211" t="s">
        <v>1300</v>
      </c>
      <c r="DE1" s="10" t="s">
        <v>1301</v>
      </c>
      <c r="DF1" s="10" t="s">
        <v>1302</v>
      </c>
      <c r="DG1" s="10" t="s">
        <v>1303</v>
      </c>
      <c r="DH1" s="10" t="s">
        <v>1304</v>
      </c>
    </row>
    <row r="2" spans="1:112" s="183" customFormat="1" ht="12.65" customHeight="1" x14ac:dyDescent="0.35">
      <c r="A2" s="223" t="str">
        <f>RIGHT(data!C97,3)</f>
        <v>058</v>
      </c>
      <c r="B2" s="224" t="str">
        <f>RIGHT(data!C96,4)</f>
        <v>2022</v>
      </c>
      <c r="C2" s="16" t="s">
        <v>1121</v>
      </c>
      <c r="D2" s="222">
        <f>ROUND(data!C266,0)</f>
        <v>35118958</v>
      </c>
      <c r="E2" s="222">
        <f>ROUND(data!C267,0)</f>
        <v>0</v>
      </c>
      <c r="F2" s="222">
        <f>ROUND(data!C268,0)</f>
        <v>235280612</v>
      </c>
      <c r="G2" s="222">
        <f>ROUND(data!C269,0)</f>
        <v>172299846</v>
      </c>
      <c r="H2" s="222">
        <f>ROUND(data!C270,0)</f>
        <v>1744547</v>
      </c>
      <c r="I2" s="222">
        <f>ROUND(data!C271,0)</f>
        <v>8809026</v>
      </c>
      <c r="J2" s="222">
        <f>ROUND(data!C272,0)</f>
        <v>0</v>
      </c>
      <c r="K2" s="222">
        <f>ROUND(data!C273,0)</f>
        <v>9089298</v>
      </c>
      <c r="L2" s="222">
        <f>ROUND(data!C274,0)</f>
        <v>5841062</v>
      </c>
      <c r="M2" s="222">
        <f>ROUND(data!C275,0)</f>
        <v>0</v>
      </c>
      <c r="N2" s="222">
        <f>ROUND(data!C278,0)</f>
        <v>0</v>
      </c>
      <c r="O2" s="222">
        <f>ROUND(data!C279,0)</f>
        <v>59708998</v>
      </c>
      <c r="P2" s="222">
        <f>ROUND(data!C280,0)</f>
        <v>0</v>
      </c>
      <c r="Q2" s="222">
        <f>ROUND(data!C283,0)</f>
        <v>12130866</v>
      </c>
      <c r="R2" s="222">
        <f>ROUND(data!C284,0)</f>
        <v>2770751</v>
      </c>
      <c r="S2" s="222">
        <f>ROUND(data!C285,0)</f>
        <v>109140763</v>
      </c>
      <c r="T2" s="222">
        <f>ROUND(data!C286,0)</f>
        <v>0</v>
      </c>
      <c r="U2" s="222">
        <f>ROUND(data!C287,0)</f>
        <v>72421252</v>
      </c>
      <c r="V2" s="222">
        <f>ROUND(data!C288,0)</f>
        <v>103346888</v>
      </c>
      <c r="W2" s="222">
        <f>ROUND(data!C289,0)</f>
        <v>6785018</v>
      </c>
      <c r="X2" s="222">
        <f>ROUND(data!C290,0)</f>
        <v>14365765</v>
      </c>
      <c r="Y2" s="222">
        <f>ROUND(data!C291,0)</f>
        <v>0</v>
      </c>
      <c r="Z2" s="222">
        <f>ROUND(data!C292,0)</f>
        <v>135170320</v>
      </c>
      <c r="AA2" s="222">
        <f>ROUND(data!C295,0)</f>
        <v>0</v>
      </c>
      <c r="AB2" s="222">
        <f>ROUND(data!C296,0)</f>
        <v>0</v>
      </c>
      <c r="AC2" s="222">
        <f>ROUND(data!C297,0)</f>
        <v>10136588</v>
      </c>
      <c r="AD2" s="222">
        <f>ROUND(data!C298,0)</f>
        <v>21186582</v>
      </c>
      <c r="AE2" s="222">
        <f>ROUND(data!C302,0)</f>
        <v>196916</v>
      </c>
      <c r="AF2" s="222">
        <f>ROUND(data!C303,0)</f>
        <v>359198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29951638</v>
      </c>
      <c r="AK2" s="222">
        <f>ROUND(data!C316,0)</f>
        <v>31130777</v>
      </c>
      <c r="AL2" s="222">
        <f>ROUND(data!C317,0)</f>
        <v>130529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47125398</v>
      </c>
      <c r="AR2" s="222">
        <f>ROUND(data!C323,0)</f>
        <v>130098</v>
      </c>
      <c r="AS2" s="222">
        <f>ROUND(data!C326,0)</f>
        <v>0</v>
      </c>
      <c r="AT2" s="222">
        <f>ROUND(data!C327,0)</f>
        <v>0</v>
      </c>
      <c r="AU2" s="222">
        <f>ROUND(data!C328,0)</f>
        <v>3877805</v>
      </c>
      <c r="AV2" s="222">
        <f>ROUND(data!C331,0)</f>
        <v>526707</v>
      </c>
      <c r="AW2" s="222">
        <f>ROUND(data!C332,0)</f>
        <v>31525000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18027508</v>
      </c>
      <c r="BD2" s="222">
        <f>ROUND(data!C339,0)</f>
        <v>0</v>
      </c>
      <c r="BE2" s="222">
        <f>ROUND(data!C343,0)</f>
        <v>238667560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2391.4699999999998</v>
      </c>
      <c r="BL2" s="222">
        <f>ROUND(data!C358,0)</f>
        <v>532547659</v>
      </c>
      <c r="BM2" s="222">
        <f>ROUND(data!C359,0)</f>
        <v>1149144527</v>
      </c>
      <c r="BN2" s="222">
        <f>ROUND(data!C363,0)</f>
        <v>1166046202</v>
      </c>
      <c r="BO2" s="222">
        <f>ROUND(data!C364,0)</f>
        <v>34946592</v>
      </c>
      <c r="BP2" s="222">
        <f>ROUND(data!C365,0)</f>
        <v>12335763</v>
      </c>
      <c r="BQ2" s="222">
        <f>ROUND(data!D381,0)</f>
        <v>66023074</v>
      </c>
      <c r="BR2" s="222">
        <f>ROUND(data!C370,0)</f>
        <v>13140420</v>
      </c>
      <c r="BS2" s="222">
        <f>ROUND(data!C371,0)</f>
        <v>13624884</v>
      </c>
      <c r="BT2" s="222">
        <f>ROUND(data!C372,0)</f>
        <v>0</v>
      </c>
      <c r="BU2" s="222">
        <f>ROUND(data!C373,0)</f>
        <v>0</v>
      </c>
      <c r="BV2" s="222">
        <f>ROUND(data!C374,0)</f>
        <v>31482186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152661</v>
      </c>
      <c r="CA2" s="222">
        <f>ROUND(data!C379,0)</f>
        <v>2131235</v>
      </c>
      <c r="CB2" s="222">
        <f>ROUND(data!C380,0)</f>
        <v>5491688</v>
      </c>
      <c r="CC2" s="222">
        <f>ROUND(data!C382,0)</f>
        <v>0</v>
      </c>
      <c r="CD2" s="222">
        <f>ROUND(data!C389,0)</f>
        <v>241911010</v>
      </c>
      <c r="CE2" s="222">
        <f>ROUND(data!C390,0)</f>
        <v>52412211</v>
      </c>
      <c r="CF2" s="222">
        <f>ROUND(data!C391,0)</f>
        <v>27683283</v>
      </c>
      <c r="CG2" s="222">
        <f>ROUND(data!C392,0)</f>
        <v>96074711</v>
      </c>
      <c r="CH2" s="222">
        <f>ROUND(data!C393,0)</f>
        <v>3192277</v>
      </c>
      <c r="CI2" s="222">
        <f>ROUND(data!C394,0)</f>
        <v>27881838</v>
      </c>
      <c r="CJ2" s="222">
        <f>ROUND(data!C395,0)</f>
        <v>19515019</v>
      </c>
      <c r="CK2" s="222">
        <f>ROUND(data!C396,0)</f>
        <v>8321039</v>
      </c>
      <c r="CL2" s="222">
        <f>ROUND(data!C397,0)</f>
        <v>1237204</v>
      </c>
      <c r="CM2" s="222">
        <f>ROUND(data!C398,0)</f>
        <v>12663487</v>
      </c>
      <c r="CN2" s="222">
        <f>ROUND(data!C399,0)</f>
        <v>1835768</v>
      </c>
      <c r="CO2" s="222">
        <f>ROUND(data!C362,0)</f>
        <v>4006878</v>
      </c>
      <c r="CP2" s="222">
        <f>ROUND(data!D415,0)</f>
        <v>63930038</v>
      </c>
      <c r="CQ2" s="65">
        <f>ROUND(data!C401,0)</f>
        <v>1550242</v>
      </c>
      <c r="CR2" s="65">
        <f>ROUND(data!C402,0)</f>
        <v>19927947</v>
      </c>
      <c r="CS2" s="65">
        <f>ROUND(data!C403,0)</f>
        <v>20023434</v>
      </c>
      <c r="CT2" s="65">
        <f>ROUND(data!C404,0)</f>
        <v>3002986</v>
      </c>
      <c r="CU2" s="65">
        <f>ROUND(data!C405,0)</f>
        <v>1891778</v>
      </c>
      <c r="CV2" s="65">
        <f>ROUND(data!C406,0)</f>
        <v>3273060</v>
      </c>
      <c r="CW2" s="65">
        <f>ROUND(data!C407,0)</f>
        <v>340802</v>
      </c>
      <c r="CX2" s="65">
        <f>ROUND(data!C408,0)</f>
        <v>1935857</v>
      </c>
      <c r="CY2" s="65">
        <f>ROUND(data!C409,0)</f>
        <v>0</v>
      </c>
      <c r="CZ2" s="65">
        <f>ROUND(data!C410,0)</f>
        <v>332849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11651084</v>
      </c>
      <c r="DE2" s="65">
        <f>ROUND(data!C419,0)</f>
        <v>0</v>
      </c>
      <c r="DF2" s="222">
        <f>ROUND(data!D420,0)</f>
        <v>-6481587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1305</v>
      </c>
      <c r="B1" s="16" t="s">
        <v>1306</v>
      </c>
      <c r="C1" s="10" t="s">
        <v>1307</v>
      </c>
      <c r="D1" s="16" t="s">
        <v>1308</v>
      </c>
      <c r="E1" s="10" t="s">
        <v>1309</v>
      </c>
      <c r="F1" s="10" t="s">
        <v>1310</v>
      </c>
      <c r="G1" s="10" t="s">
        <v>1311</v>
      </c>
      <c r="H1" s="10" t="s">
        <v>1312</v>
      </c>
      <c r="I1" s="10" t="s">
        <v>1313</v>
      </c>
      <c r="J1" s="10" t="s">
        <v>1314</v>
      </c>
      <c r="K1" s="10" t="s">
        <v>1315</v>
      </c>
      <c r="L1" s="10" t="s">
        <v>1316</v>
      </c>
      <c r="M1" s="10" t="s">
        <v>1317</v>
      </c>
      <c r="N1" s="10" t="s">
        <v>1318</v>
      </c>
      <c r="O1" s="10" t="s">
        <v>1319</v>
      </c>
      <c r="P1" s="10" t="s">
        <v>1287</v>
      </c>
      <c r="Q1" s="10" t="s">
        <v>1288</v>
      </c>
      <c r="R1" s="10" t="s">
        <v>1289</v>
      </c>
      <c r="S1" s="10" t="s">
        <v>1290</v>
      </c>
      <c r="T1" s="10" t="s">
        <v>1291</v>
      </c>
      <c r="U1" s="10" t="s">
        <v>1292</v>
      </c>
      <c r="V1" s="10" t="s">
        <v>1293</v>
      </c>
      <c r="W1" s="10" t="s">
        <v>1294</v>
      </c>
      <c r="X1" s="10" t="s">
        <v>1295</v>
      </c>
      <c r="Y1" s="10" t="s">
        <v>1296</v>
      </c>
      <c r="Z1" s="10" t="s">
        <v>1297</v>
      </c>
      <c r="AA1" s="10" t="s">
        <v>1298</v>
      </c>
      <c r="AB1" s="10" t="s">
        <v>1299</v>
      </c>
      <c r="AC1" s="10" t="s">
        <v>1300</v>
      </c>
      <c r="AD1" s="10" t="s">
        <v>1320</v>
      </c>
      <c r="AE1" s="10" t="s">
        <v>1321</v>
      </c>
      <c r="AF1" s="10" t="s">
        <v>1322</v>
      </c>
      <c r="AG1" s="10" t="s">
        <v>1323</v>
      </c>
      <c r="AH1" s="10" t="s">
        <v>1324</v>
      </c>
      <c r="AI1" s="10" t="s">
        <v>1325</v>
      </c>
      <c r="AJ1" s="10" t="s">
        <v>1326</v>
      </c>
      <c r="AK1" s="10" t="s">
        <v>1327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058</v>
      </c>
      <c r="B2" s="224" t="str">
        <f>RIGHT(data!$C$96,4)</f>
        <v>2022</v>
      </c>
      <c r="C2" s="16" t="str">
        <f>data!C$55</f>
        <v>6010</v>
      </c>
      <c r="D2" s="16" t="s">
        <v>1121</v>
      </c>
      <c r="E2" s="222">
        <f>ROUND(data!C59,0)</f>
        <v>5379</v>
      </c>
      <c r="F2" s="212">
        <f>ROUND(data!C60,2)</f>
        <v>53.87</v>
      </c>
      <c r="G2" s="222">
        <f>ROUND(data!C61,0)</f>
        <v>6397275</v>
      </c>
      <c r="H2" s="222">
        <f>ROUND(data!C62,0)</f>
        <v>1394386</v>
      </c>
      <c r="I2" s="222">
        <f>ROUND(data!C63,0)</f>
        <v>436886</v>
      </c>
      <c r="J2" s="222">
        <f>ROUND(data!C64,0)</f>
        <v>551826</v>
      </c>
      <c r="K2" s="222">
        <f>ROUND(data!C65,0)</f>
        <v>0</v>
      </c>
      <c r="L2" s="222">
        <f>ROUND(data!C66,0)</f>
        <v>14696</v>
      </c>
      <c r="M2" s="66">
        <f>ROUND(data!C67,0)</f>
        <v>206654</v>
      </c>
      <c r="N2" s="222">
        <f>ROUND(data!C68,0)</f>
        <v>2004</v>
      </c>
      <c r="O2" s="222">
        <f>ROUND(data!C69,0)</f>
        <v>3850768</v>
      </c>
      <c r="P2" s="222">
        <f>ROUND(data!C70,0)</f>
        <v>0</v>
      </c>
      <c r="Q2" s="222">
        <f>ROUND(data!C71,0)</f>
        <v>3685231</v>
      </c>
      <c r="R2" s="222">
        <f>ROUND(data!C72,0)</f>
        <v>1268</v>
      </c>
      <c r="S2" s="222">
        <f>ROUND(data!C73,0)</f>
        <v>773</v>
      </c>
      <c r="T2" s="222">
        <f>ROUND(data!C74,0)</f>
        <v>48924</v>
      </c>
      <c r="U2" s="222">
        <f>ROUND(data!C75,0)</f>
        <v>0</v>
      </c>
      <c r="V2" s="222">
        <f>ROUND(data!C76,0)</f>
        <v>0</v>
      </c>
      <c r="W2" s="222">
        <f>ROUND(data!C77,0)</f>
        <v>4835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109737</v>
      </c>
      <c r="AD2" s="222">
        <f>ROUND(data!C84,0)</f>
        <v>101954</v>
      </c>
      <c r="AE2" s="222">
        <f>ROUND(data!C89,0)</f>
        <v>34832724</v>
      </c>
      <c r="AF2" s="222">
        <f>ROUND(data!C87,0)</f>
        <v>33985961</v>
      </c>
      <c r="AG2" s="222">
        <f>IF(data!C90&gt;0,ROUND(data!C90,0),0)</f>
        <v>11357</v>
      </c>
      <c r="AH2" s="222">
        <f>IF(data!C91&gt;0,ROUND(data!C91,0),0)</f>
        <v>3691</v>
      </c>
      <c r="AI2" s="222">
        <f>IF(data!C92&gt;0,ROUND(data!C92,0),0)</f>
        <v>4420</v>
      </c>
      <c r="AJ2" s="222">
        <f>IF(data!C93&gt;0,ROUND(data!C93,0),0)</f>
        <v>56738</v>
      </c>
      <c r="AK2" s="212">
        <f>IF(data!C94&gt;0,ROUND(data!C94,2),0)</f>
        <v>45.5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058</v>
      </c>
      <c r="B3" s="224" t="str">
        <f>RIGHT(data!$C$96,4)</f>
        <v>2022</v>
      </c>
      <c r="C3" s="16" t="str">
        <f>data!D$55</f>
        <v>6030</v>
      </c>
      <c r="D3" s="16" t="s">
        <v>1121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058</v>
      </c>
      <c r="B4" s="224" t="str">
        <f>RIGHT(data!$C$96,4)</f>
        <v>2022</v>
      </c>
      <c r="C4" s="16" t="str">
        <f>data!E$55</f>
        <v>6070</v>
      </c>
      <c r="D4" s="16" t="s">
        <v>1121</v>
      </c>
      <c r="E4" s="222">
        <f>ROUND(data!E59,0)</f>
        <v>42734</v>
      </c>
      <c r="F4" s="212">
        <f>ROUND(data!E60,2)</f>
        <v>254.21</v>
      </c>
      <c r="G4" s="222">
        <f>ROUND(data!E61,0)</f>
        <v>22142878</v>
      </c>
      <c r="H4" s="222">
        <f>ROUND(data!E62,0)</f>
        <v>4826386</v>
      </c>
      <c r="I4" s="222">
        <f>ROUND(data!E63,0)</f>
        <v>0</v>
      </c>
      <c r="J4" s="222">
        <f>ROUND(data!E64,0)</f>
        <v>1833737</v>
      </c>
      <c r="K4" s="222">
        <f>ROUND(data!E65,0)</f>
        <v>0</v>
      </c>
      <c r="L4" s="222">
        <f>ROUND(data!E66,0)</f>
        <v>4762</v>
      </c>
      <c r="M4" s="66">
        <f>ROUND(data!E67,0)</f>
        <v>1158095</v>
      </c>
      <c r="N4" s="222">
        <f>ROUND(data!E68,0)</f>
        <v>13941</v>
      </c>
      <c r="O4" s="222">
        <f>ROUND(data!E69,0)</f>
        <v>7985701</v>
      </c>
      <c r="P4" s="222">
        <f>ROUND(data!E70,0)</f>
        <v>0</v>
      </c>
      <c r="Q4" s="222">
        <f>ROUND(data!E71,0)</f>
        <v>7497402</v>
      </c>
      <c r="R4" s="222">
        <f>ROUND(data!E72,0)</f>
        <v>3069</v>
      </c>
      <c r="S4" s="222">
        <f>ROUND(data!E73,0)</f>
        <v>0</v>
      </c>
      <c r="T4" s="222">
        <f>ROUND(data!E74,0)</f>
        <v>448200</v>
      </c>
      <c r="U4" s="222">
        <f>ROUND(data!E75,0)</f>
        <v>0</v>
      </c>
      <c r="V4" s="222">
        <f>ROUND(data!E76,0)</f>
        <v>0</v>
      </c>
      <c r="W4" s="222">
        <f>ROUND(data!E77,0)</f>
        <v>19168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17862</v>
      </c>
      <c r="AD4" s="222">
        <f>ROUND(data!E84,0)</f>
        <v>2951</v>
      </c>
      <c r="AE4" s="222">
        <f>ROUND(data!E89,0)</f>
        <v>167830960</v>
      </c>
      <c r="AF4" s="222">
        <f>ROUND(data!E87,0)</f>
        <v>144819717</v>
      </c>
      <c r="AG4" s="222">
        <f>IF(data!E90&gt;0,ROUND(data!E90,0),0)</f>
        <v>63645</v>
      </c>
      <c r="AH4" s="222">
        <f>IF(data!E91&gt;0,ROUND(data!E91,0),0)</f>
        <v>152654</v>
      </c>
      <c r="AI4" s="222">
        <f>IF(data!E92&gt;0,ROUND(data!E92,0),0)</f>
        <v>21632</v>
      </c>
      <c r="AJ4" s="222">
        <f>IF(data!E93&gt;0,ROUND(data!E93,0),0)</f>
        <v>634905</v>
      </c>
      <c r="AK4" s="212">
        <f>IF(data!E94&gt;0,ROUND(data!E94,2),0)</f>
        <v>203.31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058</v>
      </c>
      <c r="B5" s="224" t="str">
        <f>RIGHT(data!$C$96,4)</f>
        <v>2022</v>
      </c>
      <c r="C5" s="16" t="str">
        <f>data!F$55</f>
        <v>6100</v>
      </c>
      <c r="D5" s="16" t="s">
        <v>1121</v>
      </c>
      <c r="E5" s="222">
        <f>ROUND(data!F59,0)</f>
        <v>8583</v>
      </c>
      <c r="F5" s="212">
        <f>ROUND(data!F60,2)</f>
        <v>44.29</v>
      </c>
      <c r="G5" s="222">
        <f>ROUND(data!F61,0)</f>
        <v>4934114</v>
      </c>
      <c r="H5" s="222">
        <f>ROUND(data!F62,0)</f>
        <v>1075467</v>
      </c>
      <c r="I5" s="222">
        <f>ROUND(data!F63,0)</f>
        <v>0</v>
      </c>
      <c r="J5" s="222">
        <f>ROUND(data!F64,0)</f>
        <v>177017</v>
      </c>
      <c r="K5" s="222">
        <f>ROUND(data!F65,0)</f>
        <v>0</v>
      </c>
      <c r="L5" s="222">
        <f>ROUND(data!F66,0)</f>
        <v>0</v>
      </c>
      <c r="M5" s="66">
        <f>ROUND(data!F67,0)</f>
        <v>341233</v>
      </c>
      <c r="N5" s="222">
        <f>ROUND(data!F68,0)</f>
        <v>27471</v>
      </c>
      <c r="O5" s="222">
        <f>ROUND(data!F69,0)</f>
        <v>128929</v>
      </c>
      <c r="P5" s="222">
        <f>ROUND(data!F70,0)</f>
        <v>0</v>
      </c>
      <c r="Q5" s="222">
        <f>ROUND(data!F71,0)</f>
        <v>0</v>
      </c>
      <c r="R5" s="222">
        <f>ROUND(data!F72,0)</f>
        <v>17188</v>
      </c>
      <c r="S5" s="222">
        <f>ROUND(data!F73,0)</f>
        <v>0</v>
      </c>
      <c r="T5" s="222">
        <f>ROUND(data!F74,0)</f>
        <v>80433</v>
      </c>
      <c r="U5" s="222">
        <f>ROUND(data!F75,0)</f>
        <v>0</v>
      </c>
      <c r="V5" s="222">
        <f>ROUND(data!F76,0)</f>
        <v>0</v>
      </c>
      <c r="W5" s="222">
        <f>ROUND(data!F77,0)</f>
        <v>2045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29263</v>
      </c>
      <c r="AD5" s="222">
        <f>ROUND(data!F84,0)</f>
        <v>29367</v>
      </c>
      <c r="AE5" s="222">
        <f>ROUND(data!F89,0)</f>
        <v>27341113</v>
      </c>
      <c r="AF5" s="222">
        <f>ROUND(data!F87,0)</f>
        <v>26711703</v>
      </c>
      <c r="AG5" s="222">
        <f>IF(data!F90&gt;0,ROUND(data!F90,0),0)</f>
        <v>18753</v>
      </c>
      <c r="AH5" s="222">
        <f>IF(data!F91&gt;0,ROUND(data!F91,0),0)</f>
        <v>12814</v>
      </c>
      <c r="AI5" s="222">
        <f>IF(data!F92&gt;0,ROUND(data!F92,0),0)</f>
        <v>5408</v>
      </c>
      <c r="AJ5" s="222">
        <f>IF(data!F93&gt;0,ROUND(data!F93,0),0)</f>
        <v>135857</v>
      </c>
      <c r="AK5" s="212">
        <f>IF(data!F94&gt;0,ROUND(data!F94,2),0)</f>
        <v>37.85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058</v>
      </c>
      <c r="B6" s="224" t="str">
        <f>RIGHT(data!$C$96,4)</f>
        <v>2022</v>
      </c>
      <c r="C6" s="16" t="str">
        <f>data!G$55</f>
        <v>6120</v>
      </c>
      <c r="D6" s="16" t="s">
        <v>1121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058</v>
      </c>
      <c r="B7" s="224" t="str">
        <f>RIGHT(data!$C$96,4)</f>
        <v>2022</v>
      </c>
      <c r="C7" s="16" t="str">
        <f>data!H$55</f>
        <v>6140</v>
      </c>
      <c r="D7" s="16" t="s">
        <v>1121</v>
      </c>
      <c r="E7" s="222">
        <f>ROUND(data!H59,0)</f>
        <v>4680</v>
      </c>
      <c r="F7" s="212">
        <f>ROUND(data!H60,2)</f>
        <v>37.729999999999997</v>
      </c>
      <c r="G7" s="222">
        <f>ROUND(data!H61,0)</f>
        <v>3820537</v>
      </c>
      <c r="H7" s="222">
        <f>ROUND(data!H62,0)</f>
        <v>832746</v>
      </c>
      <c r="I7" s="222">
        <f>ROUND(data!H63,0)</f>
        <v>4525</v>
      </c>
      <c r="J7" s="222">
        <f>ROUND(data!H64,0)</f>
        <v>59881</v>
      </c>
      <c r="K7" s="222">
        <f>ROUND(data!H65,0)</f>
        <v>0</v>
      </c>
      <c r="L7" s="222">
        <f>ROUND(data!H66,0)</f>
        <v>-49714</v>
      </c>
      <c r="M7" s="66">
        <f>ROUND(data!H67,0)</f>
        <v>242664</v>
      </c>
      <c r="N7" s="222">
        <f>ROUND(data!H68,0)</f>
        <v>3792</v>
      </c>
      <c r="O7" s="222">
        <f>ROUND(data!H69,0)</f>
        <v>60089</v>
      </c>
      <c r="P7" s="222">
        <f>ROUND(data!H70,0)</f>
        <v>0</v>
      </c>
      <c r="Q7" s="222">
        <f>ROUND(data!H71,0)</f>
        <v>4305</v>
      </c>
      <c r="R7" s="222">
        <f>ROUND(data!H72,0)</f>
        <v>10036</v>
      </c>
      <c r="S7" s="222">
        <f>ROUND(data!H73,0)</f>
        <v>9714</v>
      </c>
      <c r="T7" s="222">
        <f>ROUND(data!H74,0)</f>
        <v>26262</v>
      </c>
      <c r="U7" s="222">
        <f>ROUND(data!H75,0)</f>
        <v>0</v>
      </c>
      <c r="V7" s="222">
        <f>ROUND(data!H76,0)</f>
        <v>0</v>
      </c>
      <c r="W7" s="222">
        <f>ROUND(data!H77,0)</f>
        <v>6855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2918</v>
      </c>
      <c r="AD7" s="222">
        <f>ROUND(data!H84,0)</f>
        <v>323355</v>
      </c>
      <c r="AE7" s="222">
        <f>ROUND(data!H89,0)</f>
        <v>21896746</v>
      </c>
      <c r="AF7" s="222">
        <f>ROUND(data!H87,0)</f>
        <v>21859941</v>
      </c>
      <c r="AG7" s="222">
        <f>IF(data!H90&gt;0,ROUND(data!H90,0),0)</f>
        <v>13336</v>
      </c>
      <c r="AH7" s="222">
        <f>IF(data!H91&gt;0,ROUND(data!H91,0),0)</f>
        <v>17591</v>
      </c>
      <c r="AI7" s="222">
        <f>IF(data!H92&gt;0,ROUND(data!H92,0),0)</f>
        <v>2496</v>
      </c>
      <c r="AJ7" s="222">
        <f>IF(data!H93&gt;0,ROUND(data!H93,0),0)</f>
        <v>53973</v>
      </c>
      <c r="AK7" s="212">
        <f>IF(data!H94&gt;0,ROUND(data!H94,2),0)</f>
        <v>25.67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058</v>
      </c>
      <c r="B8" s="224" t="str">
        <f>RIGHT(data!$C$96,4)</f>
        <v>2022</v>
      </c>
      <c r="C8" s="16" t="str">
        <f>data!I$55</f>
        <v>6150</v>
      </c>
      <c r="D8" s="16" t="s">
        <v>1121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058</v>
      </c>
      <c r="B9" s="224" t="str">
        <f>RIGHT(data!$C$96,4)</f>
        <v>2022</v>
      </c>
      <c r="C9" s="16" t="str">
        <f>data!J$55</f>
        <v>6170</v>
      </c>
      <c r="D9" s="16" t="s">
        <v>1121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058</v>
      </c>
      <c r="B10" s="224" t="str">
        <f>RIGHT(data!$C$96,4)</f>
        <v>2022</v>
      </c>
      <c r="C10" s="16" t="str">
        <f>data!K$55</f>
        <v>6200</v>
      </c>
      <c r="D10" s="16" t="s">
        <v>1121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058</v>
      </c>
      <c r="B11" s="224" t="str">
        <f>RIGHT(data!$C$96,4)</f>
        <v>2022</v>
      </c>
      <c r="C11" s="16" t="str">
        <f>data!L$55</f>
        <v>6210</v>
      </c>
      <c r="D11" s="16" t="s">
        <v>1121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058</v>
      </c>
      <c r="B12" s="224" t="str">
        <f>RIGHT(data!$C$96,4)</f>
        <v>2022</v>
      </c>
      <c r="C12" s="16" t="str">
        <f>data!M$55</f>
        <v>6330</v>
      </c>
      <c r="D12" s="16" t="s">
        <v>1121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058</v>
      </c>
      <c r="B13" s="224" t="str">
        <f>RIGHT(data!$C$96,4)</f>
        <v>2022</v>
      </c>
      <c r="C13" s="16" t="str">
        <f>data!N$55</f>
        <v>6400</v>
      </c>
      <c r="D13" s="16" t="s">
        <v>1121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058</v>
      </c>
      <c r="B14" s="224" t="str">
        <f>RIGHT(data!$C$96,4)</f>
        <v>2022</v>
      </c>
      <c r="C14" s="16" t="str">
        <f>data!O$55</f>
        <v>7010</v>
      </c>
      <c r="D14" s="16" t="s">
        <v>1121</v>
      </c>
      <c r="E14" s="222">
        <f>ROUND(data!O59,0)</f>
        <v>21595</v>
      </c>
      <c r="F14" s="212">
        <f>ROUND(data!O60,2)</f>
        <v>49.44</v>
      </c>
      <c r="G14" s="222">
        <f>ROUND(data!O61,0)</f>
        <v>5287122</v>
      </c>
      <c r="H14" s="222">
        <f>ROUND(data!O62,0)</f>
        <v>1152411</v>
      </c>
      <c r="I14" s="222">
        <f>ROUND(data!O63,0)</f>
        <v>0</v>
      </c>
      <c r="J14" s="222">
        <f>ROUND(data!O64,0)</f>
        <v>703342</v>
      </c>
      <c r="K14" s="222">
        <f>ROUND(data!O65,0)</f>
        <v>0</v>
      </c>
      <c r="L14" s="222">
        <f>ROUND(data!O66,0)</f>
        <v>0</v>
      </c>
      <c r="M14" s="66">
        <f>ROUND(data!O67,0)</f>
        <v>192843</v>
      </c>
      <c r="N14" s="222">
        <f>ROUND(data!O68,0)</f>
        <v>1185</v>
      </c>
      <c r="O14" s="222">
        <f>ROUND(data!O69,0)</f>
        <v>126722</v>
      </c>
      <c r="P14" s="222">
        <f>ROUND(data!O70,0)</f>
        <v>0</v>
      </c>
      <c r="Q14" s="222">
        <f>ROUND(data!O71,0)</f>
        <v>0</v>
      </c>
      <c r="R14" s="222">
        <f>ROUND(data!O72,0)</f>
        <v>942</v>
      </c>
      <c r="S14" s="222">
        <f>ROUND(data!O73,0)</f>
        <v>0</v>
      </c>
      <c r="T14" s="222">
        <f>ROUND(data!O74,0)</f>
        <v>112294</v>
      </c>
      <c r="U14" s="222">
        <f>ROUND(data!O75,0)</f>
        <v>0</v>
      </c>
      <c r="V14" s="222">
        <f>ROUND(data!O76,0)</f>
        <v>0</v>
      </c>
      <c r="W14" s="222">
        <f>ROUND(data!O77,0)</f>
        <v>7292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6194</v>
      </c>
      <c r="AD14" s="222">
        <f>ROUND(data!O84,0)</f>
        <v>4018</v>
      </c>
      <c r="AE14" s="222">
        <f>ROUND(data!O89,0)</f>
        <v>15933780</v>
      </c>
      <c r="AF14" s="222">
        <f>ROUND(data!O87,0)</f>
        <v>14788137</v>
      </c>
      <c r="AG14" s="222">
        <f>IF(data!O90&gt;0,ROUND(data!O90,0),0)</f>
        <v>10598</v>
      </c>
      <c r="AH14" s="222">
        <f>IF(data!O91&gt;0,ROUND(data!O91,0),0)</f>
        <v>0</v>
      </c>
      <c r="AI14" s="222">
        <f>IF(data!O92&gt;0,ROUND(data!O92,0),0)</f>
        <v>5408</v>
      </c>
      <c r="AJ14" s="222">
        <f>IF(data!O93&gt;0,ROUND(data!O93,0),0)</f>
        <v>174244</v>
      </c>
      <c r="AK14" s="212">
        <f>IF(data!O94&gt;0,ROUND(data!O94,2),0)</f>
        <v>32.880000000000003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058</v>
      </c>
      <c r="B15" s="224" t="str">
        <f>RIGHT(data!$C$96,4)</f>
        <v>2022</v>
      </c>
      <c r="C15" s="16" t="str">
        <f>data!P$55</f>
        <v>7020</v>
      </c>
      <c r="D15" s="16" t="s">
        <v>1121</v>
      </c>
      <c r="E15" s="222">
        <f>ROUND(data!P59,0)</f>
        <v>958305</v>
      </c>
      <c r="F15" s="212">
        <f>ROUND(data!P60,2)</f>
        <v>107.76</v>
      </c>
      <c r="G15" s="222">
        <f>ROUND(data!P61,0)</f>
        <v>9412490</v>
      </c>
      <c r="H15" s="222">
        <f>ROUND(data!P62,0)</f>
        <v>2051599</v>
      </c>
      <c r="I15" s="222">
        <f>ROUND(data!P63,0)</f>
        <v>-212623</v>
      </c>
      <c r="J15" s="222">
        <f>ROUND(data!P64,0)</f>
        <v>17767204</v>
      </c>
      <c r="K15" s="222">
        <f>ROUND(data!P65,0)</f>
        <v>46480</v>
      </c>
      <c r="L15" s="222">
        <f>ROUND(data!P66,0)</f>
        <v>681775</v>
      </c>
      <c r="M15" s="66">
        <f>ROUND(data!P67,0)</f>
        <v>776339</v>
      </c>
      <c r="N15" s="222">
        <f>ROUND(data!P68,0)</f>
        <v>796311</v>
      </c>
      <c r="O15" s="222">
        <f>ROUND(data!P69,0)</f>
        <v>1621883</v>
      </c>
      <c r="P15" s="222">
        <f>ROUND(data!P70,0)</f>
        <v>0</v>
      </c>
      <c r="Q15" s="222">
        <f>ROUND(data!P71,0)</f>
        <v>454836</v>
      </c>
      <c r="R15" s="222">
        <f>ROUND(data!P72,0)</f>
        <v>166487</v>
      </c>
      <c r="S15" s="222">
        <f>ROUND(data!P73,0)</f>
        <v>0</v>
      </c>
      <c r="T15" s="222">
        <f>ROUND(data!P74,0)</f>
        <v>202584</v>
      </c>
      <c r="U15" s="222">
        <f>ROUND(data!P75,0)</f>
        <v>0</v>
      </c>
      <c r="V15" s="222">
        <f>ROUND(data!P76,0)</f>
        <v>0</v>
      </c>
      <c r="W15" s="222">
        <f>ROUND(data!P77,0)</f>
        <v>513846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16804</v>
      </c>
      <c r="AB15" s="222">
        <f>ROUND(data!P82,0)</f>
        <v>0</v>
      </c>
      <c r="AC15" s="222">
        <f>ROUND(data!P83,0)</f>
        <v>267328</v>
      </c>
      <c r="AD15" s="222">
        <f>ROUND(data!P84,0)</f>
        <v>-200088</v>
      </c>
      <c r="AE15" s="222">
        <f>ROUND(data!P89,0)</f>
        <v>150177957</v>
      </c>
      <c r="AF15" s="222">
        <f>ROUND(data!P87,0)</f>
        <v>28352744</v>
      </c>
      <c r="AG15" s="222">
        <f>IF(data!P90&gt;0,ROUND(data!P90,0),0)</f>
        <v>42665</v>
      </c>
      <c r="AH15" s="222">
        <f>IF(data!P91&gt;0,ROUND(data!P91,0),0)</f>
        <v>440</v>
      </c>
      <c r="AI15" s="222">
        <f>IF(data!P92&gt;0,ROUND(data!P92,0),0)</f>
        <v>7787</v>
      </c>
      <c r="AJ15" s="222">
        <f>IF(data!P93&gt;0,ROUND(data!P93,0),0)</f>
        <v>314619</v>
      </c>
      <c r="AK15" s="212">
        <f>IF(data!P94&gt;0,ROUND(data!P94,2),0)</f>
        <v>53.53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058</v>
      </c>
      <c r="B16" s="224" t="str">
        <f>RIGHT(data!$C$96,4)</f>
        <v>2022</v>
      </c>
      <c r="C16" s="16" t="str">
        <f>data!Q$55</f>
        <v>7030</v>
      </c>
      <c r="D16" s="16" t="s">
        <v>1121</v>
      </c>
      <c r="E16" s="222">
        <f>ROUND(data!Q59,0)</f>
        <v>1228800</v>
      </c>
      <c r="F16" s="212">
        <f>ROUND(data!Q60,2)</f>
        <v>33.130000000000003</v>
      </c>
      <c r="G16" s="222">
        <f>ROUND(data!Q61,0)</f>
        <v>3688627</v>
      </c>
      <c r="H16" s="222">
        <f>ROUND(data!Q62,0)</f>
        <v>803994</v>
      </c>
      <c r="I16" s="222">
        <f>ROUND(data!Q63,0)</f>
        <v>0</v>
      </c>
      <c r="J16" s="222">
        <f>ROUND(data!Q64,0)</f>
        <v>83598</v>
      </c>
      <c r="K16" s="222">
        <f>ROUND(data!Q65,0)</f>
        <v>0</v>
      </c>
      <c r="L16" s="222">
        <f>ROUND(data!Q66,0)</f>
        <v>406</v>
      </c>
      <c r="M16" s="66">
        <f>ROUND(data!Q67,0)</f>
        <v>51131</v>
      </c>
      <c r="N16" s="222">
        <f>ROUND(data!Q68,0)</f>
        <v>1170</v>
      </c>
      <c r="O16" s="222">
        <f>ROUND(data!Q69,0)</f>
        <v>28704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624</v>
      </c>
      <c r="T16" s="222">
        <f>ROUND(data!Q74,0)</f>
        <v>22615</v>
      </c>
      <c r="U16" s="222">
        <f>ROUND(data!Q75,0)</f>
        <v>0</v>
      </c>
      <c r="V16" s="222">
        <f>ROUND(data!Q76,0)</f>
        <v>0</v>
      </c>
      <c r="W16" s="222">
        <f>ROUND(data!Q77,0)</f>
        <v>238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5227</v>
      </c>
      <c r="AD16" s="222">
        <f>ROUND(data!Q84,0)</f>
        <v>0</v>
      </c>
      <c r="AE16" s="222">
        <f>ROUND(data!Q89,0)</f>
        <v>11447948</v>
      </c>
      <c r="AF16" s="222">
        <f>ROUND(data!Q87,0)</f>
        <v>2212129</v>
      </c>
      <c r="AG16" s="222">
        <f>IF(data!Q90&gt;0,ROUND(data!Q90,0),0)</f>
        <v>2810</v>
      </c>
      <c r="AH16" s="222">
        <f>IF(data!Q91&gt;0,ROUND(data!Q91,0),0)</f>
        <v>237</v>
      </c>
      <c r="AI16" s="222">
        <f>IF(data!Q92&gt;0,ROUND(data!Q92,0),0)</f>
        <v>884</v>
      </c>
      <c r="AJ16" s="222">
        <f>IF(data!Q93&gt;0,ROUND(data!Q93,0),0)</f>
        <v>54369</v>
      </c>
      <c r="AK16" s="212">
        <f>IF(data!Q94&gt;0,ROUND(data!Q94,2),0)</f>
        <v>26.93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058</v>
      </c>
      <c r="B17" s="224" t="str">
        <f>RIGHT(data!$C$96,4)</f>
        <v>2022</v>
      </c>
      <c r="C17" s="16" t="str">
        <f>data!R$55</f>
        <v>7040</v>
      </c>
      <c r="D17" s="16" t="s">
        <v>1121</v>
      </c>
      <c r="E17" s="222">
        <f>ROUND(data!R59,0)</f>
        <v>805060</v>
      </c>
      <c r="F17" s="212">
        <f>ROUND(data!R60,2)</f>
        <v>2.57</v>
      </c>
      <c r="G17" s="222">
        <f>ROUND(data!R61,0)</f>
        <v>150404</v>
      </c>
      <c r="H17" s="222">
        <f>ROUND(data!R62,0)</f>
        <v>32783</v>
      </c>
      <c r="I17" s="222">
        <f>ROUND(data!R63,0)</f>
        <v>0</v>
      </c>
      <c r="J17" s="222">
        <f>ROUND(data!R64,0)</f>
        <v>422729</v>
      </c>
      <c r="K17" s="222">
        <f>ROUND(data!R65,0)</f>
        <v>0</v>
      </c>
      <c r="L17" s="222">
        <f>ROUND(data!R66,0)</f>
        <v>16528</v>
      </c>
      <c r="M17" s="66">
        <f>ROUND(data!R67,0)</f>
        <v>11391</v>
      </c>
      <c r="N17" s="222">
        <f>ROUND(data!R68,0)</f>
        <v>47</v>
      </c>
      <c r="O17" s="222">
        <f>ROUND(data!R69,0)</f>
        <v>41512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3259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5653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32601</v>
      </c>
      <c r="AD17" s="222">
        <f>ROUND(data!R84,0)</f>
        <v>0</v>
      </c>
      <c r="AE17" s="222">
        <f>ROUND(data!R89,0)</f>
        <v>6847226</v>
      </c>
      <c r="AF17" s="222">
        <f>ROUND(data!R87,0)</f>
        <v>1381222</v>
      </c>
      <c r="AG17" s="222">
        <f>IF(data!R90&gt;0,ROUND(data!R90,0),0)</f>
        <v>626</v>
      </c>
      <c r="AH17" s="222">
        <f>IF(data!R91&gt;0,ROUND(data!R91,0),0)</f>
        <v>0</v>
      </c>
      <c r="AI17" s="222">
        <f>IF(data!R92&gt;0,ROUND(data!R92,0),0)</f>
        <v>91</v>
      </c>
      <c r="AJ17" s="222">
        <f>IF(data!R93&gt;0,ROUND(data!R93,0),0)</f>
        <v>0</v>
      </c>
      <c r="AK17" s="212">
        <f>IF(data!R94&gt;0,ROUND(data!R94,2),0)</f>
        <v>0.68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058</v>
      </c>
      <c r="B18" s="224" t="str">
        <f>RIGHT(data!$C$96,4)</f>
        <v>2022</v>
      </c>
      <c r="C18" s="16" t="str">
        <f>data!S$55</f>
        <v>7050</v>
      </c>
      <c r="D18" s="16" t="s">
        <v>1121</v>
      </c>
      <c r="E18" s="222"/>
      <c r="F18" s="212">
        <f>ROUND(data!S60,2)</f>
        <v>22.56</v>
      </c>
      <c r="G18" s="222">
        <f>ROUND(data!S61,0)</f>
        <v>1139315</v>
      </c>
      <c r="H18" s="222">
        <f>ROUND(data!S62,0)</f>
        <v>248332</v>
      </c>
      <c r="I18" s="222">
        <f>ROUND(data!S63,0)</f>
        <v>0</v>
      </c>
      <c r="J18" s="222">
        <f>ROUND(data!S64,0)</f>
        <v>436579</v>
      </c>
      <c r="K18" s="222">
        <f>ROUND(data!S65,0)</f>
        <v>0</v>
      </c>
      <c r="L18" s="222">
        <f>ROUND(data!S66,0)</f>
        <v>1296</v>
      </c>
      <c r="M18" s="66">
        <f>ROUND(data!S67,0)</f>
        <v>624911</v>
      </c>
      <c r="N18" s="222">
        <f>ROUND(data!S68,0)</f>
        <v>69618</v>
      </c>
      <c r="O18" s="222">
        <f>ROUND(data!S69,0)</f>
        <v>176418</v>
      </c>
      <c r="P18" s="222">
        <f>ROUND(data!S70,0)</f>
        <v>0</v>
      </c>
      <c r="Q18" s="222">
        <f>ROUND(data!S71,0)</f>
        <v>126845</v>
      </c>
      <c r="R18" s="222">
        <f>ROUND(data!S72,0)</f>
        <v>2556</v>
      </c>
      <c r="S18" s="222">
        <f>ROUND(data!S73,0)</f>
        <v>0</v>
      </c>
      <c r="T18" s="222">
        <f>ROUND(data!S74,0)</f>
        <v>13425</v>
      </c>
      <c r="U18" s="222">
        <f>ROUND(data!S75,0)</f>
        <v>0</v>
      </c>
      <c r="V18" s="222">
        <f>ROUND(data!S76,0)</f>
        <v>0</v>
      </c>
      <c r="W18" s="222">
        <f>ROUND(data!S77,0)</f>
        <v>27123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6470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34343</v>
      </c>
      <c r="AH18" s="222">
        <f>IF(data!S91&gt;0,ROUND(data!S91,0),0)</f>
        <v>0</v>
      </c>
      <c r="AI18" s="222">
        <f>IF(data!S92&gt;0,ROUND(data!S92,0),0)</f>
        <v>3042</v>
      </c>
      <c r="AJ18" s="222">
        <f>IF(data!S93&gt;0,ROUND(data!S93,0),0)</f>
        <v>17561</v>
      </c>
      <c r="AK18" s="212">
        <f>IF(data!S94&gt;0,ROUND(data!S94,2),0)</f>
        <v>0.01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058</v>
      </c>
      <c r="B19" s="224" t="str">
        <f>RIGHT(data!$C$96,4)</f>
        <v>2022</v>
      </c>
      <c r="C19" s="16" t="str">
        <f>data!T$55</f>
        <v>7060</v>
      </c>
      <c r="D19" s="16" t="s">
        <v>1121</v>
      </c>
      <c r="E19" s="222"/>
      <c r="F19" s="212">
        <f>ROUND(data!T60,2)</f>
        <v>8.6300000000000008</v>
      </c>
      <c r="G19" s="222">
        <f>ROUND(data!T61,0)</f>
        <v>1125226</v>
      </c>
      <c r="H19" s="222">
        <f>ROUND(data!T62,0)</f>
        <v>245261</v>
      </c>
      <c r="I19" s="222">
        <f>ROUND(data!T63,0)</f>
        <v>0</v>
      </c>
      <c r="J19" s="222">
        <f>ROUND(data!T64,0)</f>
        <v>361957</v>
      </c>
      <c r="K19" s="222">
        <f>ROUND(data!T65,0)</f>
        <v>0</v>
      </c>
      <c r="L19" s="222">
        <f>ROUND(data!T66,0)</f>
        <v>0</v>
      </c>
      <c r="M19" s="66">
        <f>ROUND(data!T67,0)</f>
        <v>5313</v>
      </c>
      <c r="N19" s="222">
        <f>ROUND(data!T68,0)</f>
        <v>278</v>
      </c>
      <c r="O19" s="222">
        <f>ROUND(data!T69,0)</f>
        <v>5214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5196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18</v>
      </c>
      <c r="AD19" s="222">
        <f>ROUND(data!T84,0)</f>
        <v>0</v>
      </c>
      <c r="AE19" s="222">
        <f>ROUND(data!T89,0)</f>
        <v>2248850</v>
      </c>
      <c r="AF19" s="222">
        <f>ROUND(data!T87,0)</f>
        <v>1515619</v>
      </c>
      <c r="AG19" s="222">
        <f>IF(data!T90&gt;0,ROUND(data!T90,0),0)</f>
        <v>292</v>
      </c>
      <c r="AH19" s="222">
        <f>IF(data!T91&gt;0,ROUND(data!T91,0),0)</f>
        <v>0</v>
      </c>
      <c r="AI19" s="222">
        <f>IF(data!T92&gt;0,ROUND(data!T92,0),0)</f>
        <v>26</v>
      </c>
      <c r="AJ19" s="222">
        <f>IF(data!T93&gt;0,ROUND(data!T93,0),0)</f>
        <v>0</v>
      </c>
      <c r="AK19" s="212">
        <f>IF(data!T94&gt;0,ROUND(data!T94,2),0)</f>
        <v>8.6300000000000008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058</v>
      </c>
      <c r="B20" s="224" t="str">
        <f>RIGHT(data!$C$96,4)</f>
        <v>2022</v>
      </c>
      <c r="C20" s="16" t="str">
        <f>data!U$55</f>
        <v>7070</v>
      </c>
      <c r="D20" s="16" t="s">
        <v>1121</v>
      </c>
      <c r="E20" s="222">
        <f>ROUND(data!U59,0)</f>
        <v>2825506</v>
      </c>
      <c r="F20" s="212">
        <f>ROUND(data!U60,2)</f>
        <v>81.87</v>
      </c>
      <c r="G20" s="222">
        <f>ROUND(data!U61,0)</f>
        <v>5194359</v>
      </c>
      <c r="H20" s="222">
        <f>ROUND(data!U62,0)</f>
        <v>1132192</v>
      </c>
      <c r="I20" s="222">
        <f>ROUND(data!U63,0)</f>
        <v>174000</v>
      </c>
      <c r="J20" s="222">
        <f>ROUND(data!U64,0)</f>
        <v>5230531</v>
      </c>
      <c r="K20" s="222">
        <f>ROUND(data!U65,0)</f>
        <v>3579</v>
      </c>
      <c r="L20" s="222">
        <f>ROUND(data!U66,0)</f>
        <v>1673305</v>
      </c>
      <c r="M20" s="66">
        <f>ROUND(data!U67,0)</f>
        <v>215097</v>
      </c>
      <c r="N20" s="222">
        <f>ROUND(data!U68,0)</f>
        <v>571764</v>
      </c>
      <c r="O20" s="222">
        <f>ROUND(data!U69,0)</f>
        <v>3581739</v>
      </c>
      <c r="P20" s="222">
        <f>ROUND(data!U70,0)</f>
        <v>1550242</v>
      </c>
      <c r="Q20" s="222">
        <f>ROUND(data!U71,0)</f>
        <v>474160</v>
      </c>
      <c r="R20" s="222">
        <f>ROUND(data!U72,0)</f>
        <v>472401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759313</v>
      </c>
      <c r="W20" s="222">
        <f>ROUND(data!U77,0)</f>
        <v>212916</v>
      </c>
      <c r="X20" s="222">
        <f>ROUND(data!U78,0)</f>
        <v>0</v>
      </c>
      <c r="Y20" s="222">
        <f>ROUND(data!U79,0)</f>
        <v>3460</v>
      </c>
      <c r="Z20" s="222">
        <f>ROUND(data!U80,0)</f>
        <v>0</v>
      </c>
      <c r="AA20" s="222">
        <f>ROUND(data!U81,0)</f>
        <v>14153</v>
      </c>
      <c r="AB20" s="222">
        <f>ROUND(data!U82,0)</f>
        <v>0</v>
      </c>
      <c r="AC20" s="222">
        <f>ROUND(data!U83,0)</f>
        <v>95095</v>
      </c>
      <c r="AD20" s="222">
        <f>ROUND(data!U84,0)</f>
        <v>39591</v>
      </c>
      <c r="AE20" s="222">
        <f>ROUND(data!U89,0)</f>
        <v>132818771</v>
      </c>
      <c r="AF20" s="222">
        <f>ROUND(data!U87,0)</f>
        <v>47798806</v>
      </c>
      <c r="AG20" s="222">
        <f>IF(data!U90&gt;0,ROUND(data!U90,0),0)</f>
        <v>11821</v>
      </c>
      <c r="AH20" s="222">
        <f>IF(data!U91&gt;0,ROUND(data!U91,0),0)</f>
        <v>0</v>
      </c>
      <c r="AI20" s="222">
        <f>IF(data!U92&gt;0,ROUND(data!U92,0),0)</f>
        <v>1261</v>
      </c>
      <c r="AJ20" s="222">
        <f>IF(data!U93&gt;0,ROUND(data!U93,0),0)</f>
        <v>0</v>
      </c>
      <c r="AK20" s="212">
        <f>IF(data!U94&gt;0,ROUND(data!U94,2),0)</f>
        <v>6.89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058</v>
      </c>
      <c r="B21" s="224" t="str">
        <f>RIGHT(data!$C$96,4)</f>
        <v>2022</v>
      </c>
      <c r="C21" s="16" t="str">
        <f>data!V$55</f>
        <v>7110</v>
      </c>
      <c r="D21" s="16" t="s">
        <v>1121</v>
      </c>
      <c r="E21" s="222">
        <f>ROUND(data!V59,0)</f>
        <v>822562</v>
      </c>
      <c r="F21" s="212">
        <f>ROUND(data!V60,2)</f>
        <v>1.74</v>
      </c>
      <c r="G21" s="222">
        <f>ROUND(data!V61,0)</f>
        <v>79022</v>
      </c>
      <c r="H21" s="222">
        <f>ROUND(data!V62,0)</f>
        <v>17224</v>
      </c>
      <c r="I21" s="222">
        <f>ROUND(data!V63,0)</f>
        <v>0</v>
      </c>
      <c r="J21" s="222">
        <f>ROUND(data!V64,0)</f>
        <v>2599</v>
      </c>
      <c r="K21" s="222">
        <f>ROUND(data!V65,0)</f>
        <v>0</v>
      </c>
      <c r="L21" s="222">
        <f>ROUND(data!V66,0)</f>
        <v>0</v>
      </c>
      <c r="M21" s="66">
        <f>ROUND(data!V67,0)</f>
        <v>4112</v>
      </c>
      <c r="N21" s="222">
        <f>ROUND(data!V68,0)</f>
        <v>19896</v>
      </c>
      <c r="O21" s="222">
        <f>ROUND(data!V69,0)</f>
        <v>804762</v>
      </c>
      <c r="P21" s="222">
        <f>ROUND(data!V70,0)</f>
        <v>0</v>
      </c>
      <c r="Q21" s="222">
        <f>ROUND(data!V71,0)</f>
        <v>801517</v>
      </c>
      <c r="R21" s="222">
        <f>ROUND(data!V72,0)</f>
        <v>0</v>
      </c>
      <c r="S21" s="222">
        <f>ROUND(data!V73,0)</f>
        <v>0</v>
      </c>
      <c r="T21" s="222">
        <f>ROUND(data!V74,0)</f>
        <v>1</v>
      </c>
      <c r="U21" s="222">
        <f>ROUND(data!V75,0)</f>
        <v>0</v>
      </c>
      <c r="V21" s="222">
        <f>ROUND(data!V76,0)</f>
        <v>0</v>
      </c>
      <c r="W21" s="222">
        <f>ROUND(data!V77,0)</f>
        <v>1783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1461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9449211</v>
      </c>
      <c r="AF21" s="222">
        <f>ROUND(data!V87,0)</f>
        <v>3019829</v>
      </c>
      <c r="AG21" s="222">
        <f>IF(data!V90&gt;0,ROUND(data!V90,0),0)</f>
        <v>226</v>
      </c>
      <c r="AH21" s="222">
        <f>IF(data!V91&gt;0,ROUND(data!V91,0),0)</f>
        <v>0</v>
      </c>
      <c r="AI21" s="222">
        <f>IF(data!V92&gt;0,ROUND(data!V92,0),0)</f>
        <v>637</v>
      </c>
      <c r="AJ21" s="222">
        <f>IF(data!V93&gt;0,ROUND(data!V93,0),0)</f>
        <v>2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058</v>
      </c>
      <c r="B22" s="224" t="str">
        <f>RIGHT(data!$C$96,4)</f>
        <v>2022</v>
      </c>
      <c r="C22" s="16" t="str">
        <f>data!W$55</f>
        <v>7120</v>
      </c>
      <c r="D22" s="16" t="s">
        <v>1121</v>
      </c>
      <c r="E22" s="222">
        <f>ROUND(data!W59,0)</f>
        <v>51385</v>
      </c>
      <c r="F22" s="212">
        <f>ROUND(data!W60,2)</f>
        <v>10.88</v>
      </c>
      <c r="G22" s="222">
        <f>ROUND(data!W61,0)</f>
        <v>986729</v>
      </c>
      <c r="H22" s="222">
        <f>ROUND(data!W62,0)</f>
        <v>215073</v>
      </c>
      <c r="I22" s="222">
        <f>ROUND(data!W63,0)</f>
        <v>0</v>
      </c>
      <c r="J22" s="222">
        <f>ROUND(data!W64,0)</f>
        <v>54483</v>
      </c>
      <c r="K22" s="222">
        <f>ROUND(data!W65,0)</f>
        <v>0</v>
      </c>
      <c r="L22" s="222">
        <f>ROUND(data!W66,0)</f>
        <v>417150</v>
      </c>
      <c r="M22" s="66">
        <f>ROUND(data!W67,0)</f>
        <v>41414</v>
      </c>
      <c r="N22" s="222">
        <f>ROUND(data!W68,0)</f>
        <v>762</v>
      </c>
      <c r="O22" s="222">
        <f>ROUND(data!W69,0)</f>
        <v>11516</v>
      </c>
      <c r="P22" s="222">
        <f>ROUND(data!W70,0)</f>
        <v>0</v>
      </c>
      <c r="Q22" s="222">
        <f>ROUND(data!W71,0)</f>
        <v>0</v>
      </c>
      <c r="R22" s="222">
        <f>ROUND(data!W72,0)</f>
        <v>3655</v>
      </c>
      <c r="S22" s="222">
        <f>ROUND(data!W73,0)</f>
        <v>0</v>
      </c>
      <c r="T22" s="222">
        <f>ROUND(data!W74,0)</f>
        <v>5042</v>
      </c>
      <c r="U22" s="222">
        <f>ROUND(data!W75,0)</f>
        <v>0</v>
      </c>
      <c r="V22" s="222">
        <f>ROUND(data!W76,0)</f>
        <v>0</v>
      </c>
      <c r="W22" s="222">
        <f>ROUND(data!W77,0)</f>
        <v>2801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18</v>
      </c>
      <c r="AD22" s="222">
        <f>ROUND(data!W84,0)</f>
        <v>0</v>
      </c>
      <c r="AE22" s="222">
        <f>ROUND(data!W89,0)</f>
        <v>28838887</v>
      </c>
      <c r="AF22" s="222">
        <f>ROUND(data!W87,0)</f>
        <v>2574616</v>
      </c>
      <c r="AG22" s="222">
        <f>IF(data!W90&gt;0,ROUND(data!W90,0),0)</f>
        <v>2276</v>
      </c>
      <c r="AH22" s="222">
        <f>IF(data!W91&gt;0,ROUND(data!W91,0),0)</f>
        <v>0</v>
      </c>
      <c r="AI22" s="222">
        <f>IF(data!W92&gt;0,ROUND(data!W92,0),0)</f>
        <v>195</v>
      </c>
      <c r="AJ22" s="222">
        <f>IF(data!W93&gt;0,ROUND(data!W93,0),0)</f>
        <v>8478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058</v>
      </c>
      <c r="B23" s="224" t="str">
        <f>RIGHT(data!$C$96,4)</f>
        <v>2022</v>
      </c>
      <c r="C23" s="16" t="str">
        <f>data!X$55</f>
        <v>7130</v>
      </c>
      <c r="D23" s="16" t="s">
        <v>1121</v>
      </c>
      <c r="E23" s="222">
        <f>ROUND(data!X59,0)</f>
        <v>142198</v>
      </c>
      <c r="F23" s="212">
        <f>ROUND(data!X60,2)</f>
        <v>17.39</v>
      </c>
      <c r="G23" s="222">
        <f>ROUND(data!X61,0)</f>
        <v>1456066</v>
      </c>
      <c r="H23" s="222">
        <f>ROUND(data!X62,0)</f>
        <v>317372</v>
      </c>
      <c r="I23" s="222">
        <f>ROUND(data!X63,0)</f>
        <v>0</v>
      </c>
      <c r="J23" s="222">
        <f>ROUND(data!X64,0)</f>
        <v>334728</v>
      </c>
      <c r="K23" s="222">
        <f>ROUND(data!X65,0)</f>
        <v>0</v>
      </c>
      <c r="L23" s="222">
        <f>ROUND(data!X66,0)</f>
        <v>226408</v>
      </c>
      <c r="M23" s="66">
        <f>ROUND(data!X67,0)</f>
        <v>43507</v>
      </c>
      <c r="N23" s="222">
        <f>ROUND(data!X68,0)</f>
        <v>1148</v>
      </c>
      <c r="O23" s="222">
        <f>ROUND(data!X69,0)</f>
        <v>172008</v>
      </c>
      <c r="P23" s="222">
        <f>ROUND(data!X70,0)</f>
        <v>0</v>
      </c>
      <c r="Q23" s="222">
        <f>ROUND(data!X71,0)</f>
        <v>0</v>
      </c>
      <c r="R23" s="222">
        <f>ROUND(data!X72,0)</f>
        <v>152455</v>
      </c>
      <c r="S23" s="222">
        <f>ROUND(data!X73,0)</f>
        <v>0</v>
      </c>
      <c r="T23" s="222">
        <f>ROUND(data!X74,0)</f>
        <v>15339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4213</v>
      </c>
      <c r="AD23" s="222">
        <f>ROUND(data!X84,0)</f>
        <v>0</v>
      </c>
      <c r="AE23" s="222">
        <f>ROUND(data!X89,0)</f>
        <v>103289117</v>
      </c>
      <c r="AF23" s="222">
        <f>ROUND(data!X87,0)</f>
        <v>23280938</v>
      </c>
      <c r="AG23" s="222">
        <f>IF(data!X90&gt;0,ROUND(data!X90,0),0)</f>
        <v>2391</v>
      </c>
      <c r="AH23" s="222">
        <f>IF(data!X91&gt;0,ROUND(data!X91,0),0)</f>
        <v>0</v>
      </c>
      <c r="AI23" s="222">
        <f>IF(data!X92&gt;0,ROUND(data!X92,0),0)</f>
        <v>377</v>
      </c>
      <c r="AJ23" s="222">
        <f>IF(data!X93&gt;0,ROUND(data!X93,0),0)</f>
        <v>31198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058</v>
      </c>
      <c r="B24" s="224" t="str">
        <f>RIGHT(data!$C$96,4)</f>
        <v>2022</v>
      </c>
      <c r="C24" s="16" t="str">
        <f>data!Y$55</f>
        <v>7140</v>
      </c>
      <c r="D24" s="16" t="s">
        <v>1121</v>
      </c>
      <c r="E24" s="222">
        <f>ROUND(data!Y59,0)</f>
        <v>199183</v>
      </c>
      <c r="F24" s="212">
        <f>ROUND(data!Y60,2)</f>
        <v>75.87</v>
      </c>
      <c r="G24" s="222">
        <f>ROUND(data!Y61,0)</f>
        <v>6066061</v>
      </c>
      <c r="H24" s="222">
        <f>ROUND(data!Y62,0)</f>
        <v>1322193</v>
      </c>
      <c r="I24" s="222">
        <f>ROUND(data!Y63,0)</f>
        <v>135206</v>
      </c>
      <c r="J24" s="222">
        <f>ROUND(data!Y64,0)</f>
        <v>9369706</v>
      </c>
      <c r="K24" s="222">
        <f>ROUND(data!Y65,0)</f>
        <v>146018</v>
      </c>
      <c r="L24" s="222">
        <f>ROUND(data!Y66,0)</f>
        <v>655475</v>
      </c>
      <c r="M24" s="66">
        <f>ROUND(data!Y67,0)</f>
        <v>735962</v>
      </c>
      <c r="N24" s="222">
        <f>ROUND(data!Y68,0)</f>
        <v>313699</v>
      </c>
      <c r="O24" s="222">
        <f>ROUND(data!Y69,0)</f>
        <v>1712858</v>
      </c>
      <c r="P24" s="222">
        <f>ROUND(data!Y70,0)</f>
        <v>0</v>
      </c>
      <c r="Q24" s="222">
        <f>ROUND(data!Y71,0)</f>
        <v>793205</v>
      </c>
      <c r="R24" s="222">
        <f>ROUND(data!Y72,0)</f>
        <v>841450</v>
      </c>
      <c r="S24" s="222">
        <f>ROUND(data!Y73,0)</f>
        <v>6043</v>
      </c>
      <c r="T24" s="222">
        <f>ROUND(data!Y74,0)</f>
        <v>38289</v>
      </c>
      <c r="U24" s="222">
        <f>ROUND(data!Y75,0)</f>
        <v>0</v>
      </c>
      <c r="V24" s="222">
        <f>ROUND(data!Y76,0)</f>
        <v>0</v>
      </c>
      <c r="W24" s="222">
        <f>ROUND(data!Y77,0)</f>
        <v>38816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53418</v>
      </c>
      <c r="AB24" s="222">
        <f>ROUND(data!Y82,0)</f>
        <v>0</v>
      </c>
      <c r="AC24" s="222">
        <f>ROUND(data!Y83,0)</f>
        <v>-58363</v>
      </c>
      <c r="AD24" s="222">
        <f>ROUND(data!Y84,0)</f>
        <v>-68622</v>
      </c>
      <c r="AE24" s="222">
        <f>ROUND(data!Y89,0)</f>
        <v>130781716</v>
      </c>
      <c r="AF24" s="222">
        <f>ROUND(data!Y87,0)</f>
        <v>31055009</v>
      </c>
      <c r="AG24" s="222">
        <f>IF(data!Y90&gt;0,ROUND(data!Y90,0),0)</f>
        <v>40446</v>
      </c>
      <c r="AH24" s="222">
        <f>IF(data!Y91&gt;0,ROUND(data!Y91,0),0)</f>
        <v>1138</v>
      </c>
      <c r="AI24" s="222">
        <f>IF(data!Y92&gt;0,ROUND(data!Y92,0),0)</f>
        <v>7631</v>
      </c>
      <c r="AJ24" s="222">
        <f>IF(data!Y93&gt;0,ROUND(data!Y93,0),0)</f>
        <v>75367</v>
      </c>
      <c r="AK24" s="212">
        <f>IF(data!Y94&gt;0,ROUND(data!Y94,2),0)</f>
        <v>6.52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058</v>
      </c>
      <c r="B25" s="224" t="str">
        <f>RIGHT(data!$C$96,4)</f>
        <v>2022</v>
      </c>
      <c r="C25" s="16" t="str">
        <f>data!Z$55</f>
        <v>7150</v>
      </c>
      <c r="D25" s="16" t="s">
        <v>1121</v>
      </c>
      <c r="E25" s="222">
        <f>ROUND(data!Z59,0)</f>
        <v>34811</v>
      </c>
      <c r="F25" s="212">
        <f>ROUND(data!Z60,2)</f>
        <v>13.61</v>
      </c>
      <c r="G25" s="222">
        <f>ROUND(data!Z61,0)</f>
        <v>1317668</v>
      </c>
      <c r="H25" s="222">
        <f>ROUND(data!Z62,0)</f>
        <v>287206</v>
      </c>
      <c r="I25" s="222">
        <f>ROUND(data!Z63,0)</f>
        <v>0</v>
      </c>
      <c r="J25" s="222">
        <f>ROUND(data!Z64,0)</f>
        <v>37875</v>
      </c>
      <c r="K25" s="222">
        <f>ROUND(data!Z65,0)</f>
        <v>0</v>
      </c>
      <c r="L25" s="222">
        <f>ROUND(data!Z66,0)</f>
        <v>799696</v>
      </c>
      <c r="M25" s="66">
        <f>ROUND(data!Z67,0)</f>
        <v>231000</v>
      </c>
      <c r="N25" s="222">
        <f>ROUND(data!Z68,0)</f>
        <v>4843</v>
      </c>
      <c r="O25" s="222">
        <f>ROUND(data!Z69,0)</f>
        <v>909067</v>
      </c>
      <c r="P25" s="222">
        <f>ROUND(data!Z70,0)</f>
        <v>0</v>
      </c>
      <c r="Q25" s="222">
        <f>ROUND(data!Z71,0)</f>
        <v>18453</v>
      </c>
      <c r="R25" s="222">
        <f>ROUND(data!Z72,0)</f>
        <v>913008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-48723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26329</v>
      </c>
      <c r="AD25" s="222">
        <f>ROUND(data!Z84,0)</f>
        <v>0</v>
      </c>
      <c r="AE25" s="222">
        <f>ROUND(data!Z89,0)</f>
        <v>24060342</v>
      </c>
      <c r="AF25" s="222">
        <f>ROUND(data!Z87,0)</f>
        <v>216467</v>
      </c>
      <c r="AG25" s="222">
        <f>IF(data!Z90&gt;0,ROUND(data!Z90,0),0)</f>
        <v>12695</v>
      </c>
      <c r="AH25" s="222">
        <f>IF(data!Z91&gt;0,ROUND(data!Z91,0),0)</f>
        <v>0</v>
      </c>
      <c r="AI25" s="222">
        <f>IF(data!Z92&gt;0,ROUND(data!Z92,0),0)</f>
        <v>2132</v>
      </c>
      <c r="AJ25" s="222">
        <f>IF(data!Z93&gt;0,ROUND(data!Z93,0),0)</f>
        <v>0</v>
      </c>
      <c r="AK25" s="212">
        <f>IF(data!Z94&gt;0,ROUND(data!Z94,2),0)</f>
        <v>4.43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058</v>
      </c>
      <c r="B26" s="224" t="str">
        <f>RIGHT(data!$C$96,4)</f>
        <v>2022</v>
      </c>
      <c r="C26" s="16" t="str">
        <f>data!AA$55</f>
        <v>7160</v>
      </c>
      <c r="D26" s="16" t="s">
        <v>1121</v>
      </c>
      <c r="E26" s="222">
        <f>ROUND(data!AA59,0)</f>
        <v>20659</v>
      </c>
      <c r="F26" s="212">
        <f>ROUND(data!AA60,2)</f>
        <v>5.98</v>
      </c>
      <c r="G26" s="222">
        <f>ROUND(data!AA61,0)</f>
        <v>525245</v>
      </c>
      <c r="H26" s="222">
        <f>ROUND(data!AA62,0)</f>
        <v>114485</v>
      </c>
      <c r="I26" s="222">
        <f>ROUND(data!AA63,0)</f>
        <v>0</v>
      </c>
      <c r="J26" s="222">
        <f>ROUND(data!AA64,0)</f>
        <v>572442</v>
      </c>
      <c r="K26" s="222">
        <f>ROUND(data!AA65,0)</f>
        <v>0</v>
      </c>
      <c r="L26" s="222">
        <f>ROUND(data!AA66,0)</f>
        <v>44367</v>
      </c>
      <c r="M26" s="66">
        <f>ROUND(data!AA67,0)</f>
        <v>41633</v>
      </c>
      <c r="N26" s="222">
        <f>ROUND(data!AA68,0)</f>
        <v>1093</v>
      </c>
      <c r="O26" s="222">
        <f>ROUND(data!AA69,0)</f>
        <v>355614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341390</v>
      </c>
      <c r="T26" s="222">
        <f>ROUND(data!AA74,0)</f>
        <v>2683</v>
      </c>
      <c r="U26" s="222">
        <f>ROUND(data!AA75,0)</f>
        <v>0</v>
      </c>
      <c r="V26" s="222">
        <f>ROUND(data!AA76,0)</f>
        <v>0</v>
      </c>
      <c r="W26" s="222">
        <f>ROUND(data!AA77,0)</f>
        <v>615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10927</v>
      </c>
      <c r="AD26" s="222">
        <f>ROUND(data!AA84,0)</f>
        <v>0</v>
      </c>
      <c r="AE26" s="222">
        <f>ROUND(data!AA89,0)</f>
        <v>8234790</v>
      </c>
      <c r="AF26" s="222">
        <f>ROUND(data!AA87,0)</f>
        <v>187070</v>
      </c>
      <c r="AG26" s="222">
        <f>IF(data!AA90&gt;0,ROUND(data!AA90,0),0)</f>
        <v>2288</v>
      </c>
      <c r="AH26" s="222">
        <f>IF(data!AA91&gt;0,ROUND(data!AA91,0),0)</f>
        <v>0</v>
      </c>
      <c r="AI26" s="222">
        <f>IF(data!AA92&gt;0,ROUND(data!AA92,0),0)</f>
        <v>1326</v>
      </c>
      <c r="AJ26" s="222">
        <f>IF(data!AA93&gt;0,ROUND(data!AA93,0),0)</f>
        <v>5882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058</v>
      </c>
      <c r="B27" s="224" t="str">
        <f>RIGHT(data!$C$96,4)</f>
        <v>2022</v>
      </c>
      <c r="C27" s="16" t="str">
        <f>data!AB$55</f>
        <v>7170</v>
      </c>
      <c r="D27" s="16" t="s">
        <v>1121</v>
      </c>
      <c r="E27" s="222"/>
      <c r="F27" s="212">
        <f>ROUND(data!AB60,2)</f>
        <v>75.37</v>
      </c>
      <c r="G27" s="222">
        <f>ROUND(data!AB61,0)</f>
        <v>6443676</v>
      </c>
      <c r="H27" s="222">
        <f>ROUND(data!AB62,0)</f>
        <v>1404500</v>
      </c>
      <c r="I27" s="222">
        <f>ROUND(data!AB63,0)</f>
        <v>0</v>
      </c>
      <c r="J27" s="222">
        <f>ROUND(data!AB64,0)</f>
        <v>12103510</v>
      </c>
      <c r="K27" s="222">
        <f>ROUND(data!AB65,0)</f>
        <v>4500</v>
      </c>
      <c r="L27" s="222">
        <f>ROUND(data!AB66,0)</f>
        <v>54263</v>
      </c>
      <c r="M27" s="66">
        <f>ROUND(data!AB67,0)</f>
        <v>187475</v>
      </c>
      <c r="N27" s="222">
        <f>ROUND(data!AB68,0)</f>
        <v>100716</v>
      </c>
      <c r="O27" s="222">
        <f>ROUND(data!AB69,0)</f>
        <v>670004</v>
      </c>
      <c r="P27" s="222">
        <f>ROUND(data!AB70,0)</f>
        <v>0</v>
      </c>
      <c r="Q27" s="222">
        <f>ROUND(data!AB71,0)</f>
        <v>0</v>
      </c>
      <c r="R27" s="222">
        <f>ROUND(data!AB72,0)</f>
        <v>395947</v>
      </c>
      <c r="S27" s="222">
        <f>ROUND(data!AB73,0)</f>
        <v>0</v>
      </c>
      <c r="T27" s="222">
        <f>ROUND(data!AB74,0)</f>
        <v>2280</v>
      </c>
      <c r="U27" s="222">
        <f>ROUND(data!AB75,0)</f>
        <v>0</v>
      </c>
      <c r="V27" s="222">
        <f>ROUND(data!AB76,0)</f>
        <v>0</v>
      </c>
      <c r="W27" s="222">
        <f>ROUND(data!AB77,0)</f>
        <v>21935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249842</v>
      </c>
      <c r="AD27" s="222">
        <f>ROUND(data!AB84,0)</f>
        <v>206931</v>
      </c>
      <c r="AE27" s="222">
        <f>ROUND(data!AB89,0)</f>
        <v>82516076</v>
      </c>
      <c r="AF27" s="222">
        <f>ROUND(data!AB87,0)</f>
        <v>42025239</v>
      </c>
      <c r="AG27" s="222">
        <f>IF(data!AB90&gt;0,ROUND(data!AB90,0),0)</f>
        <v>10303</v>
      </c>
      <c r="AH27" s="222">
        <f>IF(data!AB91&gt;0,ROUND(data!AB91,0),0)</f>
        <v>0</v>
      </c>
      <c r="AI27" s="222">
        <f>IF(data!AB92&gt;0,ROUND(data!AB92,0),0)</f>
        <v>1339</v>
      </c>
      <c r="AJ27" s="222">
        <f>IF(data!AB93&gt;0,ROUND(data!AB93,0),0)</f>
        <v>2735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058</v>
      </c>
      <c r="B28" s="224" t="str">
        <f>RIGHT(data!$C$96,4)</f>
        <v>2022</v>
      </c>
      <c r="C28" s="16" t="str">
        <f>data!AC$55</f>
        <v>7180</v>
      </c>
      <c r="D28" s="16" t="s">
        <v>1121</v>
      </c>
      <c r="E28" s="222">
        <f>ROUND(data!AC59,0)</f>
        <v>20355</v>
      </c>
      <c r="F28" s="212">
        <f>ROUND(data!AC60,2)</f>
        <v>19.46</v>
      </c>
      <c r="G28" s="222">
        <f>ROUND(data!AC61,0)</f>
        <v>1961246</v>
      </c>
      <c r="H28" s="222">
        <f>ROUND(data!AC62,0)</f>
        <v>427484</v>
      </c>
      <c r="I28" s="222">
        <f>ROUND(data!AC63,0)</f>
        <v>0</v>
      </c>
      <c r="J28" s="222">
        <f>ROUND(data!AC64,0)</f>
        <v>571728</v>
      </c>
      <c r="K28" s="222">
        <f>ROUND(data!AC65,0)</f>
        <v>0</v>
      </c>
      <c r="L28" s="222">
        <f>ROUND(data!AC66,0)</f>
        <v>1574</v>
      </c>
      <c r="M28" s="66">
        <f>ROUND(data!AC67,0)</f>
        <v>55971</v>
      </c>
      <c r="N28" s="222">
        <f>ROUND(data!AC68,0)</f>
        <v>31965</v>
      </c>
      <c r="O28" s="222">
        <f>ROUND(data!AC69,0)</f>
        <v>1674503</v>
      </c>
      <c r="P28" s="222">
        <f>ROUND(data!AC70,0)</f>
        <v>0</v>
      </c>
      <c r="Q28" s="222">
        <f>ROUND(data!AC71,0)</f>
        <v>1625485</v>
      </c>
      <c r="R28" s="222">
        <f>ROUND(data!AC72,0)</f>
        <v>1367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46181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1471</v>
      </c>
      <c r="AD28" s="222">
        <f>ROUND(data!AC84,0)</f>
        <v>-32521</v>
      </c>
      <c r="AE28" s="222">
        <f>ROUND(data!AC89,0)</f>
        <v>25447453</v>
      </c>
      <c r="AF28" s="222">
        <f>ROUND(data!AC87,0)</f>
        <v>23813895</v>
      </c>
      <c r="AG28" s="222">
        <f>IF(data!AC90&gt;0,ROUND(data!AC90,0),0)</f>
        <v>3076</v>
      </c>
      <c r="AH28" s="222">
        <f>IF(data!AC91&gt;0,ROUND(data!AC91,0),0)</f>
        <v>0</v>
      </c>
      <c r="AI28" s="222">
        <f>IF(data!AC92&gt;0,ROUND(data!AC92,0),0)</f>
        <v>182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058</v>
      </c>
      <c r="B29" s="224" t="str">
        <f>RIGHT(data!$C$96,4)</f>
        <v>2022</v>
      </c>
      <c r="C29" s="16" t="str">
        <f>data!AD$55</f>
        <v>7190</v>
      </c>
      <c r="D29" s="16" t="s">
        <v>1121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1395604</v>
      </c>
      <c r="M29" s="66">
        <f>ROUND(data!AD67,0)</f>
        <v>4858</v>
      </c>
      <c r="N29" s="222">
        <f>ROUND(data!AD68,0)</f>
        <v>0</v>
      </c>
      <c r="O29" s="222">
        <f>ROUND(data!AD69,0)</f>
        <v>7444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7444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3567289</v>
      </c>
      <c r="AF29" s="222">
        <f>ROUND(data!AD87,0)</f>
        <v>3262259</v>
      </c>
      <c r="AG29" s="222">
        <f>IF(data!AD90&gt;0,ROUND(data!AD90,0),0)</f>
        <v>267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058</v>
      </c>
      <c r="B30" s="224" t="str">
        <f>RIGHT(data!$C$96,4)</f>
        <v>2022</v>
      </c>
      <c r="C30" s="16" t="str">
        <f>data!AE$55</f>
        <v>7200</v>
      </c>
      <c r="D30" s="16" t="s">
        <v>1121</v>
      </c>
      <c r="E30" s="222">
        <f>ROUND(data!AE59,0)</f>
        <v>61922</v>
      </c>
      <c r="F30" s="212">
        <f>ROUND(data!AE60,2)</f>
        <v>26.55</v>
      </c>
      <c r="G30" s="222">
        <f>ROUND(data!AE61,0)</f>
        <v>2494623</v>
      </c>
      <c r="H30" s="222">
        <f>ROUND(data!AE62,0)</f>
        <v>543742</v>
      </c>
      <c r="I30" s="222">
        <f>ROUND(data!AE63,0)</f>
        <v>0</v>
      </c>
      <c r="J30" s="222">
        <f>ROUND(data!AE64,0)</f>
        <v>20158</v>
      </c>
      <c r="K30" s="222">
        <f>ROUND(data!AE65,0)</f>
        <v>11862</v>
      </c>
      <c r="L30" s="222">
        <f>ROUND(data!AE66,0)</f>
        <v>2482</v>
      </c>
      <c r="M30" s="66">
        <f>ROUND(data!AE67,0)</f>
        <v>200722</v>
      </c>
      <c r="N30" s="222">
        <f>ROUND(data!AE68,0)</f>
        <v>121576</v>
      </c>
      <c r="O30" s="222">
        <f>ROUND(data!AE69,0)</f>
        <v>27101</v>
      </c>
      <c r="P30" s="222">
        <f>ROUND(data!AE70,0)</f>
        <v>0</v>
      </c>
      <c r="Q30" s="222">
        <f>ROUND(data!AE71,0)</f>
        <v>0</v>
      </c>
      <c r="R30" s="222">
        <f>ROUND(data!AE72,0)</f>
        <v>4307</v>
      </c>
      <c r="S30" s="222">
        <f>ROUND(data!AE73,0)</f>
        <v>0</v>
      </c>
      <c r="T30" s="222">
        <f>ROUND(data!AE74,0)</f>
        <v>1454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21340</v>
      </c>
      <c r="AD30" s="222">
        <f>ROUND(data!AE84,0)</f>
        <v>179275</v>
      </c>
      <c r="AE30" s="222">
        <f>ROUND(data!AE89,0)</f>
        <v>7905104</v>
      </c>
      <c r="AF30" s="222">
        <f>ROUND(data!AE87,0)</f>
        <v>3371076</v>
      </c>
      <c r="AG30" s="222">
        <f>IF(data!AE90&gt;0,ROUND(data!AE90,0),0)</f>
        <v>11031</v>
      </c>
      <c r="AH30" s="222">
        <f>IF(data!AE91&gt;0,ROUND(data!AE91,0),0)</f>
        <v>0</v>
      </c>
      <c r="AI30" s="222">
        <f>IF(data!AE92&gt;0,ROUND(data!AE92,0),0)</f>
        <v>2002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058</v>
      </c>
      <c r="B31" s="224" t="str">
        <f>RIGHT(data!$C$96,4)</f>
        <v>2022</v>
      </c>
      <c r="C31" s="16" t="str">
        <f>data!AF$55</f>
        <v>7220</v>
      </c>
      <c r="D31" s="16" t="s">
        <v>1121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058</v>
      </c>
      <c r="B32" s="224" t="str">
        <f>RIGHT(data!$C$96,4)</f>
        <v>2022</v>
      </c>
      <c r="C32" s="16" t="str">
        <f>data!AG$55</f>
        <v>7230</v>
      </c>
      <c r="D32" s="16" t="s">
        <v>1121</v>
      </c>
      <c r="E32" s="222">
        <f>ROUND(data!AG59,0)</f>
        <v>90053</v>
      </c>
      <c r="F32" s="212">
        <f>ROUND(data!AG60,2)</f>
        <v>96.02</v>
      </c>
      <c r="G32" s="222">
        <f>ROUND(data!AG61,0)</f>
        <v>9296582</v>
      </c>
      <c r="H32" s="222">
        <f>ROUND(data!AG62,0)</f>
        <v>2026335</v>
      </c>
      <c r="I32" s="222">
        <f>ROUND(data!AG63,0)</f>
        <v>12451262</v>
      </c>
      <c r="J32" s="222">
        <f>ROUND(data!AG64,0)</f>
        <v>2174611</v>
      </c>
      <c r="K32" s="222">
        <f>ROUND(data!AG65,0)</f>
        <v>0</v>
      </c>
      <c r="L32" s="222">
        <f>ROUND(data!AG66,0)</f>
        <v>1087773</v>
      </c>
      <c r="M32" s="66">
        <f>ROUND(data!AG67,0)</f>
        <v>326039</v>
      </c>
      <c r="N32" s="222">
        <f>ROUND(data!AG68,0)</f>
        <v>7683</v>
      </c>
      <c r="O32" s="222">
        <f>ROUND(data!AG69,0)</f>
        <v>3548483</v>
      </c>
      <c r="P32" s="222">
        <f>ROUND(data!AG70,0)</f>
        <v>0</v>
      </c>
      <c r="Q32" s="222">
        <f>ROUND(data!AG71,0)</f>
        <v>3316401</v>
      </c>
      <c r="R32" s="222">
        <f>ROUND(data!AG72,0)</f>
        <v>5700</v>
      </c>
      <c r="S32" s="222">
        <f>ROUND(data!AG73,0)</f>
        <v>0</v>
      </c>
      <c r="T32" s="222">
        <f>ROUND(data!AG74,0)</f>
        <v>195481</v>
      </c>
      <c r="U32" s="222">
        <f>ROUND(data!AG75,0)</f>
        <v>0</v>
      </c>
      <c r="V32" s="222">
        <f>ROUND(data!AG76,0)</f>
        <v>0</v>
      </c>
      <c r="W32" s="222">
        <f>ROUND(data!AG77,0)</f>
        <v>12410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18491</v>
      </c>
      <c r="AD32" s="222">
        <f>ROUND(data!AG84,0)</f>
        <v>51466</v>
      </c>
      <c r="AE32" s="222">
        <f>ROUND(data!AG89,0)</f>
        <v>191369198</v>
      </c>
      <c r="AF32" s="222">
        <f>ROUND(data!AG87,0)</f>
        <v>36728691</v>
      </c>
      <c r="AG32" s="222">
        <f>IF(data!AG90&gt;0,ROUND(data!AG90,0),0)</f>
        <v>17918</v>
      </c>
      <c r="AH32" s="222">
        <f>IF(data!AG91&gt;0,ROUND(data!AG91,0),0)</f>
        <v>9237</v>
      </c>
      <c r="AI32" s="222">
        <f>IF(data!AG92&gt;0,ROUND(data!AG92,0),0)</f>
        <v>17940</v>
      </c>
      <c r="AJ32" s="222">
        <f>IF(data!AG93&gt;0,ROUND(data!AG93,0),0)</f>
        <v>437690</v>
      </c>
      <c r="AK32" s="212">
        <f>IF(data!AG94&gt;0,ROUND(data!AG94,2),0)</f>
        <v>69.14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058</v>
      </c>
      <c r="B33" s="224" t="str">
        <f>RIGHT(data!$C$96,4)</f>
        <v>2022</v>
      </c>
      <c r="C33" s="16" t="str">
        <f>data!AH$55</f>
        <v>7240</v>
      </c>
      <c r="D33" s="16" t="s">
        <v>1121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058</v>
      </c>
      <c r="B34" s="224" t="str">
        <f>RIGHT(data!$C$96,4)</f>
        <v>2022</v>
      </c>
      <c r="C34" s="16" t="str">
        <f>data!AI$55</f>
        <v>7250</v>
      </c>
      <c r="D34" s="16" t="s">
        <v>1121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058</v>
      </c>
      <c r="B35" s="224" t="str">
        <f>RIGHT(data!$C$96,4)</f>
        <v>2022</v>
      </c>
      <c r="C35" s="16" t="str">
        <f>data!AJ$55</f>
        <v>7260</v>
      </c>
      <c r="D35" s="16" t="s">
        <v>1121</v>
      </c>
      <c r="E35" s="222">
        <f>ROUND(data!AJ59,0)</f>
        <v>27989</v>
      </c>
      <c r="F35" s="212">
        <f>ROUND(data!AJ60,2)</f>
        <v>73.260000000000005</v>
      </c>
      <c r="G35" s="222">
        <f>ROUND(data!AJ61,0)</f>
        <v>8089455</v>
      </c>
      <c r="H35" s="222">
        <f>ROUND(data!AJ62,0)</f>
        <v>1763223</v>
      </c>
      <c r="I35" s="222">
        <f>ROUND(data!AJ63,0)</f>
        <v>-119241</v>
      </c>
      <c r="J35" s="222">
        <f>ROUND(data!AJ64,0)</f>
        <v>25994578</v>
      </c>
      <c r="K35" s="222">
        <f>ROUND(data!AJ65,0)</f>
        <v>157755</v>
      </c>
      <c r="L35" s="222">
        <f>ROUND(data!AJ66,0)</f>
        <v>40422</v>
      </c>
      <c r="M35" s="66">
        <f>ROUND(data!AJ67,0)</f>
        <v>309007</v>
      </c>
      <c r="N35" s="222">
        <f>ROUND(data!AJ68,0)</f>
        <v>99816</v>
      </c>
      <c r="O35" s="222">
        <f>ROUND(data!AJ69,0)</f>
        <v>787170</v>
      </c>
      <c r="P35" s="222">
        <f>ROUND(data!AJ70,0)</f>
        <v>0</v>
      </c>
      <c r="Q35" s="222">
        <f>ROUND(data!AJ71,0)</f>
        <v>0</v>
      </c>
      <c r="R35" s="222">
        <f>ROUND(data!AJ72,0)</f>
        <v>279561</v>
      </c>
      <c r="S35" s="222">
        <f>ROUND(data!AJ73,0)</f>
        <v>3963</v>
      </c>
      <c r="T35" s="222">
        <f>ROUND(data!AJ74,0)</f>
        <v>755</v>
      </c>
      <c r="U35" s="222">
        <f>ROUND(data!AJ75,0)</f>
        <v>0</v>
      </c>
      <c r="V35" s="222">
        <f>ROUND(data!AJ76,0)</f>
        <v>6391</v>
      </c>
      <c r="W35" s="222">
        <f>ROUND(data!AJ77,0)</f>
        <v>54934</v>
      </c>
      <c r="X35" s="222">
        <f>ROUND(data!AJ78,0)</f>
        <v>0</v>
      </c>
      <c r="Y35" s="222">
        <f>ROUND(data!AJ79,0)</f>
        <v>2960</v>
      </c>
      <c r="Z35" s="222">
        <f>ROUND(data!AJ80,0)</f>
        <v>0</v>
      </c>
      <c r="AA35" s="222">
        <f>ROUND(data!AJ81,0)</f>
        <v>8337</v>
      </c>
      <c r="AB35" s="222">
        <f>ROUND(data!AJ82,0)</f>
        <v>0</v>
      </c>
      <c r="AC35" s="222">
        <f>ROUND(data!AJ83,0)</f>
        <v>430268</v>
      </c>
      <c r="AD35" s="222">
        <f>ROUND(data!AJ84,0)</f>
        <v>693480</v>
      </c>
      <c r="AE35" s="222">
        <f>ROUND(data!AJ89,0)</f>
        <v>193300356</v>
      </c>
      <c r="AF35" s="222">
        <f>ROUND(data!AJ87,0)</f>
        <v>1150889</v>
      </c>
      <c r="AG35" s="222">
        <f>IF(data!AJ90&gt;0,ROUND(data!AJ90,0),0)</f>
        <v>16982</v>
      </c>
      <c r="AH35" s="222">
        <f>IF(data!AJ91&gt;0,ROUND(data!AJ91,0),0)</f>
        <v>0</v>
      </c>
      <c r="AI35" s="222">
        <f>IF(data!AJ92&gt;0,ROUND(data!AJ92,0),0)</f>
        <v>5746</v>
      </c>
      <c r="AJ35" s="222">
        <f>IF(data!AJ93&gt;0,ROUND(data!AJ93,0),0)</f>
        <v>0</v>
      </c>
      <c r="AK35" s="212">
        <f>IF(data!AJ94&gt;0,ROUND(data!AJ94,2),0)</f>
        <v>25.76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058</v>
      </c>
      <c r="B36" s="224" t="str">
        <f>RIGHT(data!$C$96,4)</f>
        <v>2022</v>
      </c>
      <c r="C36" s="16" t="str">
        <f>data!AK$55</f>
        <v>7310</v>
      </c>
      <c r="D36" s="16" t="s">
        <v>1121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058</v>
      </c>
      <c r="B37" s="224" t="str">
        <f>RIGHT(data!$C$96,4)</f>
        <v>2022</v>
      </c>
      <c r="C37" s="16" t="str">
        <f>data!AL$55</f>
        <v>7320</v>
      </c>
      <c r="D37" s="16" t="s">
        <v>1121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058</v>
      </c>
      <c r="B38" s="224" t="str">
        <f>RIGHT(data!$C$96,4)</f>
        <v>2022</v>
      </c>
      <c r="C38" s="16" t="str">
        <f>data!AM$55</f>
        <v>7330</v>
      </c>
      <c r="D38" s="16" t="s">
        <v>1121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058</v>
      </c>
      <c r="B39" s="224" t="str">
        <f>RIGHT(data!$C$96,4)</f>
        <v>2022</v>
      </c>
      <c r="C39" s="16" t="str">
        <f>data!AN$55</f>
        <v>7340</v>
      </c>
      <c r="D39" s="16" t="s">
        <v>1121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058</v>
      </c>
      <c r="B40" s="224" t="str">
        <f>RIGHT(data!$C$96,4)</f>
        <v>2022</v>
      </c>
      <c r="C40" s="16" t="str">
        <f>data!AO$55</f>
        <v>7350</v>
      </c>
      <c r="D40" s="16" t="s">
        <v>1121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058</v>
      </c>
      <c r="B41" s="224" t="str">
        <f>RIGHT(data!$C$96,4)</f>
        <v>2022</v>
      </c>
      <c r="C41" s="16" t="str">
        <f>data!AP$55</f>
        <v>7380</v>
      </c>
      <c r="D41" s="16" t="s">
        <v>1121</v>
      </c>
      <c r="E41" s="222">
        <f>ROUND(data!AP59,0)</f>
        <v>41712</v>
      </c>
      <c r="F41" s="212">
        <f>ROUND(data!AP60,2)</f>
        <v>397.98</v>
      </c>
      <c r="G41" s="222">
        <f>ROUND(data!AP61,0)</f>
        <v>61670336</v>
      </c>
      <c r="H41" s="222">
        <f>ROUND(data!AP62,0)</f>
        <v>13442013</v>
      </c>
      <c r="I41" s="222">
        <f>ROUND(data!AP63,0)</f>
        <v>8132360</v>
      </c>
      <c r="J41" s="222">
        <f>ROUND(data!AP64,0)</f>
        <v>3150694</v>
      </c>
      <c r="K41" s="222">
        <f>ROUND(data!AP65,0)</f>
        <v>384058</v>
      </c>
      <c r="L41" s="222">
        <f>ROUND(data!AP66,0)</f>
        <v>3707011</v>
      </c>
      <c r="M41" s="66">
        <f>ROUND(data!AP67,0)</f>
        <v>3147027</v>
      </c>
      <c r="N41" s="222">
        <f>ROUND(data!AP68,0)</f>
        <v>4507050</v>
      </c>
      <c r="O41" s="222">
        <f>ROUND(data!AP69,0)</f>
        <v>4576904</v>
      </c>
      <c r="P41" s="222">
        <f>ROUND(data!AP70,0)</f>
        <v>0</v>
      </c>
      <c r="Q41" s="222">
        <f>ROUND(data!AP71,0)</f>
        <v>38230</v>
      </c>
      <c r="R41" s="222">
        <f>ROUND(data!AP72,0)</f>
        <v>1180094</v>
      </c>
      <c r="S41" s="222">
        <f>ROUND(data!AP73,0)</f>
        <v>1398869</v>
      </c>
      <c r="T41" s="222">
        <f>ROUND(data!AP74,0)</f>
        <v>52356</v>
      </c>
      <c r="U41" s="222">
        <f>ROUND(data!AP75,0)</f>
        <v>0</v>
      </c>
      <c r="V41" s="222">
        <f>ROUND(data!AP76,0)</f>
        <v>-439953</v>
      </c>
      <c r="W41" s="222">
        <f>ROUND(data!AP77,0)</f>
        <v>251728</v>
      </c>
      <c r="X41" s="222">
        <f>ROUND(data!AP78,0)</f>
        <v>0</v>
      </c>
      <c r="Y41" s="222">
        <f>ROUND(data!AP79,0)</f>
        <v>46805</v>
      </c>
      <c r="Z41" s="222">
        <f>ROUND(data!AP80,0)</f>
        <v>0</v>
      </c>
      <c r="AA41" s="222">
        <f>ROUND(data!AP81,0)</f>
        <v>308927</v>
      </c>
      <c r="AB41" s="222">
        <f>ROUND(data!AP82,0)</f>
        <v>0</v>
      </c>
      <c r="AC41" s="222">
        <f>ROUND(data!AP83,0)</f>
        <v>1739848</v>
      </c>
      <c r="AD41" s="222">
        <f>ROUND(data!AP84,0)</f>
        <v>426043</v>
      </c>
      <c r="AE41" s="222">
        <f>ROUND(data!AP89,0)</f>
        <v>160200897</v>
      </c>
      <c r="AF41" s="222">
        <f>ROUND(data!AP87,0)</f>
        <v>20217812</v>
      </c>
      <c r="AG41" s="222">
        <f>IF(data!AP90&gt;0,ROUND(data!AP90,0),0)</f>
        <v>172950</v>
      </c>
      <c r="AH41" s="222">
        <f>IF(data!AP91&gt;0,ROUND(data!AP91,0),0)</f>
        <v>0</v>
      </c>
      <c r="AI41" s="222">
        <f>IF(data!AP92&gt;0,ROUND(data!AP92,0),0)</f>
        <v>8281</v>
      </c>
      <c r="AJ41" s="222">
        <f>IF(data!AP93&gt;0,ROUND(data!AP93,0),0)</f>
        <v>3938</v>
      </c>
      <c r="AK41" s="212">
        <f>IF(data!AP94&gt;0,ROUND(data!AP94,2),0)</f>
        <v>116.7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058</v>
      </c>
      <c r="B42" s="224" t="str">
        <f>RIGHT(data!$C$96,4)</f>
        <v>2022</v>
      </c>
      <c r="C42" s="16" t="str">
        <f>data!AQ$55</f>
        <v>7390</v>
      </c>
      <c r="D42" s="16" t="s">
        <v>1121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058</v>
      </c>
      <c r="B43" s="224" t="str">
        <f>RIGHT(data!$C$96,4)</f>
        <v>2022</v>
      </c>
      <c r="C43" s="16" t="str">
        <f>data!AR$55</f>
        <v>7400</v>
      </c>
      <c r="D43" s="16" t="s">
        <v>1121</v>
      </c>
      <c r="E43" s="222">
        <f>ROUND(data!AR59,0)</f>
        <v>44432</v>
      </c>
      <c r="F43" s="212">
        <f>ROUND(data!AR60,2)</f>
        <v>90.05</v>
      </c>
      <c r="G43" s="222">
        <f>ROUND(data!AR61,0)</f>
        <v>8638669</v>
      </c>
      <c r="H43" s="222">
        <f>ROUND(data!AR62,0)</f>
        <v>1882933</v>
      </c>
      <c r="I43" s="222">
        <f>ROUND(data!AR63,0)</f>
        <v>0</v>
      </c>
      <c r="J43" s="222">
        <f>ROUND(data!AR64,0)</f>
        <v>1678198</v>
      </c>
      <c r="K43" s="222">
        <f>ROUND(data!AR65,0)</f>
        <v>68135</v>
      </c>
      <c r="L43" s="222">
        <f>ROUND(data!AR66,0)</f>
        <v>440143</v>
      </c>
      <c r="M43" s="66">
        <f>ROUND(data!AR67,0)</f>
        <v>626658</v>
      </c>
      <c r="N43" s="222">
        <f>ROUND(data!AR68,0)</f>
        <v>215919</v>
      </c>
      <c r="O43" s="222">
        <f>ROUND(data!AR69,0)</f>
        <v>773675</v>
      </c>
      <c r="P43" s="222">
        <f>ROUND(data!AR70,0)</f>
        <v>0</v>
      </c>
      <c r="Q43" s="222">
        <f>ROUND(data!AR71,0)</f>
        <v>-488</v>
      </c>
      <c r="R43" s="222">
        <f>ROUND(data!AR72,0)</f>
        <v>30921</v>
      </c>
      <c r="S43" s="222">
        <f>ROUND(data!AR73,0)</f>
        <v>289369</v>
      </c>
      <c r="T43" s="222">
        <f>ROUND(data!AR74,0)</f>
        <v>48915</v>
      </c>
      <c r="U43" s="222">
        <f>ROUND(data!AR75,0)</f>
        <v>0</v>
      </c>
      <c r="V43" s="222">
        <f>ROUND(data!AR76,0)</f>
        <v>0</v>
      </c>
      <c r="W43" s="222">
        <f>ROUND(data!AR77,0)</f>
        <v>16177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63392</v>
      </c>
      <c r="AB43" s="222">
        <f>ROUND(data!AR82,0)</f>
        <v>0</v>
      </c>
      <c r="AC43" s="222">
        <f>ROUND(data!AR83,0)</f>
        <v>325390</v>
      </c>
      <c r="AD43" s="222">
        <f>ROUND(data!AR84,0)</f>
        <v>203673</v>
      </c>
      <c r="AE43" s="222">
        <f>ROUND(data!AR89,0)</f>
        <v>20598742</v>
      </c>
      <c r="AF43" s="222">
        <f>ROUND(data!AR87,0)</f>
        <v>0</v>
      </c>
      <c r="AG43" s="222">
        <f>IF(data!AR90&gt;0,ROUND(data!AR90,0),0)</f>
        <v>34439</v>
      </c>
      <c r="AH43" s="222">
        <f>IF(data!AR91&gt;0,ROUND(data!AR91,0),0)</f>
        <v>0</v>
      </c>
      <c r="AI43" s="222">
        <f>IF(data!AR92&gt;0,ROUND(data!AR92,0),0)</f>
        <v>6747</v>
      </c>
      <c r="AJ43" s="222">
        <f>IF(data!AR93&gt;0,ROUND(data!AR93,0),0)</f>
        <v>0</v>
      </c>
      <c r="AK43" s="212">
        <f>IF(data!AR94&gt;0,ROUND(data!AR94,2),0)</f>
        <v>39.94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058</v>
      </c>
      <c r="B44" s="224" t="str">
        <f>RIGHT(data!$C$96,4)</f>
        <v>2022</v>
      </c>
      <c r="C44" s="16" t="str">
        <f>data!AS$55</f>
        <v>7410</v>
      </c>
      <c r="D44" s="16" t="s">
        <v>1121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058</v>
      </c>
      <c r="B45" s="224" t="str">
        <f>RIGHT(data!$C$96,4)</f>
        <v>2022</v>
      </c>
      <c r="C45" s="16" t="str">
        <f>data!AT$55</f>
        <v>7420</v>
      </c>
      <c r="D45" s="16" t="s">
        <v>1121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058</v>
      </c>
      <c r="B46" s="224" t="str">
        <f>RIGHT(data!$C$96,4)</f>
        <v>2022</v>
      </c>
      <c r="C46" s="16" t="str">
        <f>data!AU$55</f>
        <v>7430</v>
      </c>
      <c r="D46" s="16" t="s">
        <v>1121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058</v>
      </c>
      <c r="B47" s="224" t="str">
        <f>RIGHT(data!$C$96,4)</f>
        <v>2022</v>
      </c>
      <c r="C47" s="16" t="str">
        <f>data!AV$55</f>
        <v>7490</v>
      </c>
      <c r="D47" s="16" t="s">
        <v>1121</v>
      </c>
      <c r="E47" s="222"/>
      <c r="F47" s="212">
        <f>ROUND(data!AV60,2)</f>
        <v>131.6</v>
      </c>
      <c r="G47" s="222">
        <f>ROUND(data!AV61,0)</f>
        <v>22424478</v>
      </c>
      <c r="H47" s="222">
        <f>ROUND(data!AV62,0)</f>
        <v>4887765</v>
      </c>
      <c r="I47" s="222">
        <f>ROUND(data!AV63,0)</f>
        <v>3169615</v>
      </c>
      <c r="J47" s="222">
        <f>ROUND(data!AV64,0)</f>
        <v>9546769</v>
      </c>
      <c r="K47" s="222">
        <f>ROUND(data!AV65,0)</f>
        <v>57762</v>
      </c>
      <c r="L47" s="222">
        <f>ROUND(data!AV66,0)</f>
        <v>378599</v>
      </c>
      <c r="M47" s="66">
        <f>ROUND(data!AV67,0)</f>
        <v>198120</v>
      </c>
      <c r="N47" s="222">
        <f>ROUND(data!AV68,0)</f>
        <v>496182</v>
      </c>
      <c r="O47" s="222">
        <f>ROUND(data!AV69,0)</f>
        <v>1981891</v>
      </c>
      <c r="P47" s="222">
        <f>ROUND(data!AV70,0)</f>
        <v>0</v>
      </c>
      <c r="Q47" s="222">
        <f>ROUND(data!AV71,0)</f>
        <v>918441</v>
      </c>
      <c r="R47" s="222">
        <f>ROUND(data!AV72,0)</f>
        <v>173257</v>
      </c>
      <c r="S47" s="222">
        <f>ROUND(data!AV73,0)</f>
        <v>662063</v>
      </c>
      <c r="T47" s="222">
        <f>ROUND(data!AV74,0)</f>
        <v>13361</v>
      </c>
      <c r="U47" s="222">
        <f>ROUND(data!AV75,0)</f>
        <v>0</v>
      </c>
      <c r="V47" s="222">
        <f>ROUND(data!AV76,0)</f>
        <v>0</v>
      </c>
      <c r="W47" s="222">
        <f>ROUND(data!AV77,0)</f>
        <v>16720</v>
      </c>
      <c r="X47" s="222">
        <f>ROUND(data!AV78,0)</f>
        <v>0</v>
      </c>
      <c r="Y47" s="222">
        <f>ROUND(data!AV79,0)</f>
        <v>5300</v>
      </c>
      <c r="Z47" s="222">
        <f>ROUND(data!AV80,0)</f>
        <v>0</v>
      </c>
      <c r="AA47" s="222">
        <f>ROUND(data!AV81,0)</f>
        <v>20137</v>
      </c>
      <c r="AB47" s="222">
        <f>ROUND(data!AV82,0)</f>
        <v>0</v>
      </c>
      <c r="AC47" s="222">
        <f>ROUND(data!AV83,0)</f>
        <v>172612</v>
      </c>
      <c r="AD47" s="222">
        <f>ROUND(data!AV84,0)</f>
        <v>8382333</v>
      </c>
      <c r="AE47" s="222">
        <f>ROUND(data!AV89,0)</f>
        <v>152239119</v>
      </c>
      <c r="AF47" s="222">
        <f>ROUND(data!AV87,0)</f>
        <v>18217891</v>
      </c>
      <c r="AG47" s="222">
        <f>IF(data!AV90&gt;0,ROUND(data!AV90,0),0)</f>
        <v>10888</v>
      </c>
      <c r="AH47" s="222">
        <f>IF(data!AV91&gt;0,ROUND(data!AV91,0),0)</f>
        <v>0</v>
      </c>
      <c r="AI47" s="222">
        <f>IF(data!AV92&gt;0,ROUND(data!AV92,0),0)</f>
        <v>5447</v>
      </c>
      <c r="AJ47" s="222">
        <f>IF(data!AV93&gt;0,ROUND(data!AV93,0),0)</f>
        <v>14151</v>
      </c>
      <c r="AK47" s="212">
        <f>IF(data!AV94&gt;0,ROUND(data!AV94,2),0)</f>
        <v>23.16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058</v>
      </c>
      <c r="B48" s="224" t="str">
        <f>RIGHT(data!$C$96,4)</f>
        <v>2022</v>
      </c>
      <c r="C48" s="16" t="str">
        <f>data!AW$55</f>
        <v>8200</v>
      </c>
      <c r="D48" s="16" t="s">
        <v>1121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058</v>
      </c>
      <c r="B49" s="224" t="str">
        <f>RIGHT(data!$C$96,4)</f>
        <v>2022</v>
      </c>
      <c r="C49" s="16" t="str">
        <f>data!AX$55</f>
        <v>8310</v>
      </c>
      <c r="D49" s="16" t="s">
        <v>1121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058</v>
      </c>
      <c r="B50" s="224" t="str">
        <f>RIGHT(data!$C$96,4)</f>
        <v>2022</v>
      </c>
      <c r="C50" s="16" t="str">
        <f>data!AY$55</f>
        <v>8320</v>
      </c>
      <c r="D50" s="16" t="s">
        <v>1121</v>
      </c>
      <c r="E50" s="222">
        <f>ROUND(data!AY59,0)</f>
        <v>197803</v>
      </c>
      <c r="F50" s="212">
        <f>ROUND(data!AY60,2)</f>
        <v>36.5</v>
      </c>
      <c r="G50" s="222">
        <f>ROUND(data!AY61,0)</f>
        <v>1829459</v>
      </c>
      <c r="H50" s="222">
        <f>ROUND(data!AY62,0)</f>
        <v>398759</v>
      </c>
      <c r="I50" s="222">
        <f>ROUND(data!AY63,0)</f>
        <v>0</v>
      </c>
      <c r="J50" s="222">
        <f>ROUND(data!AY64,0)</f>
        <v>597161</v>
      </c>
      <c r="K50" s="222">
        <f>ROUND(data!AY65,0)</f>
        <v>0</v>
      </c>
      <c r="L50" s="222">
        <f>ROUND(data!AY66,0)</f>
        <v>0</v>
      </c>
      <c r="M50" s="66">
        <f>ROUND(data!AY67,0)</f>
        <v>120659</v>
      </c>
      <c r="N50" s="222">
        <f>ROUND(data!AY68,0)</f>
        <v>13090</v>
      </c>
      <c r="O50" s="222">
        <f>ROUND(data!AY69,0)</f>
        <v>131380</v>
      </c>
      <c r="P50" s="222">
        <f>ROUND(data!AY70,0)</f>
        <v>0</v>
      </c>
      <c r="Q50" s="222">
        <f>ROUND(data!AY71,0)</f>
        <v>0</v>
      </c>
      <c r="R50" s="222">
        <f>ROUND(data!AY72,0)</f>
        <v>88151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18003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25226</v>
      </c>
      <c r="AD50" s="222">
        <f>ROUND(data!AY84,0)</f>
        <v>2738</v>
      </c>
      <c r="AE50" s="222"/>
      <c r="AF50" s="222"/>
      <c r="AG50" s="222">
        <f>IF(data!AY90&gt;0,ROUND(data!AY90,0),0)</f>
        <v>6631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058</v>
      </c>
      <c r="B51" s="224" t="str">
        <f>RIGHT(data!$C$96,4)</f>
        <v>2022</v>
      </c>
      <c r="C51" s="16" t="str">
        <f>data!AZ$55</f>
        <v>8330</v>
      </c>
      <c r="D51" s="16" t="s">
        <v>1121</v>
      </c>
      <c r="E51" s="222">
        <f>ROUND(data!AZ59,0)</f>
        <v>0</v>
      </c>
      <c r="F51" s="212">
        <f>ROUND(data!AZ60,2)</f>
        <v>24.93</v>
      </c>
      <c r="G51" s="222">
        <f>ROUND(data!AZ61,0)</f>
        <v>1016708</v>
      </c>
      <c r="H51" s="222">
        <f>ROUND(data!AZ62,0)</f>
        <v>221607</v>
      </c>
      <c r="I51" s="222">
        <f>ROUND(data!AZ63,0)</f>
        <v>0</v>
      </c>
      <c r="J51" s="222">
        <f>ROUND(data!AZ64,0)</f>
        <v>933337</v>
      </c>
      <c r="K51" s="222">
        <f>ROUND(data!AZ65,0)</f>
        <v>0</v>
      </c>
      <c r="L51" s="222">
        <f>ROUND(data!AZ66,0)</f>
        <v>676</v>
      </c>
      <c r="M51" s="66">
        <f>ROUND(data!AZ67,0)</f>
        <v>80081</v>
      </c>
      <c r="N51" s="222">
        <f>ROUND(data!AZ68,0)</f>
        <v>105</v>
      </c>
      <c r="O51" s="222">
        <f>ROUND(data!AZ69,0)</f>
        <v>201243</v>
      </c>
      <c r="P51" s="222">
        <f>ROUND(data!AZ70,0)</f>
        <v>0</v>
      </c>
      <c r="Q51" s="222">
        <f>ROUND(data!AZ71,0)</f>
        <v>0</v>
      </c>
      <c r="R51" s="222">
        <f>ROUND(data!AZ72,0)</f>
        <v>25846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5153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170244</v>
      </c>
      <c r="AD51" s="222">
        <f>ROUND(data!AZ84,0)</f>
        <v>2131235</v>
      </c>
      <c r="AE51" s="222"/>
      <c r="AF51" s="222"/>
      <c r="AG51" s="222">
        <f>IF(data!AZ90&gt;0,ROUND(data!AZ90,0),0)</f>
        <v>4401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058</v>
      </c>
      <c r="B52" s="224" t="str">
        <f>RIGHT(data!$C$96,4)</f>
        <v>2022</v>
      </c>
      <c r="C52" s="16" t="str">
        <f>data!BA$55</f>
        <v>8350</v>
      </c>
      <c r="D52" s="16" t="s">
        <v>1121</v>
      </c>
      <c r="E52" s="222">
        <f>ROUND(data!BA59,0)</f>
        <v>0</v>
      </c>
      <c r="F52" s="212">
        <f>ROUND(data!BA60,2)</f>
        <v>3.51</v>
      </c>
      <c r="G52" s="222">
        <f>ROUND(data!BA61,0)</f>
        <v>135513</v>
      </c>
      <c r="H52" s="222">
        <f>ROUND(data!BA62,0)</f>
        <v>29537</v>
      </c>
      <c r="I52" s="222">
        <f>ROUND(data!BA63,0)</f>
        <v>0</v>
      </c>
      <c r="J52" s="222">
        <f>ROUND(data!BA64,0)</f>
        <v>382666</v>
      </c>
      <c r="K52" s="222">
        <f>ROUND(data!BA65,0)</f>
        <v>0</v>
      </c>
      <c r="L52" s="222">
        <f>ROUND(data!BA66,0)</f>
        <v>52445</v>
      </c>
      <c r="M52" s="66">
        <f>ROUND(data!BA67,0)</f>
        <v>47783</v>
      </c>
      <c r="N52" s="222">
        <f>ROUND(data!BA68,0)</f>
        <v>209745</v>
      </c>
      <c r="O52" s="222">
        <f>ROUND(data!BA69,0)</f>
        <v>540489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540207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282</v>
      </c>
      <c r="AD52" s="222">
        <f>ROUND(data!BA84,0)</f>
        <v>0</v>
      </c>
      <c r="AE52" s="222"/>
      <c r="AF52" s="222"/>
      <c r="AG52" s="222">
        <f>IF(data!BA90&gt;0,ROUND(data!BA90,0),0)</f>
        <v>2626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058</v>
      </c>
      <c r="B53" s="224" t="str">
        <f>RIGHT(data!$C$96,4)</f>
        <v>2022</v>
      </c>
      <c r="C53" s="16" t="str">
        <f>data!BB$55</f>
        <v>8360</v>
      </c>
      <c r="D53" s="16" t="s">
        <v>1121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058</v>
      </c>
      <c r="B54" s="224" t="str">
        <f>RIGHT(data!$C$96,4)</f>
        <v>2022</v>
      </c>
      <c r="C54" s="16" t="str">
        <f>data!BC$55</f>
        <v>8370</v>
      </c>
      <c r="D54" s="16" t="s">
        <v>1121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058</v>
      </c>
      <c r="B55" s="224" t="str">
        <f>RIGHT(data!$C$96,4)</f>
        <v>2022</v>
      </c>
      <c r="C55" s="16" t="str">
        <f>data!BD$55</f>
        <v>8420</v>
      </c>
      <c r="D55" s="16" t="s">
        <v>1121</v>
      </c>
      <c r="E55" s="222"/>
      <c r="F55" s="212">
        <f>ROUND(data!BD60,2)</f>
        <v>19.64</v>
      </c>
      <c r="G55" s="222">
        <f>ROUND(data!BD61,0)</f>
        <v>1106279</v>
      </c>
      <c r="H55" s="222">
        <f>ROUND(data!BD62,0)</f>
        <v>241131</v>
      </c>
      <c r="I55" s="222">
        <f>ROUND(data!BD63,0)</f>
        <v>0</v>
      </c>
      <c r="J55" s="222">
        <f>ROUND(data!BD64,0)</f>
        <v>-4340</v>
      </c>
      <c r="K55" s="222">
        <f>ROUND(data!BD65,0)</f>
        <v>0</v>
      </c>
      <c r="L55" s="222">
        <f>ROUND(data!BD66,0)</f>
        <v>3807</v>
      </c>
      <c r="M55" s="66">
        <f>ROUND(data!BD67,0)</f>
        <v>121223</v>
      </c>
      <c r="N55" s="222">
        <f>ROUND(data!BD68,0)</f>
        <v>14285</v>
      </c>
      <c r="O55" s="222">
        <f>ROUND(data!BD69,0)</f>
        <v>805490</v>
      </c>
      <c r="P55" s="222">
        <f>ROUND(data!BD70,0)</f>
        <v>0</v>
      </c>
      <c r="Q55" s="222">
        <f>ROUND(data!BD71,0)</f>
        <v>0</v>
      </c>
      <c r="R55" s="222">
        <f>ROUND(data!BD72,0)</f>
        <v>112797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32496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660197</v>
      </c>
      <c r="AD55" s="222">
        <f>ROUND(data!BD84,0)</f>
        <v>334888</v>
      </c>
      <c r="AE55" s="222"/>
      <c r="AF55" s="222"/>
      <c r="AG55" s="222">
        <f>IF(data!BD90&gt;0,ROUND(data!BD90,0),0)</f>
        <v>6662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058</v>
      </c>
      <c r="B56" s="224" t="str">
        <f>RIGHT(data!$C$96,4)</f>
        <v>2022</v>
      </c>
      <c r="C56" s="16" t="str">
        <f>data!BE$55</f>
        <v>8430</v>
      </c>
      <c r="D56" s="16" t="s">
        <v>1121</v>
      </c>
      <c r="E56" s="222">
        <f>ROUND(data!BE59,0)</f>
        <v>1070776</v>
      </c>
      <c r="F56" s="212">
        <f>ROUND(data!BE60,2)</f>
        <v>22.92</v>
      </c>
      <c r="G56" s="222">
        <f>ROUND(data!BE61,0)</f>
        <v>1501355</v>
      </c>
      <c r="H56" s="222">
        <f>ROUND(data!BE62,0)</f>
        <v>327244</v>
      </c>
      <c r="I56" s="222">
        <f>ROUND(data!BE63,0)</f>
        <v>0</v>
      </c>
      <c r="J56" s="222">
        <f>ROUND(data!BE64,0)</f>
        <v>157430</v>
      </c>
      <c r="K56" s="222">
        <f>ROUND(data!BE65,0)</f>
        <v>2023754</v>
      </c>
      <c r="L56" s="222">
        <f>ROUND(data!BE66,0)</f>
        <v>313907</v>
      </c>
      <c r="M56" s="66">
        <f>ROUND(data!BE67,0)</f>
        <v>7764504</v>
      </c>
      <c r="N56" s="222">
        <f>ROUND(data!BE68,0)</f>
        <v>-49663</v>
      </c>
      <c r="O56" s="222">
        <f>ROUND(data!BE69,0)</f>
        <v>2168372</v>
      </c>
      <c r="P56" s="222">
        <f>ROUND(data!BE70,0)</f>
        <v>0</v>
      </c>
      <c r="Q56" s="222">
        <f>ROUND(data!BE71,0)</f>
        <v>0</v>
      </c>
      <c r="R56" s="222">
        <f>ROUND(data!BE72,0)</f>
        <v>1656887</v>
      </c>
      <c r="S56" s="222">
        <f>ROUND(data!BE73,0)</f>
        <v>0</v>
      </c>
      <c r="T56" s="222">
        <f>ROUND(data!BE74,0)</f>
        <v>66</v>
      </c>
      <c r="U56" s="222">
        <f>ROUND(data!BE75,0)</f>
        <v>0</v>
      </c>
      <c r="V56" s="222">
        <f>ROUND(data!BE76,0)</f>
        <v>0</v>
      </c>
      <c r="W56" s="222">
        <f>ROUND(data!BE77,0)</f>
        <v>428527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82893</v>
      </c>
      <c r="AD56" s="222">
        <f>ROUND(data!BE84,0)</f>
        <v>4000</v>
      </c>
      <c r="AE56" s="222"/>
      <c r="AF56" s="222"/>
      <c r="AG56" s="222">
        <f>IF(data!BE90&gt;0,ROUND(data!BE90,0),0)</f>
        <v>426711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058</v>
      </c>
      <c r="B57" s="224" t="str">
        <f>RIGHT(data!$C$96,4)</f>
        <v>2022</v>
      </c>
      <c r="C57" s="16" t="str">
        <f>data!BF$55</f>
        <v>8460</v>
      </c>
      <c r="D57" s="16" t="s">
        <v>1121</v>
      </c>
      <c r="E57" s="222"/>
      <c r="F57" s="212">
        <f>ROUND(data!BF60,2)</f>
        <v>68.680000000000007</v>
      </c>
      <c r="G57" s="222">
        <f>ROUND(data!BF61,0)</f>
        <v>2551927</v>
      </c>
      <c r="H57" s="222">
        <f>ROUND(data!BF62,0)</f>
        <v>556232</v>
      </c>
      <c r="I57" s="222">
        <f>ROUND(data!BF63,0)</f>
        <v>0</v>
      </c>
      <c r="J57" s="222">
        <f>ROUND(data!BF64,0)</f>
        <v>303187</v>
      </c>
      <c r="K57" s="222">
        <f>ROUND(data!BF65,0)</f>
        <v>100133</v>
      </c>
      <c r="L57" s="222">
        <f>ROUND(data!BF66,0)</f>
        <v>239186</v>
      </c>
      <c r="M57" s="66">
        <f>ROUND(data!BF67,0)</f>
        <v>25820</v>
      </c>
      <c r="N57" s="222">
        <f>ROUND(data!BF68,0)</f>
        <v>3311</v>
      </c>
      <c r="O57" s="222">
        <f>ROUND(data!BF69,0)</f>
        <v>1242582</v>
      </c>
      <c r="P57" s="222">
        <f>ROUND(data!BF70,0)</f>
        <v>0</v>
      </c>
      <c r="Q57" s="222">
        <f>ROUND(data!BF71,0)</f>
        <v>92174</v>
      </c>
      <c r="R57" s="222">
        <f>ROUND(data!BF72,0)</f>
        <v>0</v>
      </c>
      <c r="S57" s="222">
        <f>ROUND(data!BF73,0)</f>
        <v>0</v>
      </c>
      <c r="T57" s="222">
        <f>ROUND(data!BF74,0)</f>
        <v>18422</v>
      </c>
      <c r="U57" s="222">
        <f>ROUND(data!BF75,0)</f>
        <v>0</v>
      </c>
      <c r="V57" s="222">
        <f>ROUND(data!BF76,0)</f>
        <v>0</v>
      </c>
      <c r="W57" s="222">
        <f>ROUND(data!BF77,0)</f>
        <v>7691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1124294</v>
      </c>
      <c r="AD57" s="222">
        <f>ROUND(data!BF84,0)</f>
        <v>0</v>
      </c>
      <c r="AE57" s="222"/>
      <c r="AF57" s="222"/>
      <c r="AG57" s="222">
        <f>IF(data!BF90&gt;0,ROUND(data!BF90,0),0)</f>
        <v>1419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058</v>
      </c>
      <c r="B58" s="224" t="str">
        <f>RIGHT(data!$C$96,4)</f>
        <v>2022</v>
      </c>
      <c r="C58" s="16" t="str">
        <f>data!BG$55</f>
        <v>8470</v>
      </c>
      <c r="D58" s="16" t="s">
        <v>1121</v>
      </c>
      <c r="E58" s="222"/>
      <c r="F58" s="212">
        <f>ROUND(data!BG60,2)</f>
        <v>3.64</v>
      </c>
      <c r="G58" s="222">
        <f>ROUND(data!BG61,0)</f>
        <v>151027</v>
      </c>
      <c r="H58" s="222">
        <f>ROUND(data!BG62,0)</f>
        <v>32919</v>
      </c>
      <c r="I58" s="222">
        <f>ROUND(data!BG63,0)</f>
        <v>0</v>
      </c>
      <c r="J58" s="222">
        <f>ROUND(data!BG64,0)</f>
        <v>172</v>
      </c>
      <c r="K58" s="222">
        <f>ROUND(data!BG65,0)</f>
        <v>0</v>
      </c>
      <c r="L58" s="222">
        <f>ROUND(data!BG66,0)</f>
        <v>46653</v>
      </c>
      <c r="M58" s="66">
        <f>ROUND(data!BG67,0)</f>
        <v>3566</v>
      </c>
      <c r="N58" s="222">
        <f>ROUND(data!BG68,0)</f>
        <v>325</v>
      </c>
      <c r="O58" s="222">
        <f>ROUND(data!BG69,0)</f>
        <v>211283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1189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210094</v>
      </c>
      <c r="AD58" s="222">
        <f>ROUND(data!BG84,0)</f>
        <v>0</v>
      </c>
      <c r="AE58" s="222"/>
      <c r="AF58" s="222"/>
      <c r="AG58" s="222">
        <f>IF(data!BG90&gt;0,ROUND(data!BG90,0),0)</f>
        <v>196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058</v>
      </c>
      <c r="B59" s="224" t="str">
        <f>RIGHT(data!$C$96,4)</f>
        <v>2022</v>
      </c>
      <c r="C59" s="16" t="str">
        <f>data!BH$55</f>
        <v>8480</v>
      </c>
      <c r="D59" s="16" t="s">
        <v>1121</v>
      </c>
      <c r="E59" s="222"/>
      <c r="F59" s="212">
        <f>ROUND(data!BH60,2)</f>
        <v>25.2</v>
      </c>
      <c r="G59" s="222">
        <f>ROUND(data!BH61,0)</f>
        <v>2079721</v>
      </c>
      <c r="H59" s="222">
        <f>ROUND(data!BH62,0)</f>
        <v>453308</v>
      </c>
      <c r="I59" s="222">
        <f>ROUND(data!BH63,0)</f>
        <v>58973</v>
      </c>
      <c r="J59" s="222">
        <f>ROUND(data!BH64,0)</f>
        <v>10095</v>
      </c>
      <c r="K59" s="222">
        <f>ROUND(data!BH65,0)</f>
        <v>0</v>
      </c>
      <c r="L59" s="222">
        <f>ROUND(data!BH66,0)</f>
        <v>541852</v>
      </c>
      <c r="M59" s="66">
        <f>ROUND(data!BH67,0)</f>
        <v>115218</v>
      </c>
      <c r="N59" s="222">
        <f>ROUND(data!BH68,0)</f>
        <v>33900</v>
      </c>
      <c r="O59" s="222">
        <f>ROUND(data!BH69,0)</f>
        <v>10682100</v>
      </c>
      <c r="P59" s="222">
        <f>ROUND(data!BH70,0)</f>
        <v>0</v>
      </c>
      <c r="Q59" s="222">
        <f>ROUND(data!BH71,0)</f>
        <v>0</v>
      </c>
      <c r="R59" s="222">
        <f>ROUND(data!BH72,0)</f>
        <v>10310429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200917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170754</v>
      </c>
      <c r="AD59" s="222">
        <f>ROUND(data!BH84,0)</f>
        <v>3868</v>
      </c>
      <c r="AE59" s="222"/>
      <c r="AF59" s="222"/>
      <c r="AG59" s="222">
        <f>IF(data!BH90&gt;0,ROUND(data!BH90,0),0)</f>
        <v>6332</v>
      </c>
      <c r="AH59" s="222">
        <f>IFERROR(IF(data!BH$91&gt;0,ROUND(data!BH$91,0),0),0)</f>
        <v>0</v>
      </c>
      <c r="AI59" s="222">
        <f>IFERROR(IF(data!BH$92&gt;0,ROUND(data!BH$92,0),0),0)</f>
        <v>195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058</v>
      </c>
      <c r="B60" s="224" t="str">
        <f>RIGHT(data!$C$96,4)</f>
        <v>2022</v>
      </c>
      <c r="C60" s="16" t="str">
        <f>data!BI$55</f>
        <v>8490</v>
      </c>
      <c r="D60" s="16" t="s">
        <v>1121</v>
      </c>
      <c r="E60" s="222"/>
      <c r="F60" s="212">
        <f>ROUND(data!BI60,2)</f>
        <v>29.1</v>
      </c>
      <c r="G60" s="222">
        <f>ROUND(data!BI61,0)</f>
        <v>1294313</v>
      </c>
      <c r="H60" s="222">
        <f>ROUND(data!BI62,0)</f>
        <v>282116</v>
      </c>
      <c r="I60" s="222">
        <f>ROUND(data!BI63,0)</f>
        <v>2708333</v>
      </c>
      <c r="J60" s="222">
        <f>ROUND(data!BI64,0)</f>
        <v>18775</v>
      </c>
      <c r="K60" s="222">
        <f>ROUND(data!BI65,0)</f>
        <v>1381</v>
      </c>
      <c r="L60" s="222">
        <f>ROUND(data!BI66,0)</f>
        <v>550652</v>
      </c>
      <c r="M60" s="66">
        <f>ROUND(data!BI67,0)</f>
        <v>17305</v>
      </c>
      <c r="N60" s="222">
        <f>ROUND(data!BI68,0)</f>
        <v>1030</v>
      </c>
      <c r="O60" s="222">
        <f>ROUND(data!BI69,0)</f>
        <v>266723</v>
      </c>
      <c r="P60" s="222">
        <f>ROUND(data!BI70,0)</f>
        <v>0</v>
      </c>
      <c r="Q60" s="222">
        <f>ROUND(data!BI71,0)</f>
        <v>0</v>
      </c>
      <c r="R60" s="222">
        <f>ROUND(data!BI72,0)</f>
        <v>6657</v>
      </c>
      <c r="S60" s="222">
        <f>ROUND(data!BI73,0)</f>
        <v>160699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2870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96498</v>
      </c>
      <c r="AD60" s="222">
        <f>ROUND(data!BI84,0)</f>
        <v>0</v>
      </c>
      <c r="AE60" s="222"/>
      <c r="AF60" s="222"/>
      <c r="AG60" s="222">
        <f>IF(data!BI90&gt;0,ROUND(data!BI90,0),0)</f>
        <v>951</v>
      </c>
      <c r="AH60" s="222">
        <f>IFERROR(IF(data!BI$91&gt;0,ROUND(data!BI$91,0),0),0)</f>
        <v>0</v>
      </c>
      <c r="AI60" s="222">
        <f>IFERROR(IF(data!BI$92&gt;0,ROUND(data!BI$92,0),0),0)</f>
        <v>286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058</v>
      </c>
      <c r="B61" s="224" t="str">
        <f>RIGHT(data!$C$96,4)</f>
        <v>2022</v>
      </c>
      <c r="C61" s="16" t="str">
        <f>data!BJ$55</f>
        <v>8510</v>
      </c>
      <c r="D61" s="16" t="s">
        <v>1121</v>
      </c>
      <c r="E61" s="222"/>
      <c r="F61" s="212">
        <f>ROUND(data!BJ60,2)</f>
        <v>10.55</v>
      </c>
      <c r="G61" s="222">
        <f>ROUND(data!BJ61,0)</f>
        <v>698442</v>
      </c>
      <c r="H61" s="222">
        <f>ROUND(data!BJ62,0)</f>
        <v>152236</v>
      </c>
      <c r="I61" s="222">
        <f>ROUND(data!BJ63,0)</f>
        <v>0</v>
      </c>
      <c r="J61" s="222">
        <f>ROUND(data!BJ64,0)</f>
        <v>2784</v>
      </c>
      <c r="K61" s="222">
        <f>ROUND(data!BJ65,0)</f>
        <v>0</v>
      </c>
      <c r="L61" s="222">
        <f>ROUND(data!BJ66,0)</f>
        <v>49333</v>
      </c>
      <c r="M61" s="66">
        <f>ROUND(data!BJ67,0)</f>
        <v>48038</v>
      </c>
      <c r="N61" s="222">
        <f>ROUND(data!BJ68,0)</f>
        <v>3300</v>
      </c>
      <c r="O61" s="222">
        <f>ROUND(data!BJ69,0)</f>
        <v>473629</v>
      </c>
      <c r="P61" s="222">
        <f>ROUND(data!BJ70,0)</f>
        <v>0</v>
      </c>
      <c r="Q61" s="222">
        <f>ROUND(data!BJ71,0)</f>
        <v>0</v>
      </c>
      <c r="R61" s="222">
        <f>ROUND(data!BJ72,0)</f>
        <v>83075</v>
      </c>
      <c r="S61" s="222">
        <f>ROUND(data!BJ73,0)</f>
        <v>0</v>
      </c>
      <c r="T61" s="222">
        <f>ROUND(data!BJ74,0)</f>
        <v>0</v>
      </c>
      <c r="U61" s="222">
        <f>ROUND(data!BJ75,0)</f>
        <v>398765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-45760</v>
      </c>
      <c r="AB61" s="222">
        <f>ROUND(data!BJ82,0)</f>
        <v>0</v>
      </c>
      <c r="AC61" s="222">
        <f>ROUND(data!BJ83,0)</f>
        <v>37548</v>
      </c>
      <c r="AD61" s="222">
        <f>ROUND(data!BJ84,0)</f>
        <v>176593</v>
      </c>
      <c r="AE61" s="222"/>
      <c r="AF61" s="222"/>
      <c r="AG61" s="222">
        <f>IF(data!BJ90&gt;0,ROUND(data!BJ90,0),0)</f>
        <v>2640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058</v>
      </c>
      <c r="B62" s="224" t="str">
        <f>RIGHT(data!$C$96,4)</f>
        <v>2022</v>
      </c>
      <c r="C62" s="16" t="str">
        <f>data!BK$55</f>
        <v>8530</v>
      </c>
      <c r="D62" s="16" t="s">
        <v>1121</v>
      </c>
      <c r="E62" s="222"/>
      <c r="F62" s="212">
        <f>ROUND(data!BK60,2)</f>
        <v>52.95</v>
      </c>
      <c r="G62" s="222">
        <f>ROUND(data!BK61,0)</f>
        <v>2629225</v>
      </c>
      <c r="H62" s="222">
        <f>ROUND(data!BK62,0)</f>
        <v>573081</v>
      </c>
      <c r="I62" s="222">
        <f>ROUND(data!BK63,0)</f>
        <v>0</v>
      </c>
      <c r="J62" s="222">
        <f>ROUND(data!BK64,0)</f>
        <v>10405</v>
      </c>
      <c r="K62" s="222">
        <f>ROUND(data!BK65,0)</f>
        <v>0</v>
      </c>
      <c r="L62" s="222">
        <f>ROUND(data!BK66,0)</f>
        <v>7117237</v>
      </c>
      <c r="M62" s="66">
        <f>ROUND(data!BK67,0)</f>
        <v>154103</v>
      </c>
      <c r="N62" s="222">
        <f>ROUND(data!BK68,0)</f>
        <v>5662</v>
      </c>
      <c r="O62" s="222">
        <f>ROUND(data!BK69,0)</f>
        <v>321615</v>
      </c>
      <c r="P62" s="222">
        <f>ROUND(data!BK70,0)</f>
        <v>0</v>
      </c>
      <c r="Q62" s="222">
        <f>ROUND(data!BK71,0)</f>
        <v>0</v>
      </c>
      <c r="R62" s="222">
        <f>ROUND(data!BK72,0)</f>
        <v>10474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311141</v>
      </c>
      <c r="AD62" s="222">
        <f>ROUND(data!BK84,0)</f>
        <v>-45</v>
      </c>
      <c r="AE62" s="222"/>
      <c r="AF62" s="222"/>
      <c r="AG62" s="222">
        <f>IF(data!BK90&gt;0,ROUND(data!BK90,0),0)</f>
        <v>8469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058</v>
      </c>
      <c r="B63" s="224" t="str">
        <f>RIGHT(data!$C$96,4)</f>
        <v>2022</v>
      </c>
      <c r="C63" s="16" t="str">
        <f>data!BL$55</f>
        <v>8560</v>
      </c>
      <c r="D63" s="16" t="s">
        <v>1121</v>
      </c>
      <c r="E63" s="222"/>
      <c r="F63" s="212">
        <f>ROUND(data!BL60,2)</f>
        <v>50.45</v>
      </c>
      <c r="G63" s="222">
        <f>ROUND(data!BL61,0)</f>
        <v>2455303</v>
      </c>
      <c r="H63" s="222">
        <f>ROUND(data!BL62,0)</f>
        <v>535172</v>
      </c>
      <c r="I63" s="222">
        <f>ROUND(data!BL63,0)</f>
        <v>0</v>
      </c>
      <c r="J63" s="222">
        <f>ROUND(data!BL64,0)</f>
        <v>50632</v>
      </c>
      <c r="K63" s="222">
        <f>ROUND(data!BL65,0)</f>
        <v>0</v>
      </c>
      <c r="L63" s="222">
        <f>ROUND(data!BL66,0)</f>
        <v>1377641</v>
      </c>
      <c r="M63" s="66">
        <f>ROUND(data!BL67,0)</f>
        <v>71711</v>
      </c>
      <c r="N63" s="222">
        <f>ROUND(data!BL68,0)</f>
        <v>15861</v>
      </c>
      <c r="O63" s="222">
        <f>ROUND(data!BL69,0)</f>
        <v>53355</v>
      </c>
      <c r="P63" s="222">
        <f>ROUND(data!BL70,0)</f>
        <v>0</v>
      </c>
      <c r="Q63" s="222">
        <f>ROUND(data!BL71,0)</f>
        <v>0</v>
      </c>
      <c r="R63" s="222">
        <f>ROUND(data!BL72,0)</f>
        <v>24010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27846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1499</v>
      </c>
      <c r="AD63" s="222">
        <f>ROUND(data!BL84,0)</f>
        <v>-129</v>
      </c>
      <c r="AE63" s="222"/>
      <c r="AF63" s="222"/>
      <c r="AG63" s="222">
        <f>IF(data!BL90&gt;0,ROUND(data!BL90,0),0)</f>
        <v>3941</v>
      </c>
      <c r="AH63" s="222">
        <f>IFERROR(IF(data!BL$91&gt;0,ROUND(data!BL$91,0),0),0)</f>
        <v>0</v>
      </c>
      <c r="AI63" s="222">
        <f>IFERROR(IF(data!BL$92&gt;0,ROUND(data!BL$92,0),0),0)</f>
        <v>260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058</v>
      </c>
      <c r="B64" s="224" t="str">
        <f>RIGHT(data!$C$96,4)</f>
        <v>2022</v>
      </c>
      <c r="C64" s="16" t="str">
        <f>data!BM$55</f>
        <v>8590</v>
      </c>
      <c r="D64" s="16" t="s">
        <v>1121</v>
      </c>
      <c r="E64" s="222"/>
      <c r="F64" s="212">
        <f>ROUND(data!BM60,2)</f>
        <v>9.33</v>
      </c>
      <c r="G64" s="222">
        <f>ROUND(data!BM61,0)</f>
        <v>920275</v>
      </c>
      <c r="H64" s="222">
        <f>ROUND(data!BM62,0)</f>
        <v>200588</v>
      </c>
      <c r="I64" s="222">
        <f>ROUND(data!BM63,0)</f>
        <v>0</v>
      </c>
      <c r="J64" s="222">
        <f>ROUND(data!BM64,0)</f>
        <v>1659</v>
      </c>
      <c r="K64" s="222">
        <f>ROUND(data!BM65,0)</f>
        <v>18238</v>
      </c>
      <c r="L64" s="222">
        <f>ROUND(data!BM66,0)</f>
        <v>108065</v>
      </c>
      <c r="M64" s="66">
        <f>ROUND(data!BM67,0)</f>
        <v>40923</v>
      </c>
      <c r="N64" s="222">
        <f>ROUND(data!BM68,0)</f>
        <v>498</v>
      </c>
      <c r="O64" s="222">
        <f>ROUND(data!BM69,0)</f>
        <v>149638</v>
      </c>
      <c r="P64" s="222">
        <f>ROUND(data!BM70,0)</f>
        <v>0</v>
      </c>
      <c r="Q64" s="222">
        <f>ROUND(data!BM71,0)</f>
        <v>0</v>
      </c>
      <c r="R64" s="222">
        <f>ROUND(data!BM72,0)</f>
        <v>103459</v>
      </c>
      <c r="S64" s="222">
        <f>ROUND(data!BM73,0)</f>
        <v>9143</v>
      </c>
      <c r="T64" s="222">
        <f>ROUND(data!BM74,0)</f>
        <v>0</v>
      </c>
      <c r="U64" s="222">
        <f>ROUND(data!BM75,0)</f>
        <v>19572</v>
      </c>
      <c r="V64" s="222">
        <f>ROUND(data!BM76,0)</f>
        <v>0</v>
      </c>
      <c r="W64" s="222">
        <f>ROUND(data!BM77,0)</f>
        <v>10322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7141</v>
      </c>
      <c r="AD64" s="222">
        <f>ROUND(data!BM84,0)</f>
        <v>-810</v>
      </c>
      <c r="AE64" s="222"/>
      <c r="AF64" s="222"/>
      <c r="AG64" s="222">
        <f>IF(data!BM90&gt;0,ROUND(data!BM90,0),0)</f>
        <v>2249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058</v>
      </c>
      <c r="B65" s="224" t="str">
        <f>RIGHT(data!$C$96,4)</f>
        <v>2022</v>
      </c>
      <c r="C65" s="16" t="str">
        <f>data!BN$55</f>
        <v>8610</v>
      </c>
      <c r="D65" s="16" t="s">
        <v>1121</v>
      </c>
      <c r="E65" s="222"/>
      <c r="F65" s="212">
        <f>ROUND(data!BN60,2)</f>
        <v>15.8</v>
      </c>
      <c r="G65" s="222">
        <f>ROUND(data!BN61,0)</f>
        <v>3779831</v>
      </c>
      <c r="H65" s="222">
        <f>ROUND(data!BN62,0)</f>
        <v>823873</v>
      </c>
      <c r="I65" s="222">
        <f>ROUND(data!BN63,0)</f>
        <v>655696</v>
      </c>
      <c r="J65" s="222">
        <f>ROUND(data!BN64,0)</f>
        <v>45607</v>
      </c>
      <c r="K65" s="222">
        <f>ROUND(data!BN65,0)</f>
        <v>403</v>
      </c>
      <c r="L65" s="222">
        <f>ROUND(data!BN66,0)</f>
        <v>1959301</v>
      </c>
      <c r="M65" s="66">
        <f>ROUND(data!BN67,0)</f>
        <v>32080</v>
      </c>
      <c r="N65" s="222">
        <f>ROUND(data!BN68,0)</f>
        <v>17487</v>
      </c>
      <c r="O65" s="222">
        <f>ROUND(data!BN69,0)</f>
        <v>12448368</v>
      </c>
      <c r="P65" s="222">
        <f>ROUND(data!BN70,0)</f>
        <v>0</v>
      </c>
      <c r="Q65" s="222">
        <f>ROUND(data!BN71,0)</f>
        <v>1041</v>
      </c>
      <c r="R65" s="222">
        <f>ROUND(data!BN72,0)</f>
        <v>101546</v>
      </c>
      <c r="S65" s="222">
        <f>ROUND(data!BN73,0)</f>
        <v>110727</v>
      </c>
      <c r="T65" s="222">
        <f>ROUND(data!BN74,0)</f>
        <v>0</v>
      </c>
      <c r="U65" s="222">
        <f>ROUND(data!BN75,0)</f>
        <v>2359629</v>
      </c>
      <c r="V65" s="222">
        <f>ROUND(data!BN76,0)</f>
        <v>0</v>
      </c>
      <c r="W65" s="222">
        <f>ROUND(data!BN77,0)</f>
        <v>1379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9645749</v>
      </c>
      <c r="AB65" s="222">
        <f>ROUND(data!BN82,0)</f>
        <v>0</v>
      </c>
      <c r="AC65" s="222">
        <f>ROUND(data!BN83,0)</f>
        <v>228298</v>
      </c>
      <c r="AD65" s="222">
        <f>ROUND(data!BN84,0)</f>
        <v>298386</v>
      </c>
      <c r="AE65" s="222"/>
      <c r="AF65" s="222"/>
      <c r="AG65" s="222">
        <f>IF(data!BN90&gt;0,ROUND(data!BN90,0),0)</f>
        <v>1763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058</v>
      </c>
      <c r="B66" s="224" t="str">
        <f>RIGHT(data!$C$96,4)</f>
        <v>2022</v>
      </c>
      <c r="C66" s="16" t="str">
        <f>data!BO$55</f>
        <v>8620</v>
      </c>
      <c r="D66" s="16" t="s">
        <v>1121</v>
      </c>
      <c r="E66" s="222"/>
      <c r="F66" s="212">
        <f>ROUND(data!BO60,2)</f>
        <v>8.89</v>
      </c>
      <c r="G66" s="222">
        <f>ROUND(data!BO61,0)</f>
        <v>827669</v>
      </c>
      <c r="H66" s="222">
        <f>ROUND(data!BO62,0)</f>
        <v>180403</v>
      </c>
      <c r="I66" s="222">
        <f>ROUND(data!BO63,0)</f>
        <v>0</v>
      </c>
      <c r="J66" s="222">
        <f>ROUND(data!BO64,0)</f>
        <v>108744</v>
      </c>
      <c r="K66" s="222">
        <f>ROUND(data!BO65,0)</f>
        <v>0</v>
      </c>
      <c r="L66" s="222">
        <f>ROUND(data!BO66,0)</f>
        <v>150827</v>
      </c>
      <c r="M66" s="66">
        <f>ROUND(data!BO67,0)</f>
        <v>45745</v>
      </c>
      <c r="N66" s="222">
        <f>ROUND(data!BO68,0)</f>
        <v>52860</v>
      </c>
      <c r="O66" s="222">
        <f>ROUND(data!BO69,0)</f>
        <v>50686</v>
      </c>
      <c r="P66" s="222">
        <f>ROUND(data!BO70,0)</f>
        <v>0</v>
      </c>
      <c r="Q66" s="222">
        <f>ROUND(data!BO71,0)</f>
        <v>0</v>
      </c>
      <c r="R66" s="222">
        <f>ROUND(data!BO72,0)</f>
        <v>202</v>
      </c>
      <c r="S66" s="222">
        <f>ROUND(data!BO73,0)</f>
        <v>0</v>
      </c>
      <c r="T66" s="222">
        <f>ROUND(data!BO74,0)</f>
        <v>-13</v>
      </c>
      <c r="U66" s="222">
        <f>ROUND(data!BO75,0)</f>
        <v>0</v>
      </c>
      <c r="V66" s="222">
        <f>ROUND(data!BO76,0)</f>
        <v>15051</v>
      </c>
      <c r="W66" s="222">
        <f>ROUND(data!BO77,0)</f>
        <v>19999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4384</v>
      </c>
      <c r="AB66" s="222">
        <f>ROUND(data!BO82,0)</f>
        <v>0</v>
      </c>
      <c r="AC66" s="222">
        <f>ROUND(data!BO83,0)</f>
        <v>11064</v>
      </c>
      <c r="AD66" s="222">
        <f>ROUND(data!BO84,0)</f>
        <v>4885</v>
      </c>
      <c r="AE66" s="222"/>
      <c r="AF66" s="222"/>
      <c r="AG66" s="222">
        <f>IF(data!BO90&gt;0,ROUND(data!BO90,0),0)</f>
        <v>2514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058</v>
      </c>
      <c r="B67" s="224" t="str">
        <f>RIGHT(data!$C$96,4)</f>
        <v>2022</v>
      </c>
      <c r="C67" s="16" t="str">
        <f>data!BP$55</f>
        <v>8630</v>
      </c>
      <c r="D67" s="16" t="s">
        <v>1121</v>
      </c>
      <c r="E67" s="222"/>
      <c r="F67" s="212">
        <f>ROUND(data!BP60,2)</f>
        <v>2.8</v>
      </c>
      <c r="G67" s="222">
        <f>ROUND(data!BP61,0)</f>
        <v>263822</v>
      </c>
      <c r="H67" s="222">
        <f>ROUND(data!BP62,0)</f>
        <v>57504</v>
      </c>
      <c r="I67" s="222">
        <f>ROUND(data!BP63,0)</f>
        <v>0</v>
      </c>
      <c r="J67" s="222">
        <f>ROUND(data!BP64,0)</f>
        <v>7126</v>
      </c>
      <c r="K67" s="222">
        <f>ROUND(data!BP65,0)</f>
        <v>4664</v>
      </c>
      <c r="L67" s="222">
        <f>ROUND(data!BP66,0)</f>
        <v>56788</v>
      </c>
      <c r="M67" s="66">
        <f>ROUND(data!BP67,0)</f>
        <v>67362</v>
      </c>
      <c r="N67" s="222">
        <f>ROUND(data!BP68,0)</f>
        <v>2230</v>
      </c>
      <c r="O67" s="222">
        <f>ROUND(data!BP69,0)</f>
        <v>162563</v>
      </c>
      <c r="P67" s="222">
        <f>ROUND(data!BP70,0)</f>
        <v>0</v>
      </c>
      <c r="Q67" s="222">
        <f>ROUND(data!BP71,0)</f>
        <v>0</v>
      </c>
      <c r="R67" s="222">
        <f>ROUND(data!BP72,0)</f>
        <v>2977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1067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158519</v>
      </c>
      <c r="AD67" s="222">
        <f>ROUND(data!BP84,0)</f>
        <v>0</v>
      </c>
      <c r="AE67" s="222"/>
      <c r="AF67" s="222"/>
      <c r="AG67" s="222">
        <f>IF(data!BP90&gt;0,ROUND(data!BP90,0),0)</f>
        <v>3702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058</v>
      </c>
      <c r="B68" s="224" t="str">
        <f>RIGHT(data!$C$96,4)</f>
        <v>2022</v>
      </c>
      <c r="C68" s="16" t="str">
        <f>data!BQ$55</f>
        <v>8640</v>
      </c>
      <c r="D68" s="16" t="s">
        <v>1121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058</v>
      </c>
      <c r="B69" s="224" t="str">
        <f>RIGHT(data!$C$96,4)</f>
        <v>2022</v>
      </c>
      <c r="C69" s="16" t="str">
        <f>data!BR$55</f>
        <v>8650</v>
      </c>
      <c r="D69" s="16" t="s">
        <v>1121</v>
      </c>
      <c r="E69" s="222"/>
      <c r="F69" s="212">
        <f>ROUND(data!BR60,2)</f>
        <v>20.5</v>
      </c>
      <c r="G69" s="222">
        <f>ROUND(data!BR61,0)</f>
        <v>1945672</v>
      </c>
      <c r="H69" s="222">
        <f>ROUND(data!BR62,0)</f>
        <v>424090</v>
      </c>
      <c r="I69" s="222">
        <f>ROUND(data!BR63,0)</f>
        <v>-1440</v>
      </c>
      <c r="J69" s="222">
        <f>ROUND(data!BR64,0)</f>
        <v>4263</v>
      </c>
      <c r="K69" s="222">
        <f>ROUND(data!BR65,0)</f>
        <v>0</v>
      </c>
      <c r="L69" s="222">
        <f>ROUND(data!BR66,0)</f>
        <v>278364</v>
      </c>
      <c r="M69" s="66">
        <f>ROUND(data!BR67,0)</f>
        <v>64596</v>
      </c>
      <c r="N69" s="222">
        <f>ROUND(data!BR68,0)</f>
        <v>245675</v>
      </c>
      <c r="O69" s="222">
        <f>ROUND(data!BR69,0)</f>
        <v>1352347</v>
      </c>
      <c r="P69" s="222">
        <f>ROUND(data!BR70,0)</f>
        <v>0</v>
      </c>
      <c r="Q69" s="222">
        <f>ROUND(data!BR71,0)</f>
        <v>0</v>
      </c>
      <c r="R69" s="222">
        <f>ROUND(data!BR72,0)</f>
        <v>1065483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255701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31164</v>
      </c>
      <c r="AD69" s="222">
        <f>ROUND(data!BR84,0)</f>
        <v>0</v>
      </c>
      <c r="AE69" s="222"/>
      <c r="AF69" s="222"/>
      <c r="AG69" s="222">
        <f>IF(data!BR90&gt;0,ROUND(data!BR90,0),0)</f>
        <v>3550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058</v>
      </c>
      <c r="B70" s="224" t="str">
        <f>RIGHT(data!$C$96,4)</f>
        <v>2022</v>
      </c>
      <c r="C70" s="16" t="str">
        <f>data!BS$55</f>
        <v>8660</v>
      </c>
      <c r="D70" s="16" t="s">
        <v>1121</v>
      </c>
      <c r="E70" s="222"/>
      <c r="F70" s="212">
        <f>ROUND(data!BS60,2)</f>
        <v>1.75</v>
      </c>
      <c r="G70" s="222">
        <f>ROUND(data!BS61,0)</f>
        <v>121606</v>
      </c>
      <c r="H70" s="222">
        <f>ROUND(data!BS62,0)</f>
        <v>26506</v>
      </c>
      <c r="I70" s="222">
        <f>ROUND(data!BS63,0)</f>
        <v>0</v>
      </c>
      <c r="J70" s="222">
        <f>ROUND(data!BS64,0)</f>
        <v>205</v>
      </c>
      <c r="K70" s="222">
        <f>ROUND(data!BS65,0)</f>
        <v>0</v>
      </c>
      <c r="L70" s="222">
        <f>ROUND(data!BS66,0)</f>
        <v>0</v>
      </c>
      <c r="M70" s="66">
        <f>ROUND(data!BS67,0)</f>
        <v>9207</v>
      </c>
      <c r="N70" s="222">
        <f>ROUND(data!BS68,0)</f>
        <v>64</v>
      </c>
      <c r="O70" s="222">
        <f>ROUND(data!BS69,0)</f>
        <v>21523</v>
      </c>
      <c r="P70" s="222">
        <f>ROUND(data!BS70,0)</f>
        <v>0</v>
      </c>
      <c r="Q70" s="222">
        <f>ROUND(data!BS71,0)</f>
        <v>0</v>
      </c>
      <c r="R70" s="222">
        <f>ROUND(data!BS72,0)</f>
        <v>14332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7191</v>
      </c>
      <c r="AD70" s="222">
        <f>ROUND(data!BS84,0)</f>
        <v>0</v>
      </c>
      <c r="AE70" s="222"/>
      <c r="AF70" s="222"/>
      <c r="AG70" s="222">
        <f>IF(data!BS90&gt;0,ROUND(data!BS90,0),0)</f>
        <v>506</v>
      </c>
      <c r="AH70" s="222">
        <f>IFERROR(IF(data!BS$91&gt;0,ROUND(data!BS$91,0),0),0)</f>
        <v>0</v>
      </c>
      <c r="AI70" s="222">
        <f>IFERROR(IF(data!BS$92&gt;0,ROUND(data!BS$92,0),0),0)</f>
        <v>65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058</v>
      </c>
      <c r="B71" s="224" t="str">
        <f>RIGHT(data!$C$96,4)</f>
        <v>2022</v>
      </c>
      <c r="C71" s="16" t="str">
        <f>data!BT$55</f>
        <v>8670</v>
      </c>
      <c r="D71" s="16" t="s">
        <v>1121</v>
      </c>
      <c r="E71" s="222"/>
      <c r="F71" s="212">
        <f>ROUND(data!BT60,2)</f>
        <v>3.12</v>
      </c>
      <c r="G71" s="222">
        <f>ROUND(data!BT61,0)</f>
        <v>216591</v>
      </c>
      <c r="H71" s="222">
        <f>ROUND(data!BT62,0)</f>
        <v>47209</v>
      </c>
      <c r="I71" s="222">
        <f>ROUND(data!BT63,0)</f>
        <v>0</v>
      </c>
      <c r="J71" s="222">
        <f>ROUND(data!BT64,0)</f>
        <v>67</v>
      </c>
      <c r="K71" s="222">
        <f>ROUND(data!BT65,0)</f>
        <v>0</v>
      </c>
      <c r="L71" s="222">
        <f>ROUND(data!BT66,0)</f>
        <v>0</v>
      </c>
      <c r="M71" s="66">
        <f>ROUND(data!BT67,0)</f>
        <v>5441</v>
      </c>
      <c r="N71" s="222">
        <f>ROUND(data!BT68,0)</f>
        <v>58</v>
      </c>
      <c r="O71" s="222">
        <f>ROUND(data!BT69,0)</f>
        <v>9372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9372</v>
      </c>
      <c r="AD71" s="222">
        <f>ROUND(data!BT84,0)</f>
        <v>8000</v>
      </c>
      <c r="AE71" s="222"/>
      <c r="AF71" s="222"/>
      <c r="AG71" s="222">
        <f>IF(data!BT90&gt;0,ROUND(data!BT90,0),0)</f>
        <v>299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058</v>
      </c>
      <c r="B72" s="224" t="str">
        <f>RIGHT(data!$C$96,4)</f>
        <v>2022</v>
      </c>
      <c r="C72" s="16" t="str">
        <f>data!BU$55</f>
        <v>8680</v>
      </c>
      <c r="D72" s="16" t="s">
        <v>1121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058</v>
      </c>
      <c r="B73" s="224" t="str">
        <f>RIGHT(data!$C$96,4)</f>
        <v>2022</v>
      </c>
      <c r="C73" s="16" t="str">
        <f>data!BV$55</f>
        <v>8690</v>
      </c>
      <c r="D73" s="16" t="s">
        <v>1121</v>
      </c>
      <c r="E73" s="222"/>
      <c r="F73" s="212">
        <f>ROUND(data!BV60,2)</f>
        <v>54.36</v>
      </c>
      <c r="G73" s="222">
        <f>ROUND(data!BV61,0)</f>
        <v>2777125</v>
      </c>
      <c r="H73" s="222">
        <f>ROUND(data!BV62,0)</f>
        <v>605318</v>
      </c>
      <c r="I73" s="222">
        <f>ROUND(data!BV63,0)</f>
        <v>0</v>
      </c>
      <c r="J73" s="222">
        <f>ROUND(data!BV64,0)</f>
        <v>22</v>
      </c>
      <c r="K73" s="222">
        <f>ROUND(data!BV65,0)</f>
        <v>0</v>
      </c>
      <c r="L73" s="222">
        <f>ROUND(data!BV66,0)</f>
        <v>1256381</v>
      </c>
      <c r="M73" s="66">
        <f>ROUND(data!BV67,0)</f>
        <v>67362</v>
      </c>
      <c r="N73" s="222">
        <f>ROUND(data!BV68,0)</f>
        <v>60519</v>
      </c>
      <c r="O73" s="222">
        <f>ROUND(data!BV69,0)</f>
        <v>-7406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-22000</v>
      </c>
      <c r="V73" s="222">
        <f>ROUND(data!BV76,0)</f>
        <v>0</v>
      </c>
      <c r="W73" s="222">
        <f>ROUND(data!BV77,0)</f>
        <v>1348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13245</v>
      </c>
      <c r="AD73" s="222">
        <f>ROUND(data!BV84,0)</f>
        <v>6816</v>
      </c>
      <c r="AE73" s="222"/>
      <c r="AF73" s="222"/>
      <c r="AG73" s="222">
        <f>IF(data!BV90&gt;0,ROUND(data!BV90,0),0)</f>
        <v>3702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058</v>
      </c>
      <c r="B74" s="224" t="str">
        <f>RIGHT(data!$C$96,4)</f>
        <v>2022</v>
      </c>
      <c r="C74" s="16" t="str">
        <f>data!BW$55</f>
        <v>8700</v>
      </c>
      <c r="D74" s="16" t="s">
        <v>1121</v>
      </c>
      <c r="E74" s="222"/>
      <c r="F74" s="212">
        <f>ROUND(data!BW60,2)</f>
        <v>4.53</v>
      </c>
      <c r="G74" s="222">
        <f>ROUND(data!BW61,0)</f>
        <v>316939</v>
      </c>
      <c r="H74" s="222">
        <f>ROUND(data!BW62,0)</f>
        <v>69082</v>
      </c>
      <c r="I74" s="222">
        <f>ROUND(data!BW63,0)</f>
        <v>54000</v>
      </c>
      <c r="J74" s="222">
        <f>ROUND(data!BW64,0)</f>
        <v>-35</v>
      </c>
      <c r="K74" s="222">
        <f>ROUND(data!BW65,0)</f>
        <v>0</v>
      </c>
      <c r="L74" s="222">
        <f>ROUND(data!BW66,0)</f>
        <v>0</v>
      </c>
      <c r="M74" s="66">
        <f>ROUND(data!BW67,0)</f>
        <v>31607</v>
      </c>
      <c r="N74" s="222">
        <f>ROUND(data!BW68,0)</f>
        <v>2489</v>
      </c>
      <c r="O74" s="222">
        <f>ROUND(data!BW69,0)</f>
        <v>244906</v>
      </c>
      <c r="P74" s="222">
        <f>ROUND(data!BW70,0)</f>
        <v>0</v>
      </c>
      <c r="Q74" s="222">
        <f>ROUND(data!BW71,0)</f>
        <v>0</v>
      </c>
      <c r="R74" s="222">
        <f>ROUND(data!BW72,0)</f>
        <v>134927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23589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86391</v>
      </c>
      <c r="AD74" s="222">
        <f>ROUND(data!BW84,0)</f>
        <v>149218</v>
      </c>
      <c r="AE74" s="222"/>
      <c r="AF74" s="222"/>
      <c r="AG74" s="222">
        <f>IF(data!BW90&gt;0,ROUND(data!BW90,0),0)</f>
        <v>1737</v>
      </c>
      <c r="AH74" s="222">
        <f>IF(data!BW91&gt;0,ROUND(data!BW91,0),0)</f>
        <v>0</v>
      </c>
      <c r="AI74" s="222">
        <f>IF(data!BW92&gt;0,ROUND(data!BW92,0),0)</f>
        <v>52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058</v>
      </c>
      <c r="B75" s="224" t="str">
        <f>RIGHT(data!$C$96,4)</f>
        <v>2022</v>
      </c>
      <c r="C75" s="16" t="str">
        <f>data!BX$55</f>
        <v>8710</v>
      </c>
      <c r="D75" s="16" t="s">
        <v>1121</v>
      </c>
      <c r="E75" s="222"/>
      <c r="F75" s="212">
        <f>ROUND(data!BX60,2)</f>
        <v>53.39</v>
      </c>
      <c r="G75" s="222">
        <f>ROUND(data!BX61,0)</f>
        <v>5282396</v>
      </c>
      <c r="H75" s="222">
        <f>ROUND(data!BX62,0)</f>
        <v>1151381</v>
      </c>
      <c r="I75" s="222">
        <f>ROUND(data!BX63,0)</f>
        <v>0</v>
      </c>
      <c r="J75" s="222">
        <f>ROUND(data!BX64,0)</f>
        <v>6486</v>
      </c>
      <c r="K75" s="222">
        <f>ROUND(data!BX65,0)</f>
        <v>0</v>
      </c>
      <c r="L75" s="222">
        <f>ROUND(data!BX66,0)</f>
        <v>1013503</v>
      </c>
      <c r="M75" s="66">
        <f>ROUND(data!BX67,0)</f>
        <v>37666</v>
      </c>
      <c r="N75" s="222">
        <f>ROUND(data!BX68,0)</f>
        <v>72150</v>
      </c>
      <c r="O75" s="222">
        <f>ROUND(data!BX69,0)</f>
        <v>308933</v>
      </c>
      <c r="P75" s="222">
        <f>ROUND(data!BX70,0)</f>
        <v>0</v>
      </c>
      <c r="Q75" s="222">
        <f>ROUND(data!BX71,0)</f>
        <v>0</v>
      </c>
      <c r="R75" s="222">
        <f>ROUND(data!BX72,0)</f>
        <v>48014</v>
      </c>
      <c r="S75" s="222">
        <f>ROUND(data!BX73,0)</f>
        <v>0</v>
      </c>
      <c r="T75" s="222">
        <f>ROUND(data!BX74,0)</f>
        <v>0</v>
      </c>
      <c r="U75" s="222">
        <f>ROUND(data!BX75,0)</f>
        <v>15556</v>
      </c>
      <c r="V75" s="222">
        <f>ROUND(data!BX76,0)</f>
        <v>0</v>
      </c>
      <c r="W75" s="222">
        <f>ROUND(data!BX77,0)</f>
        <v>21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3824</v>
      </c>
      <c r="AB75" s="222">
        <f>ROUND(data!BX82,0)</f>
        <v>0</v>
      </c>
      <c r="AC75" s="222">
        <f>ROUND(data!BX83,0)</f>
        <v>241516</v>
      </c>
      <c r="AD75" s="222">
        <f>ROUND(data!BX84,0)</f>
        <v>1619</v>
      </c>
      <c r="AE75" s="222"/>
      <c r="AF75" s="222"/>
      <c r="AG75" s="222">
        <f>IF(data!BX90&gt;0,ROUND(data!BX90,0),0)</f>
        <v>2070</v>
      </c>
      <c r="AH75" s="222">
        <f>IF(data!BX91&gt;0,ROUND(data!BX91,0),0)</f>
        <v>0</v>
      </c>
      <c r="AI75" s="222">
        <f>IF(data!BX92&gt;0,ROUND(data!BX92,0),0)</f>
        <v>338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058</v>
      </c>
      <c r="B76" s="224" t="str">
        <f>RIGHT(data!$C$96,4)</f>
        <v>2022</v>
      </c>
      <c r="C76" s="16" t="str">
        <f>data!BY$55</f>
        <v>8720</v>
      </c>
      <c r="D76" s="16" t="s">
        <v>1121</v>
      </c>
      <c r="E76" s="222"/>
      <c r="F76" s="212">
        <f>ROUND(data!BY60,2)</f>
        <v>12.89</v>
      </c>
      <c r="G76" s="222">
        <f>ROUND(data!BY61,0)</f>
        <v>1324255</v>
      </c>
      <c r="H76" s="222">
        <f>ROUND(data!BY62,0)</f>
        <v>288642</v>
      </c>
      <c r="I76" s="222">
        <f>ROUND(data!BY63,0)</f>
        <v>0</v>
      </c>
      <c r="J76" s="222">
        <f>ROUND(data!BY64,0)</f>
        <v>2058</v>
      </c>
      <c r="K76" s="222">
        <f>ROUND(data!BY65,0)</f>
        <v>0</v>
      </c>
      <c r="L76" s="222">
        <f>ROUND(data!BY66,0)</f>
        <v>15111</v>
      </c>
      <c r="M76" s="66">
        <f>ROUND(data!BY67,0)</f>
        <v>5459</v>
      </c>
      <c r="N76" s="222">
        <f>ROUND(data!BY68,0)</f>
        <v>357</v>
      </c>
      <c r="O76" s="222">
        <f>ROUND(data!BY69,0)</f>
        <v>185220</v>
      </c>
      <c r="P76" s="222">
        <f>ROUND(data!BY70,0)</f>
        <v>0</v>
      </c>
      <c r="Q76" s="222">
        <f>ROUND(data!BY71,0)</f>
        <v>0</v>
      </c>
      <c r="R76" s="222">
        <f>ROUND(data!BY72,0)</f>
        <v>145540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38989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691</v>
      </c>
      <c r="AD76" s="222">
        <f>ROUND(data!BY84,0)</f>
        <v>0</v>
      </c>
      <c r="AE76" s="222"/>
      <c r="AF76" s="222"/>
      <c r="AG76" s="222">
        <f>IF(data!BY90&gt;0,ROUND(data!BY90,0),0)</f>
        <v>300</v>
      </c>
      <c r="AH76" s="222">
        <f>IF(data!BY91&gt;0,ROUND(data!BY91,0),0)</f>
        <v>0</v>
      </c>
      <c r="AI76" s="222">
        <f>IF(data!BY92&gt;0,ROUND(data!BY92,0),0)</f>
        <v>195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058</v>
      </c>
      <c r="B77" s="224" t="str">
        <f>RIGHT(data!$C$96,4)</f>
        <v>2022</v>
      </c>
      <c r="C77" s="16" t="str">
        <f>data!BZ$55</f>
        <v>8730</v>
      </c>
      <c r="D77" s="16" t="s">
        <v>1121</v>
      </c>
      <c r="E77" s="222"/>
      <c r="F77" s="212">
        <f>ROUND(data!BZ60,2)</f>
        <v>21.85</v>
      </c>
      <c r="G77" s="222">
        <f>ROUND(data!BZ61,0)</f>
        <v>1941787</v>
      </c>
      <c r="H77" s="222">
        <f>ROUND(data!BZ62,0)</f>
        <v>423243</v>
      </c>
      <c r="I77" s="222">
        <f>ROUND(data!BZ63,0)</f>
        <v>0</v>
      </c>
      <c r="J77" s="222">
        <f>ROUND(data!BZ64,0)</f>
        <v>645</v>
      </c>
      <c r="K77" s="222">
        <f>ROUND(data!BZ65,0)</f>
        <v>0</v>
      </c>
      <c r="L77" s="222">
        <f>ROUND(data!BZ66,0)</f>
        <v>0</v>
      </c>
      <c r="M77" s="66">
        <f>ROUND(data!BZ67,0)</f>
        <v>7697</v>
      </c>
      <c r="N77" s="222">
        <f>ROUND(data!BZ68,0)</f>
        <v>261</v>
      </c>
      <c r="O77" s="222">
        <f>ROUND(data!BZ69,0)</f>
        <v>92017</v>
      </c>
      <c r="P77" s="222">
        <f>ROUND(data!BZ70,0)</f>
        <v>0</v>
      </c>
      <c r="Q77" s="222">
        <f>ROUND(data!BZ71,0)</f>
        <v>12797</v>
      </c>
      <c r="R77" s="222">
        <f>ROUND(data!BZ72,0)</f>
        <v>74714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1296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3209</v>
      </c>
      <c r="AD77" s="222">
        <f>ROUND(data!BZ84,0)</f>
        <v>0</v>
      </c>
      <c r="AE77" s="222"/>
      <c r="AF77" s="222"/>
      <c r="AG77" s="222">
        <f>IF(data!BZ90&gt;0,ROUND(data!BZ90,0),0)</f>
        <v>423</v>
      </c>
      <c r="AH77" s="222">
        <f>IF(data!BZ91&gt;0,ROUND(data!BZ91,0),0)</f>
        <v>0</v>
      </c>
      <c r="AI77" s="222">
        <f>IF(data!BZ92&gt;0,ROUND(data!BZ92,0),0)</f>
        <v>2262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058</v>
      </c>
      <c r="B78" s="224" t="str">
        <f>RIGHT(data!$C$96,4)</f>
        <v>2022</v>
      </c>
      <c r="C78" s="16" t="str">
        <f>data!CA$55</f>
        <v>8740</v>
      </c>
      <c r="D78" s="16" t="s">
        <v>1121</v>
      </c>
      <c r="E78" s="222"/>
      <c r="F78" s="212">
        <f>ROUND(data!CA60,2)</f>
        <v>1.77</v>
      </c>
      <c r="G78" s="222">
        <f>ROUND(data!CA61,0)</f>
        <v>205165</v>
      </c>
      <c r="H78" s="222">
        <f>ROUND(data!CA62,0)</f>
        <v>44719</v>
      </c>
      <c r="I78" s="222">
        <f>ROUND(data!CA63,0)</f>
        <v>0</v>
      </c>
      <c r="J78" s="222">
        <f>ROUND(data!CA64,0)</f>
        <v>16684</v>
      </c>
      <c r="K78" s="222">
        <f>ROUND(data!CA65,0)</f>
        <v>0</v>
      </c>
      <c r="L78" s="222">
        <f>ROUND(data!CA66,0)</f>
        <v>56298</v>
      </c>
      <c r="M78" s="66">
        <f>ROUND(data!CA67,0)</f>
        <v>28805</v>
      </c>
      <c r="N78" s="222">
        <f>ROUND(data!CA68,0)</f>
        <v>-42</v>
      </c>
      <c r="O78" s="222">
        <f>ROUND(data!CA69,0)</f>
        <v>82537</v>
      </c>
      <c r="P78" s="222">
        <f>ROUND(data!CA70,0)</f>
        <v>0</v>
      </c>
      <c r="Q78" s="222">
        <f>ROUND(data!CA71,0)</f>
        <v>0</v>
      </c>
      <c r="R78" s="222">
        <f>ROUND(data!CA72,0)</f>
        <v>69498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450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12589</v>
      </c>
      <c r="AD78" s="222">
        <f>ROUND(data!CA84,0)</f>
        <v>0</v>
      </c>
      <c r="AE78" s="222"/>
      <c r="AF78" s="222"/>
      <c r="AG78" s="222">
        <f>IF(data!CA90&gt;0,ROUND(data!CA90,0),0)</f>
        <v>1583</v>
      </c>
      <c r="AH78" s="222">
        <f>IF(data!CA91&gt;0,ROUND(data!CA91,0),0)</f>
        <v>0</v>
      </c>
      <c r="AI78" s="222">
        <f>IF(data!CA92&gt;0,ROUND(data!CA92,0),0)</f>
        <v>130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058</v>
      </c>
      <c r="B79" s="224" t="str">
        <f>RIGHT(data!$C$96,4)</f>
        <v>2022</v>
      </c>
      <c r="C79" s="16" t="str">
        <f>data!CB$55</f>
        <v>8770</v>
      </c>
      <c r="D79" s="16" t="s">
        <v>1121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377625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20753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058</v>
      </c>
      <c r="B80" s="224" t="str">
        <f>RIGHT(data!$C$96,4)</f>
        <v>2022</v>
      </c>
      <c r="C80" s="16" t="str">
        <f>data!CC$55</f>
        <v>8790</v>
      </c>
      <c r="D80" s="16" t="s">
        <v>1121</v>
      </c>
      <c r="E80" s="222"/>
      <c r="F80" s="212">
        <f>ROUND(data!CC60,2)</f>
        <v>100.6</v>
      </c>
      <c r="G80" s="222">
        <f>ROUND(data!CC61,0)</f>
        <v>7808479</v>
      </c>
      <c r="H80" s="222">
        <f>ROUND(data!CC62,0)</f>
        <v>1701980</v>
      </c>
      <c r="I80" s="222">
        <f>ROUND(data!CC63,0)</f>
        <v>35731</v>
      </c>
      <c r="J80" s="222">
        <f>ROUND(data!CC64,0)</f>
        <v>144976</v>
      </c>
      <c r="K80" s="222">
        <f>ROUND(data!CC65,0)</f>
        <v>151778</v>
      </c>
      <c r="L80" s="222">
        <f>ROUND(data!CC66,0)</f>
        <v>810559</v>
      </c>
      <c r="M80" s="66">
        <f>ROUND(data!CC67,0)</f>
        <v>113253</v>
      </c>
      <c r="N80" s="222">
        <f>ROUND(data!CC68,0)</f>
        <v>159071</v>
      </c>
      <c r="O80" s="222">
        <f>ROUND(data!CC69,0)</f>
        <v>3812465</v>
      </c>
      <c r="P80" s="222">
        <f>ROUND(data!CC70,0)</f>
        <v>0</v>
      </c>
      <c r="Q80" s="222">
        <f>ROUND(data!CC71,0)</f>
        <v>67914</v>
      </c>
      <c r="R80" s="222">
        <f>ROUND(data!CC72,0)</f>
        <v>1248611</v>
      </c>
      <c r="S80" s="222">
        <f>ROUND(data!CC73,0)</f>
        <v>0</v>
      </c>
      <c r="T80" s="222">
        <f>ROUND(data!CC74,0)</f>
        <v>2405</v>
      </c>
      <c r="U80" s="222">
        <f>ROUND(data!CC75,0)</f>
        <v>456766</v>
      </c>
      <c r="V80" s="222">
        <f>ROUND(data!CC76,0)</f>
        <v>0</v>
      </c>
      <c r="W80" s="222">
        <f>ROUND(data!CC77,0)</f>
        <v>23566</v>
      </c>
      <c r="X80" s="222">
        <f>ROUND(data!CC78,0)</f>
        <v>0</v>
      </c>
      <c r="Y80" s="222">
        <f>ROUND(data!CC79,0)</f>
        <v>-4965</v>
      </c>
      <c r="Z80" s="222">
        <f>ROUND(data!CC80,0)</f>
        <v>0</v>
      </c>
      <c r="AA80" s="222">
        <f>ROUND(data!CC81,0)</f>
        <v>60932</v>
      </c>
      <c r="AB80" s="222">
        <f>ROUND(data!CC82,0)</f>
        <v>0</v>
      </c>
      <c r="AC80" s="222">
        <f>ROUND(data!CC83,0)</f>
        <v>1957236</v>
      </c>
      <c r="AD80" s="222">
        <f>ROUND(data!CC84,0)</f>
        <v>9132249</v>
      </c>
      <c r="AE80" s="222"/>
      <c r="AF80" s="222"/>
      <c r="AG80" s="222">
        <f>IF(data!CC90&gt;0,ROUND(data!CC90,0),0)</f>
        <v>6224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 xml:space="preserve">YAKIMA VALLEY MEMORIAL 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H-058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2811 TIETON DRIVE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YAKIMA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WASHINGTON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topLeftCell="A4" zoomScaleNormal="100" workbookViewId="0">
      <selection activeCell="J25" sqref="J25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058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9299060.910000002</v>
      </c>
      <c r="C15" s="275">
        <f>data!C85</f>
        <v>12752542.18</v>
      </c>
      <c r="D15" s="275">
        <f>'Prior Year'!C60</f>
        <v>5507</v>
      </c>
      <c r="E15" s="1">
        <f>data!C59</f>
        <v>5379</v>
      </c>
      <c r="F15" s="238">
        <f t="shared" ref="F15:F59" si="0">IF(B15=0,"",IF(D15=0,"",B15/D15))</f>
        <v>1688.5892337025607</v>
      </c>
      <c r="G15" s="238">
        <f t="shared" ref="G15:G29" si="1">IF(C15=0,"",IF(E15=0,"",C15/E15))</f>
        <v>2370.8016694552889</v>
      </c>
      <c r="H15" s="6">
        <f t="shared" ref="H15:H59" si="2">IF(B15=0,"",IF(C15=0,"",IF(D15=0,"",IF(E15=0,"",IF(G15/F15-1&lt;-0.25,G15/F15-1,IF(G15/F15-1&gt;0.25,G15/F15-1,""))))))</f>
        <v>0.40401325682791689</v>
      </c>
      <c r="I15" s="347" t="s">
        <v>1422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 t="str">
        <f t="shared" ref="I16:I46" si="3">IF(H16&gt;ABS(25%),"Please provide explanation for the fluctuation noted here","")</f>
        <v>Please provide explanation for the fluctuation noted here</v>
      </c>
      <c r="M16" s="7"/>
    </row>
    <row r="17" spans="1:13" x14ac:dyDescent="0.35">
      <c r="A17" s="1" t="s">
        <v>710</v>
      </c>
      <c r="B17" s="275">
        <f>'Prior Year'!E86</f>
        <v>32238643.419999998</v>
      </c>
      <c r="C17" s="275">
        <f>data!E85</f>
        <v>37962549.5</v>
      </c>
      <c r="D17" s="275">
        <f>'Prior Year'!E60</f>
        <v>32947</v>
      </c>
      <c r="E17" s="1">
        <f>data!E59</f>
        <v>42734</v>
      </c>
      <c r="F17" s="238">
        <f t="shared" si="0"/>
        <v>978.50011897896616</v>
      </c>
      <c r="G17" s="238">
        <f t="shared" si="1"/>
        <v>888.34533392614776</v>
      </c>
      <c r="H17" s="6" t="str">
        <f t="shared" si="2"/>
        <v/>
      </c>
      <c r="I17" s="275" t="str">
        <f t="shared" si="3"/>
        <v>Please provide explanation for the fluctuation noted here</v>
      </c>
      <c r="J17" s="346"/>
      <c r="M17" s="7"/>
    </row>
    <row r="18" spans="1:13" x14ac:dyDescent="0.35">
      <c r="A18" s="1" t="s">
        <v>711</v>
      </c>
      <c r="B18" s="275">
        <f>'Prior Year'!F86</f>
        <v>5578640.79</v>
      </c>
      <c r="C18" s="275">
        <f>data!F85</f>
        <v>6654864.0199999996</v>
      </c>
      <c r="D18" s="275">
        <f>'Prior Year'!F60</f>
        <v>7763</v>
      </c>
      <c r="E18" s="1">
        <f>data!F59</f>
        <v>8583</v>
      </c>
      <c r="F18" s="238">
        <f t="shared" si="0"/>
        <v>718.6191923225557</v>
      </c>
      <c r="G18" s="238">
        <f t="shared" si="1"/>
        <v>775.35407433298371</v>
      </c>
      <c r="H18" s="6" t="str">
        <f t="shared" si="2"/>
        <v/>
      </c>
      <c r="I18" s="275" t="str">
        <f t="shared" si="3"/>
        <v>Please provide explanation for the fluctuation noted here</v>
      </c>
      <c r="J18" s="346"/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5">
        <f>'Prior Year'!H86</f>
        <v>4257508.1900000004</v>
      </c>
      <c r="C20" s="275">
        <f>data!H85</f>
        <v>4651165.709999999</v>
      </c>
      <c r="D20" s="275">
        <f>'Prior Year'!H60</f>
        <v>4631</v>
      </c>
      <c r="E20" s="1">
        <f>data!H59</f>
        <v>4680</v>
      </c>
      <c r="F20" s="238">
        <f t="shared" si="0"/>
        <v>919.34964154610248</v>
      </c>
      <c r="G20" s="238">
        <f t="shared" si="1"/>
        <v>993.83882692307668</v>
      </c>
      <c r="H20" s="6" t="str">
        <f t="shared" si="2"/>
        <v/>
      </c>
      <c r="I20" s="275" t="str">
        <f t="shared" si="3"/>
        <v>Please provide explanation for the fluctuation noted here</v>
      </c>
      <c r="J20" s="346"/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5">
        <f>'Prior Year'!O86</f>
        <v>6104874.3499999996</v>
      </c>
      <c r="C27" s="275">
        <f>data!O85</f>
        <v>7459607.0200000005</v>
      </c>
      <c r="D27" s="275">
        <f>'Prior Year'!O60</f>
        <v>19544</v>
      </c>
      <c r="E27" s="1">
        <f>data!O59</f>
        <v>21595</v>
      </c>
      <c r="F27" s="238">
        <f t="shared" si="0"/>
        <v>312.3656544207941</v>
      </c>
      <c r="G27" s="238">
        <f t="shared" si="1"/>
        <v>345.43213799490627</v>
      </c>
      <c r="H27" s="6" t="str">
        <f t="shared" si="2"/>
        <v/>
      </c>
      <c r="I27" s="275" t="str">
        <f t="shared" si="3"/>
        <v>Please provide explanation for the fluctuation noted here</v>
      </c>
      <c r="J27" s="346"/>
      <c r="M27" s="7"/>
    </row>
    <row r="28" spans="1:13" x14ac:dyDescent="0.35">
      <c r="A28" s="1" t="s">
        <v>721</v>
      </c>
      <c r="B28" s="275">
        <f>'Prior Year'!P86</f>
        <v>32169457.73</v>
      </c>
      <c r="C28" s="275">
        <f>data!P85</f>
        <v>33141544.98</v>
      </c>
      <c r="D28" s="275">
        <f>'Prior Year'!P60</f>
        <v>1056495</v>
      </c>
      <c r="E28" s="1">
        <f>data!P59</f>
        <v>958305</v>
      </c>
      <c r="F28" s="238">
        <f t="shared" si="0"/>
        <v>30.449228562368965</v>
      </c>
      <c r="G28" s="238">
        <f t="shared" si="1"/>
        <v>34.583504187080315</v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5">
        <f>'Prior Year'!Q86</f>
        <v>3423630.26</v>
      </c>
      <c r="C29" s="275">
        <f>data!Q85</f>
        <v>4657629.4400000004</v>
      </c>
      <c r="D29" s="275">
        <f>'Prior Year'!Q60</f>
        <v>1176330</v>
      </c>
      <c r="E29" s="1">
        <f>data!Q59</f>
        <v>1228800</v>
      </c>
      <c r="F29" s="238">
        <f t="shared" si="0"/>
        <v>2.9104335178053775</v>
      </c>
      <c r="G29" s="238">
        <f t="shared" si="1"/>
        <v>3.7903885416666672</v>
      </c>
      <c r="H29" s="6">
        <f t="shared" si="2"/>
        <v>0.30234500065984071</v>
      </c>
      <c r="I29" s="347" t="s">
        <v>1421</v>
      </c>
      <c r="M29" s="7"/>
    </row>
    <row r="30" spans="1:13" x14ac:dyDescent="0.35">
      <c r="A30" s="1" t="s">
        <v>723</v>
      </c>
      <c r="B30" s="275">
        <f>'Prior Year'!R86</f>
        <v>712640.57</v>
      </c>
      <c r="C30" s="275">
        <f>data!R85</f>
        <v>675394.85</v>
      </c>
      <c r="D30" s="275">
        <f>'Prior Year'!R60</f>
        <v>840860</v>
      </c>
      <c r="E30" s="1">
        <f>data!R59</f>
        <v>805060</v>
      </c>
      <c r="F30" s="238">
        <f t="shared" si="0"/>
        <v>0.84751393811098152</v>
      </c>
      <c r="G30" s="238">
        <f>IFERROR(IF(C30=0,"",IF(E30=0,"",C30/E30)),"")</f>
        <v>0.83893728417757685</v>
      </c>
      <c r="H30" s="6" t="str">
        <f t="shared" si="2"/>
        <v/>
      </c>
      <c r="I30" s="275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5">
        <f>'Prior Year'!S86</f>
        <v>2701374.65</v>
      </c>
      <c r="C31" s="275">
        <f>data!S85</f>
        <v>2696468.6399999997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5" t="e">
        <f t="shared" si="3"/>
        <v>#VALUE!</v>
      </c>
      <c r="M31" s="7"/>
    </row>
    <row r="32" spans="1:13" x14ac:dyDescent="0.35">
      <c r="A32" s="1" t="s">
        <v>726</v>
      </c>
      <c r="B32" s="275">
        <f>'Prior Year'!T86</f>
        <v>1787301.8800000001</v>
      </c>
      <c r="C32" s="275">
        <f>data!T85</f>
        <v>1743249.64</v>
      </c>
      <c r="D32" s="275" t="s">
        <v>725</v>
      </c>
      <c r="E32" s="4" t="s">
        <v>725</v>
      </c>
      <c r="F32" s="238" t="e">
        <f t="shared" si="0"/>
        <v>#VALUE!</v>
      </c>
      <c r="G32" s="238" t="str">
        <f t="shared" si="4"/>
        <v/>
      </c>
      <c r="H32" s="6" t="e">
        <f t="shared" si="2"/>
        <v>#VALUE!</v>
      </c>
      <c r="I32" s="275" t="e">
        <f t="shared" si="3"/>
        <v>#VALUE!</v>
      </c>
      <c r="M32" s="7"/>
    </row>
    <row r="33" spans="1:13" x14ac:dyDescent="0.35">
      <c r="A33" s="1" t="s">
        <v>727</v>
      </c>
      <c r="B33" s="275">
        <f>'Prior Year'!U86</f>
        <v>19493230.09</v>
      </c>
      <c r="C33" s="275">
        <f>data!U85</f>
        <v>17736974.779999997</v>
      </c>
      <c r="D33" s="275">
        <f>'Prior Year'!U60</f>
        <v>2385722</v>
      </c>
      <c r="E33" s="1">
        <f>data!U59</f>
        <v>2825506</v>
      </c>
      <c r="F33" s="238">
        <f t="shared" si="0"/>
        <v>8.1707885872704367</v>
      </c>
      <c r="G33" s="238">
        <f t="shared" ref="G33:G69" si="5">IF(C33=0,"",IF(E33=0,"",C33/E33))</f>
        <v>6.2774507574926393</v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5">
        <f>'Prior Year'!V86</f>
        <v>124515.93999999999</v>
      </c>
      <c r="C34" s="275">
        <f>data!V85</f>
        <v>927615.02</v>
      </c>
      <c r="D34" s="275">
        <f>'Prior Year'!V60</f>
        <v>829816</v>
      </c>
      <c r="E34" s="1">
        <f>data!V59</f>
        <v>822562</v>
      </c>
      <c r="F34" s="238">
        <f t="shared" si="0"/>
        <v>0.15005246946310988</v>
      </c>
      <c r="G34" s="238">
        <f t="shared" si="5"/>
        <v>1.1277144093697498</v>
      </c>
      <c r="H34" s="6">
        <f t="shared" si="2"/>
        <v>6.5154671789456708</v>
      </c>
      <c r="I34" s="347" t="s">
        <v>1422</v>
      </c>
      <c r="M34" s="7"/>
    </row>
    <row r="35" spans="1:13" x14ac:dyDescent="0.35">
      <c r="A35" s="1" t="s">
        <v>729</v>
      </c>
      <c r="B35" s="275">
        <f>'Prior Year'!W86</f>
        <v>1795302.4299999997</v>
      </c>
      <c r="C35" s="275">
        <f>data!W85</f>
        <v>1727126.7100000002</v>
      </c>
      <c r="D35" s="275">
        <f>'Prior Year'!W60</f>
        <v>48286</v>
      </c>
      <c r="E35" s="1">
        <f>data!W59</f>
        <v>51385</v>
      </c>
      <c r="F35" s="238">
        <f t="shared" si="0"/>
        <v>37.180599552665363</v>
      </c>
      <c r="G35" s="238">
        <f t="shared" si="5"/>
        <v>33.611495767247256</v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5">
        <f>'Prior Year'!X86</f>
        <v>2675603.23</v>
      </c>
      <c r="C36" s="275">
        <f>data!X85</f>
        <v>2551235.79</v>
      </c>
      <c r="D36" s="275">
        <f>'Prior Year'!X60</f>
        <v>144496</v>
      </c>
      <c r="E36" s="1">
        <f>data!X59</f>
        <v>142198</v>
      </c>
      <c r="F36" s="238">
        <f t="shared" si="0"/>
        <v>18.51679790444026</v>
      </c>
      <c r="G36" s="238">
        <f t="shared" si="5"/>
        <v>17.941432298625859</v>
      </c>
      <c r="H36" s="6" t="str">
        <f t="shared" si="2"/>
        <v/>
      </c>
      <c r="I36" s="275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5">
        <f>'Prior Year'!Y86</f>
        <v>18962645.229999997</v>
      </c>
      <c r="C37" s="275">
        <f>data!Y85</f>
        <v>20525798.869999997</v>
      </c>
      <c r="D37" s="275">
        <f>'Prior Year'!Y60</f>
        <v>194222</v>
      </c>
      <c r="E37" s="1">
        <f>data!Y59</f>
        <v>199183</v>
      </c>
      <c r="F37" s="238">
        <f t="shared" si="0"/>
        <v>97.633868614266135</v>
      </c>
      <c r="G37" s="238">
        <f t="shared" si="5"/>
        <v>103.04995340967852</v>
      </c>
      <c r="H37" s="6" t="str">
        <f t="shared" si="2"/>
        <v/>
      </c>
      <c r="I37" s="275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5">
        <f>'Prior Year'!Z86</f>
        <v>3809728.9200000004</v>
      </c>
      <c r="C38" s="275">
        <f>data!Z85</f>
        <v>3587355.4699999997</v>
      </c>
      <c r="D38" s="275">
        <f>'Prior Year'!Z60</f>
        <v>35811</v>
      </c>
      <c r="E38" s="1">
        <f>data!Z59</f>
        <v>34811</v>
      </c>
      <c r="F38" s="238">
        <f t="shared" si="0"/>
        <v>106.38432101868142</v>
      </c>
      <c r="G38" s="238">
        <f t="shared" si="5"/>
        <v>103.0523532791359</v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5">
        <f>'Prior Year'!AA86</f>
        <v>1398246.2100000002</v>
      </c>
      <c r="C39" s="275">
        <f>data!AA85</f>
        <v>1654878.8600000003</v>
      </c>
      <c r="D39" s="275">
        <f>'Prior Year'!AA60</f>
        <v>18482</v>
      </c>
      <c r="E39" s="1">
        <f>data!AA59</f>
        <v>20659</v>
      </c>
      <c r="F39" s="238">
        <f t="shared" si="0"/>
        <v>75.654485986365117</v>
      </c>
      <c r="G39" s="238">
        <f t="shared" si="5"/>
        <v>80.104499733772215</v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5">
        <f>'Prior Year'!AB86</f>
        <v>22206344.41</v>
      </c>
      <c r="C40" s="275">
        <f>data!AB85</f>
        <v>20761713.860000003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e">
        <f t="shared" si="3"/>
        <v>#VALUE!</v>
      </c>
      <c r="M40" s="7"/>
    </row>
    <row r="41" spans="1:13" x14ac:dyDescent="0.35">
      <c r="A41" s="1" t="s">
        <v>735</v>
      </c>
      <c r="B41" s="275">
        <f>'Prior Year'!AC86</f>
        <v>4450620.2</v>
      </c>
      <c r="C41" s="275">
        <f>data!AC85</f>
        <v>4756991.8600000003</v>
      </c>
      <c r="D41" s="275">
        <f>'Prior Year'!AC60</f>
        <v>23615</v>
      </c>
      <c r="E41" s="1">
        <f>data!AC59</f>
        <v>20355</v>
      </c>
      <c r="F41" s="238">
        <f t="shared" si="0"/>
        <v>188.46581410120686</v>
      </c>
      <c r="G41" s="238">
        <f t="shared" si="5"/>
        <v>233.70139326946699</v>
      </c>
      <c r="H41" s="6" t="str">
        <f t="shared" si="2"/>
        <v/>
      </c>
      <c r="I41" s="275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5">
        <f>'Prior Year'!AD86</f>
        <v>1452688.1300000001</v>
      </c>
      <c r="C42" s="275">
        <f>data!AD85</f>
        <v>1407906.7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5">
        <f>'Prior Year'!AE86</f>
        <v>3151417.35</v>
      </c>
      <c r="C43" s="275">
        <f>data!AE85</f>
        <v>3242991.56</v>
      </c>
      <c r="D43" s="275">
        <f>'Prior Year'!AE60</f>
        <v>72811</v>
      </c>
      <c r="E43" s="1">
        <f>data!AE59</f>
        <v>61922</v>
      </c>
      <c r="F43" s="238">
        <f t="shared" si="0"/>
        <v>43.282159975827831</v>
      </c>
      <c r="G43" s="238">
        <f t="shared" si="5"/>
        <v>52.372203094215301</v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5">
        <f>'Prior Year'!AG86</f>
        <v>25989342.77</v>
      </c>
      <c r="C45" s="275">
        <f>data!AG85</f>
        <v>30867302.799999997</v>
      </c>
      <c r="D45" s="275">
        <f>'Prior Year'!AG60</f>
        <v>83559</v>
      </c>
      <c r="E45" s="1">
        <f>data!AG59</f>
        <v>90053</v>
      </c>
      <c r="F45" s="238">
        <f t="shared" si="0"/>
        <v>311.02984442130708</v>
      </c>
      <c r="G45" s="238">
        <f t="shared" si="5"/>
        <v>342.76817873918691</v>
      </c>
      <c r="H45" s="6" t="str">
        <f t="shared" si="2"/>
        <v/>
      </c>
      <c r="I45" s="275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5">
        <f>'Prior Year'!AJ86</f>
        <v>33685811.889999993</v>
      </c>
      <c r="C48" s="275">
        <f>data!AJ85</f>
        <v>36428704.5</v>
      </c>
      <c r="D48" s="275">
        <f>'Prior Year'!AJ60</f>
        <v>30379</v>
      </c>
      <c r="E48" s="1">
        <f>data!AJ59</f>
        <v>27989</v>
      </c>
      <c r="F48" s="238">
        <f t="shared" si="0"/>
        <v>1108.8519006550575</v>
      </c>
      <c r="G48" s="238">
        <f t="shared" si="5"/>
        <v>1301.5364786165994</v>
      </c>
      <c r="H48" s="6" t="str">
        <f t="shared" si="2"/>
        <v/>
      </c>
      <c r="I48" s="275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5"/>
        <v/>
      </c>
      <c r="H49" s="6" t="str">
        <f t="shared" si="2"/>
        <v/>
      </c>
      <c r="I49" s="275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 t="str">
        <f t="shared" si="2"/>
        <v/>
      </c>
      <c r="I50" s="275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5">
        <f>'Prior Year'!AP86</f>
        <v>119191152.8</v>
      </c>
      <c r="C54" s="275">
        <f>data!AP85</f>
        <v>102291408.88000001</v>
      </c>
      <c r="D54" s="275">
        <f>'Prior Year'!AP60</f>
        <v>59060</v>
      </c>
      <c r="E54" s="1">
        <f>data!AP59</f>
        <v>41712</v>
      </c>
      <c r="F54" s="238">
        <f t="shared" si="0"/>
        <v>2018.1366881137826</v>
      </c>
      <c r="G54" s="238">
        <f t="shared" si="5"/>
        <v>2452.3256827771388</v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5">
        <f>'Prior Year'!AR86</f>
        <v>15418683.690000001</v>
      </c>
      <c r="C56" s="275">
        <f>data!AR85</f>
        <v>14120658.030000003</v>
      </c>
      <c r="D56" s="275">
        <f>'Prior Year'!AR60</f>
        <v>64182</v>
      </c>
      <c r="E56" s="1">
        <f>data!AR59</f>
        <v>44432</v>
      </c>
      <c r="F56" s="238">
        <f t="shared" si="0"/>
        <v>240.23376787884456</v>
      </c>
      <c r="G56" s="238">
        <f t="shared" si="5"/>
        <v>317.80379073640626</v>
      </c>
      <c r="H56" s="6">
        <f t="shared" si="2"/>
        <v>0.32289391929565059</v>
      </c>
      <c r="I56" s="347" t="s">
        <v>1423</v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5">
        <f>'Prior Year'!AV86</f>
        <v>28247282.950000007</v>
      </c>
      <c r="C60" s="275">
        <f>data!AV85</f>
        <v>34758848.32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35">
      <c r="A63" s="1" t="s">
        <v>757</v>
      </c>
      <c r="B63" s="275">
        <f>'Prior Year'!AY86</f>
        <v>2933017.89</v>
      </c>
      <c r="C63" s="275">
        <f>data!AY85</f>
        <v>3087770.17</v>
      </c>
      <c r="D63" s="275">
        <f>'Prior Year'!AY60</f>
        <v>195229</v>
      </c>
      <c r="E63" s="1">
        <f>data!AY59</f>
        <v>197802.78</v>
      </c>
      <c r="F63" s="238">
        <f>IF(B63=0,"",IF(D63=0,"",B63/D63))</f>
        <v>15.023474432589421</v>
      </c>
      <c r="G63" s="238">
        <f t="shared" si="5"/>
        <v>15.610347690765519</v>
      </c>
      <c r="H63" s="6" t="str">
        <f>IF(B63=0,"",IF(C63=0,"",IF(D63=0,"",IF(E63=0,"",IF(G63/F63-1&lt;-0.25,G63/F63-1,IF(G63/F63-1&gt;0.25,G63/F63-1,""))))))</f>
        <v/>
      </c>
      <c r="I63" s="275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5">
        <f>'Prior Year'!AZ86</f>
        <v>200441.02000000002</v>
      </c>
      <c r="C64" s="275">
        <f>data!AZ85</f>
        <v>322522.44200000027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5">
        <f>'Prior Year'!BA86</f>
        <v>1462812.27</v>
      </c>
      <c r="C65" s="275">
        <f>data!BA85</f>
        <v>1398177.9100000001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5">
        <f>'Prior Year'!BB86</f>
        <v>0</v>
      </c>
      <c r="C66" s="275">
        <f>data!BB85</f>
        <v>0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35">
      <c r="A67" s="1" t="s">
        <v>761</v>
      </c>
      <c r="B67" s="275">
        <f>'Prior Year'!BC86</f>
        <v>0</v>
      </c>
      <c r="C67" s="275">
        <f>data!BC85</f>
        <v>0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35">
      <c r="A68" s="1" t="s">
        <v>762</v>
      </c>
      <c r="B68" s="275">
        <f>'Prior Year'!BD86</f>
        <v>1905283.2400000002</v>
      </c>
      <c r="C68" s="275">
        <f>data!BD85</f>
        <v>1952985.9499999997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35">
      <c r="A69" s="1" t="s">
        <v>763</v>
      </c>
      <c r="B69" s="275">
        <f>'Prior Year'!BE86</f>
        <v>14278034.039999999</v>
      </c>
      <c r="C69" s="275">
        <f>data!BE85</f>
        <v>14202904.02</v>
      </c>
      <c r="D69" s="275">
        <f>'Prior Year'!BE60</f>
        <v>1108408</v>
      </c>
      <c r="E69" s="1">
        <f>data!BE59</f>
        <v>1070776</v>
      </c>
      <c r="F69" s="238">
        <f>IF(B69=0,"",IF(D69=0,"",B69/D69))</f>
        <v>12.881568916860939</v>
      </c>
      <c r="G69" s="238">
        <f t="shared" si="5"/>
        <v>13.264122486869335</v>
      </c>
      <c r="H69" s="6" t="str">
        <f>IF(B69=0,"",IF(C69=0,"",IF(D69=0,"",IF(E69=0,"",IF(G69/F69-1&lt;-0.25,G69/F69-1,IF(G69/F69-1&gt;0.25,G69/F69-1,""))))))</f>
        <v/>
      </c>
      <c r="I69" s="275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5">
        <f>'Prior Year'!BF86</f>
        <v>5306230.9200000009</v>
      </c>
      <c r="C70" s="275">
        <f>data!BF85</f>
        <v>5022378.6199999992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5">
        <f>'Prior Year'!BG86</f>
        <v>457733.07999999996</v>
      </c>
      <c r="C71" s="275">
        <f>data!BG85</f>
        <v>445944.92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5">
        <f>'Prior Year'!BH86</f>
        <v>12946398.689999999</v>
      </c>
      <c r="C72" s="275">
        <f>data!BH85</f>
        <v>13971298.51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5">
        <f>'Prior Year'!BI86</f>
        <v>4846139.53</v>
      </c>
      <c r="C73" s="275">
        <f>data!BI85</f>
        <v>5140628.9399999995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5">
        <f>'Prior Year'!BJ86</f>
        <v>1395963.2</v>
      </c>
      <c r="C74" s="275">
        <f>data!BJ85</f>
        <v>1251168.6020000002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5">
        <f>'Prior Year'!BK86</f>
        <v>5509609.1799999997</v>
      </c>
      <c r="C75" s="275">
        <f>data!BK85</f>
        <v>10811372.760000002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5">
        <f>'Prior Year'!BL86</f>
        <v>5034232.3900000006</v>
      </c>
      <c r="C76" s="275">
        <f>data!BL85</f>
        <v>4559805.9399999995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5">
        <f>'Prior Year'!BM86</f>
        <v>1901873.16</v>
      </c>
      <c r="C77" s="275">
        <f>data!BM85</f>
        <v>1440692.9000000001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5">
        <f>'Prior Year'!BN86</f>
        <v>17608818.029999997</v>
      </c>
      <c r="C78" s="275">
        <f>data!BN85</f>
        <v>19464260.829999998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5">
        <f>'Prior Year'!BO86</f>
        <v>1573179.9600000002</v>
      </c>
      <c r="C79" s="275">
        <f>data!BO85</f>
        <v>1412048.9299999997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5">
        <f>'Prior Year'!BP86</f>
        <v>587102.69000000006</v>
      </c>
      <c r="C80" s="275">
        <f>data!BP85</f>
        <v>622059.42000000004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5">
        <f>'Prior Year'!BR86</f>
        <v>4867280.4800000004</v>
      </c>
      <c r="C82" s="275">
        <f>data!BR85</f>
        <v>4313568.12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5">
        <f>'Prior Year'!BS86</f>
        <v>124268.91999999998</v>
      </c>
      <c r="C83" s="275">
        <f>data!BS85</f>
        <v>179111.31000000003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5">
        <f>'Prior Year'!BT86</f>
        <v>241080.21999999997</v>
      </c>
      <c r="C84" s="275">
        <f>data!BT85</f>
        <v>270738.50999999995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5">
        <f>'Prior Year'!BV86</f>
        <v>5109312.21</v>
      </c>
      <c r="C86" s="275">
        <f>data!BV85</f>
        <v>4752504.0499999989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5">
        <f>'Prior Year'!BW86</f>
        <v>570865.05000000005</v>
      </c>
      <c r="C87" s="275">
        <f>data!BW85</f>
        <v>569770.39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5">
        <f>'Prior Year'!BX86</f>
        <v>8050810.3799999999</v>
      </c>
      <c r="C88" s="275">
        <f>data!BX85</f>
        <v>7870895.2299999986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5">
        <f>'Prior Year'!BY86</f>
        <v>2535248.5100000002</v>
      </c>
      <c r="C89" s="275">
        <f>data!BY85</f>
        <v>1821102.75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5">
        <f>'Prior Year'!BZ86</f>
        <v>3473172.78</v>
      </c>
      <c r="C90" s="275">
        <f>data!BZ85</f>
        <v>2465649.7799999998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5">
        <f>'Prior Year'!CA86</f>
        <v>31659.010000000002</v>
      </c>
      <c r="C91" s="275">
        <f>data!CA85</f>
        <v>434166.47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377625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5">
        <f>'Prior Year'!CC86</f>
        <v>11562893.99</v>
      </c>
      <c r="C93" s="275">
        <f>data!CC85</f>
        <v>5606044.1400000006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5">
        <f>'Prior Year'!CD86</f>
        <v>9000093.3399999999</v>
      </c>
      <c r="C94" s="275">
        <f>data!CD85</f>
        <v>-26047152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62"/>
  <sheetViews>
    <sheetView workbookViewId="0">
      <selection activeCell="D29" sqref="D29:D61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2" t="s">
        <v>1346</v>
      </c>
    </row>
    <row r="3" spans="1:4" x14ac:dyDescent="0.35">
      <c r="A3" s="11" t="s">
        <v>789</v>
      </c>
    </row>
    <row r="4" spans="1:4" x14ac:dyDescent="0.35">
      <c r="A4" s="330" t="s">
        <v>1344</v>
      </c>
    </row>
    <row r="5" spans="1:4" x14ac:dyDescent="0.35">
      <c r="A5" s="331" t="s">
        <v>1342</v>
      </c>
    </row>
    <row r="6" spans="1:4" x14ac:dyDescent="0.35">
      <c r="A6" s="329"/>
    </row>
    <row r="7" spans="1:4" x14ac:dyDescent="0.35">
      <c r="A7" s="330" t="s">
        <v>1345</v>
      </c>
    </row>
    <row r="8" spans="1:4" x14ac:dyDescent="0.35">
      <c r="A8" s="331" t="s">
        <v>1343</v>
      </c>
    </row>
    <row r="11" spans="1:4" x14ac:dyDescent="0.35">
      <c r="A11" s="13" t="s">
        <v>790</v>
      </c>
      <c r="D11" s="276">
        <f>data!C380</f>
        <v>5491687.8300000001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1380</v>
      </c>
      <c r="D15" s="15">
        <v>63092.35</v>
      </c>
    </row>
    <row r="16" spans="1:4" x14ac:dyDescent="0.35">
      <c r="A16" s="12" t="s">
        <v>1381</v>
      </c>
      <c r="D16" s="15">
        <v>6815.9</v>
      </c>
    </row>
    <row r="17" spans="1:4" x14ac:dyDescent="0.35">
      <c r="A17" s="12" t="s">
        <v>1382</v>
      </c>
      <c r="D17" s="15">
        <v>120617.13</v>
      </c>
    </row>
    <row r="18" spans="1:4" x14ac:dyDescent="0.35">
      <c r="A18" s="12" t="s">
        <v>1383</v>
      </c>
      <c r="D18" s="15">
        <v>1122923</v>
      </c>
    </row>
    <row r="19" spans="1:4" x14ac:dyDescent="0.35">
      <c r="A19" s="12" t="s">
        <v>1384</v>
      </c>
      <c r="D19" s="15">
        <v>49370.71</v>
      </c>
    </row>
    <row r="20" spans="1:4" x14ac:dyDescent="0.35">
      <c r="A20" s="12" t="s">
        <v>1385</v>
      </c>
      <c r="D20" s="15">
        <v>8096.62</v>
      </c>
    </row>
    <row r="21" spans="1:4" x14ac:dyDescent="0.35">
      <c r="A21" s="12" t="s">
        <v>1386</v>
      </c>
      <c r="D21" s="15">
        <v>4120772.12</v>
      </c>
    </row>
    <row r="25" spans="1:4" x14ac:dyDescent="0.35">
      <c r="A25" s="13" t="s">
        <v>794</v>
      </c>
      <c r="D25" s="277">
        <f>data!C414</f>
        <v>11651083.699999999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1387</v>
      </c>
      <c r="D29" s="15">
        <v>1416.52</v>
      </c>
    </row>
    <row r="30" spans="1:4" x14ac:dyDescent="0.35">
      <c r="A30" s="12" t="s">
        <v>1388</v>
      </c>
      <c r="D30" s="15">
        <v>340977.83</v>
      </c>
    </row>
    <row r="31" spans="1:4" x14ac:dyDescent="0.35">
      <c r="A31" s="12" t="s">
        <v>1389</v>
      </c>
      <c r="D31" s="15">
        <v>1115813.6200000001</v>
      </c>
    </row>
    <row r="32" spans="1:4" x14ac:dyDescent="0.35">
      <c r="A32" s="12" t="s">
        <v>1390</v>
      </c>
      <c r="D32" s="15">
        <v>377802.49</v>
      </c>
    </row>
    <row r="33" spans="1:4" x14ac:dyDescent="0.35">
      <c r="A33" s="12" t="s">
        <v>1391</v>
      </c>
      <c r="D33" s="15">
        <v>1345096.43</v>
      </c>
    </row>
    <row r="34" spans="1:4" x14ac:dyDescent="0.35">
      <c r="A34" s="12" t="s">
        <v>1392</v>
      </c>
      <c r="D34" s="15">
        <v>70911.350000000006</v>
      </c>
    </row>
    <row r="35" spans="1:4" x14ac:dyDescent="0.35">
      <c r="A35" s="12" t="s">
        <v>1393</v>
      </c>
      <c r="D35" s="15">
        <f>1236.58-164823.93</f>
        <v>-163587.35</v>
      </c>
    </row>
    <row r="36" spans="1:4" x14ac:dyDescent="0.35">
      <c r="A36" s="12" t="s">
        <v>1394</v>
      </c>
      <c r="D36" s="12">
        <f>150148.46+14.07</f>
        <v>150162.53</v>
      </c>
    </row>
    <row r="37" spans="1:4" x14ac:dyDescent="0.35">
      <c r="A37" s="12" t="s">
        <v>1395</v>
      </c>
      <c r="D37" s="12">
        <v>1977.34</v>
      </c>
    </row>
    <row r="38" spans="1:4" x14ac:dyDescent="0.35">
      <c r="A38" s="12" t="s">
        <v>1396</v>
      </c>
      <c r="D38" s="12">
        <v>50095.71</v>
      </c>
    </row>
    <row r="39" spans="1:4" x14ac:dyDescent="0.35">
      <c r="A39" s="12" t="s">
        <v>1397</v>
      </c>
      <c r="D39" s="12">
        <v>880.22</v>
      </c>
    </row>
    <row r="40" spans="1:4" x14ac:dyDescent="0.35">
      <c r="A40" s="12" t="s">
        <v>1398</v>
      </c>
      <c r="D40" s="12">
        <v>185830</v>
      </c>
    </row>
    <row r="41" spans="1:4" x14ac:dyDescent="0.35">
      <c r="A41" s="12" t="s">
        <v>1399</v>
      </c>
      <c r="D41" s="12">
        <v>49231.17</v>
      </c>
    </row>
    <row r="42" spans="1:4" x14ac:dyDescent="0.35">
      <c r="A42" s="12" t="s">
        <v>1400</v>
      </c>
      <c r="D42" s="12">
        <v>197832.79</v>
      </c>
    </row>
    <row r="43" spans="1:4" x14ac:dyDescent="0.35">
      <c r="A43" s="12" t="s">
        <v>1401</v>
      </c>
      <c r="D43" s="12">
        <v>41969.94</v>
      </c>
    </row>
    <row r="44" spans="1:4" x14ac:dyDescent="0.35">
      <c r="A44" s="12" t="s">
        <v>1402</v>
      </c>
      <c r="D44" s="12">
        <v>485219.15</v>
      </c>
    </row>
    <row r="45" spans="1:4" x14ac:dyDescent="0.35">
      <c r="A45" s="12" t="s">
        <v>1403</v>
      </c>
      <c r="D45" s="12">
        <v>1524249.82</v>
      </c>
    </row>
    <row r="46" spans="1:4" x14ac:dyDescent="0.35">
      <c r="A46" s="12" t="s">
        <v>1404</v>
      </c>
      <c r="D46" s="12">
        <v>105000</v>
      </c>
    </row>
    <row r="47" spans="1:4" x14ac:dyDescent="0.35">
      <c r="A47" s="12" t="s">
        <v>1405</v>
      </c>
      <c r="D47" s="12">
        <v>1080</v>
      </c>
    </row>
    <row r="48" spans="1:4" x14ac:dyDescent="0.35">
      <c r="A48" s="12" t="s">
        <v>1406</v>
      </c>
      <c r="D48" s="12">
        <v>2885596.31</v>
      </c>
    </row>
    <row r="49" spans="1:4" x14ac:dyDescent="0.35">
      <c r="A49" s="12" t="s">
        <v>1407</v>
      </c>
      <c r="D49" s="12">
        <v>186453.15</v>
      </c>
    </row>
    <row r="50" spans="1:4" x14ac:dyDescent="0.35">
      <c r="A50" s="12" t="s">
        <v>1408</v>
      </c>
      <c r="D50" s="12">
        <v>975340.25</v>
      </c>
    </row>
    <row r="51" spans="1:4" x14ac:dyDescent="0.35">
      <c r="A51" s="12" t="s">
        <v>1409</v>
      </c>
      <c r="D51" s="12">
        <v>65456.44</v>
      </c>
    </row>
    <row r="52" spans="1:4" x14ac:dyDescent="0.35">
      <c r="A52" s="12" t="s">
        <v>1410</v>
      </c>
      <c r="D52" s="12">
        <v>833545.82</v>
      </c>
    </row>
    <row r="53" spans="1:4" x14ac:dyDescent="0.35">
      <c r="A53" s="12" t="s">
        <v>1411</v>
      </c>
      <c r="D53" s="12">
        <v>754225</v>
      </c>
    </row>
    <row r="54" spans="1:4" x14ac:dyDescent="0.35">
      <c r="A54" s="12" t="s">
        <v>1412</v>
      </c>
      <c r="D54" s="12">
        <v>34.86</v>
      </c>
    </row>
    <row r="55" spans="1:4" x14ac:dyDescent="0.35">
      <c r="A55" s="12" t="s">
        <v>1413</v>
      </c>
      <c r="D55" s="12">
        <v>22777.63</v>
      </c>
    </row>
    <row r="56" spans="1:4" x14ac:dyDescent="0.35">
      <c r="A56" s="12" t="s">
        <v>1414</v>
      </c>
      <c r="D56" s="12">
        <v>248.18</v>
      </c>
    </row>
    <row r="57" spans="1:4" x14ac:dyDescent="0.35">
      <c r="A57" s="12" t="s">
        <v>1415</v>
      </c>
      <c r="D57" s="12">
        <v>22832.05</v>
      </c>
    </row>
    <row r="58" spans="1:4" x14ac:dyDescent="0.35">
      <c r="A58" s="12" t="s">
        <v>1416</v>
      </c>
      <c r="D58" s="12">
        <v>952.09</v>
      </c>
    </row>
    <row r="59" spans="1:4" x14ac:dyDescent="0.35">
      <c r="A59" s="12" t="s">
        <v>1417</v>
      </c>
      <c r="D59" s="12">
        <v>7334.28</v>
      </c>
    </row>
    <row r="60" spans="1:4" x14ac:dyDescent="0.35">
      <c r="A60" s="12" t="s">
        <v>1418</v>
      </c>
      <c r="D60" s="12">
        <v>12444.32</v>
      </c>
    </row>
    <row r="61" spans="1:4" x14ac:dyDescent="0.35">
      <c r="A61" s="12" t="s">
        <v>1419</v>
      </c>
      <c r="D61" s="12">
        <v>1853.32</v>
      </c>
    </row>
    <row r="62" spans="1:4" x14ac:dyDescent="0.35">
      <c r="A62" s="12" t="s">
        <v>1420</v>
      </c>
      <c r="D62" s="12">
        <v>30.44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795</v>
      </c>
    </row>
    <row r="2" spans="1:7" ht="20.149999999999999" customHeight="1" x14ac:dyDescent="0.35">
      <c r="A2" s="76" t="s">
        <v>796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H-58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YAKIMA VALLEY MEMORIAL 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98902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797</v>
      </c>
      <c r="C7" s="81"/>
      <c r="D7" s="78" t="str">
        <f>"  "&amp;data!C103</f>
        <v xml:space="preserve">  YAKIMA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798</v>
      </c>
      <c r="C8" s="81"/>
      <c r="D8" s="78" t="str">
        <f>"  "&amp;data!C104</f>
        <v xml:space="preserve">  TAMMY BUYOK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799</v>
      </c>
      <c r="C9" s="81"/>
      <c r="D9" s="78" t="str">
        <f>"  "&amp;data!C105</f>
        <v xml:space="preserve">  JASON MITCHELL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800</v>
      </c>
      <c r="C10" s="81"/>
      <c r="D10" s="78" t="str">
        <f>"  "&amp;data!C107</f>
        <v xml:space="preserve">  (509) 575-8000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801</v>
      </c>
      <c r="C11" s="81"/>
      <c r="D11" s="78" t="str">
        <f>"  "&amp;data!C108</f>
        <v xml:space="preserve">  (509) 575-8863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802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803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 xml:space="preserve"> X</v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804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805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806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807</v>
      </c>
      <c r="C23" s="78"/>
      <c r="D23" s="78"/>
      <c r="E23" s="78"/>
      <c r="F23" s="77">
        <f>data!C127</f>
        <v>121477</v>
      </c>
      <c r="G23" s="81">
        <f>data!D127</f>
        <v>59260</v>
      </c>
    </row>
    <row r="24" spans="1:7" ht="20.149999999999999" customHeight="1" x14ac:dyDescent="0.35">
      <c r="A24" s="77"/>
      <c r="B24" s="78" t="s">
        <v>808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809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2416</v>
      </c>
      <c r="G26" s="81">
        <f>data!D130</f>
        <v>3466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810</v>
      </c>
      <c r="C29" s="81"/>
      <c r="D29" s="93" t="s">
        <v>179</v>
      </c>
      <c r="E29" s="97" t="s">
        <v>810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18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811</v>
      </c>
      <c r="C31" s="81"/>
      <c r="D31" s="81">
        <f>data!C133</f>
        <v>20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812</v>
      </c>
      <c r="C32" s="81"/>
      <c r="D32" s="81">
        <f>data!C134</f>
        <v>122</v>
      </c>
      <c r="E32" s="78" t="s">
        <v>813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814</v>
      </c>
      <c r="C33" s="81"/>
      <c r="D33" s="81">
        <f>data!C135</f>
        <v>16</v>
      </c>
      <c r="E33" s="78" t="s">
        <v>815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816</v>
      </c>
      <c r="C34" s="81"/>
      <c r="D34" s="81">
        <f>data!C136</f>
        <v>32</v>
      </c>
      <c r="E34" s="78" t="s">
        <v>324</v>
      </c>
      <c r="F34" s="81"/>
      <c r="G34" s="81">
        <f>data!E143</f>
        <v>226</v>
      </c>
    </row>
    <row r="35" spans="1:7" ht="20.149999999999999" customHeight="1" x14ac:dyDescent="0.35">
      <c r="A35" s="77"/>
      <c r="B35" s="97" t="s">
        <v>817</v>
      </c>
      <c r="C35" s="81"/>
      <c r="D35" s="81">
        <f>data!C137</f>
        <v>0</v>
      </c>
      <c r="E35" s="78" t="s">
        <v>818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18</v>
      </c>
      <c r="E36" s="78" t="s">
        <v>325</v>
      </c>
      <c r="F36" s="81"/>
      <c r="G36" s="81">
        <f>data!C144</f>
        <v>226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32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819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820</v>
      </c>
      <c r="G1" s="75" t="s">
        <v>821</v>
      </c>
    </row>
    <row r="2" spans="1:7" ht="20.149999999999999" customHeight="1" x14ac:dyDescent="0.35">
      <c r="A2" s="1" t="str">
        <f>"Hospital: "&amp;data!C98</f>
        <v xml:space="preserve">Hospital: YAKIMA VALLEY MEMORIAL </v>
      </c>
      <c r="G2" s="4" t="s">
        <v>822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823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824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825</v>
      </c>
      <c r="B6" s="93" t="s">
        <v>309</v>
      </c>
      <c r="C6" s="93" t="s">
        <v>826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4714</v>
      </c>
      <c r="C7" s="141">
        <f>data!B155</f>
        <v>30137</v>
      </c>
      <c r="D7" s="141">
        <f>data!B156</f>
        <v>148225</v>
      </c>
      <c r="E7" s="141">
        <f>data!B157</f>
        <v>280831247</v>
      </c>
      <c r="F7" s="141">
        <f>data!B158</f>
        <v>540379493</v>
      </c>
      <c r="G7" s="141">
        <f>data!B157+data!B158</f>
        <v>821210740</v>
      </c>
    </row>
    <row r="8" spans="1:7" ht="20.149999999999999" customHeight="1" x14ac:dyDescent="0.35">
      <c r="A8" s="77" t="s">
        <v>331</v>
      </c>
      <c r="B8" s="141">
        <f>data!C154</f>
        <v>5242</v>
      </c>
      <c r="C8" s="141">
        <f>data!C155</f>
        <v>17919</v>
      </c>
      <c r="D8" s="141">
        <f>data!C156</f>
        <v>77622</v>
      </c>
      <c r="E8" s="141">
        <f>data!C157</f>
        <v>149026460</v>
      </c>
      <c r="F8" s="141">
        <f>data!C158</f>
        <v>282753298</v>
      </c>
      <c r="G8" s="141">
        <f>data!C157+data!C158</f>
        <v>431779758</v>
      </c>
    </row>
    <row r="9" spans="1:7" ht="20.149999999999999" customHeight="1" x14ac:dyDescent="0.35">
      <c r="A9" s="77" t="s">
        <v>827</v>
      </c>
      <c r="B9" s="141">
        <f>data!D154</f>
        <v>2521</v>
      </c>
      <c r="C9" s="141">
        <f>data!D155</f>
        <v>11204</v>
      </c>
      <c r="D9" s="141">
        <f>data!D156</f>
        <v>98051</v>
      </c>
      <c r="E9" s="141">
        <f>data!D157</f>
        <v>102689952</v>
      </c>
      <c r="F9" s="141">
        <f>data!D158</f>
        <v>357493924</v>
      </c>
      <c r="G9" s="141">
        <f>data!D157+data!D158</f>
        <v>460183876</v>
      </c>
    </row>
    <row r="10" spans="1:7" ht="20.149999999999999" customHeight="1" x14ac:dyDescent="0.35">
      <c r="A10" s="92" t="s">
        <v>215</v>
      </c>
      <c r="B10" s="141">
        <f>data!E154</f>
        <v>12477</v>
      </c>
      <c r="C10" s="141">
        <f>data!E155</f>
        <v>59260</v>
      </c>
      <c r="D10" s="141">
        <f>data!E156</f>
        <v>323898</v>
      </c>
      <c r="E10" s="141">
        <f>data!E157</f>
        <v>532547659</v>
      </c>
      <c r="F10" s="141">
        <f>data!E158</f>
        <v>1180626715</v>
      </c>
      <c r="G10" s="141">
        <f>E10+F10</f>
        <v>1713174374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828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824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825</v>
      </c>
      <c r="B15" s="93" t="s">
        <v>309</v>
      </c>
      <c r="C15" s="93" t="s">
        <v>826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827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829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824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825</v>
      </c>
      <c r="B24" s="93" t="s">
        <v>309</v>
      </c>
      <c r="C24" s="93" t="s">
        <v>826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827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830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831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832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833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 xml:space="preserve">Hospital: YAKIMA VALLEY MEMORIAL 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834</v>
      </c>
      <c r="C6" s="77">
        <f>data!C181</f>
        <v>15635663.300000001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-1647095.03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4300577.08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13460090.65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917346.28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12757099.060000001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6988529.5899999999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835</v>
      </c>
      <c r="C14" s="77">
        <f>data!D189</f>
        <v>52412210.930000007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836</v>
      </c>
      <c r="C18" s="77">
        <f>data!C191</f>
        <v>6206314.4699999997</v>
      </c>
    </row>
    <row r="19" spans="1:3" ht="20.149999999999999" customHeight="1" x14ac:dyDescent="0.35">
      <c r="A19" s="77">
        <v>13</v>
      </c>
      <c r="B19" s="78" t="s">
        <v>837</v>
      </c>
      <c r="C19" s="77">
        <f>data!C192</f>
        <v>2114724.36</v>
      </c>
    </row>
    <row r="20" spans="1:3" ht="20.149999999999999" customHeight="1" x14ac:dyDescent="0.35">
      <c r="A20" s="77">
        <v>14</v>
      </c>
      <c r="B20" s="78" t="s">
        <v>838</v>
      </c>
      <c r="C20" s="77">
        <f>data!D193</f>
        <v>8321038.8300000001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839</v>
      </c>
      <c r="C24" s="162"/>
    </row>
    <row r="25" spans="1:3" ht="20.149999999999999" customHeight="1" x14ac:dyDescent="0.35">
      <c r="A25" s="77">
        <v>17</v>
      </c>
      <c r="B25" s="78" t="s">
        <v>840</v>
      </c>
      <c r="C25" s="77">
        <f>data!C195</f>
        <v>3752434.77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487755</v>
      </c>
    </row>
    <row r="27" spans="1:3" ht="20.149999999999999" customHeight="1" x14ac:dyDescent="0.35">
      <c r="A27" s="77">
        <v>19</v>
      </c>
      <c r="B27" s="78" t="s">
        <v>841</v>
      </c>
      <c r="C27" s="77">
        <f>data!D197</f>
        <v>4240189.7699999996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842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180121.60000000001</v>
      </c>
    </row>
    <row r="32" spans="1:3" ht="20.149999999999999" customHeight="1" x14ac:dyDescent="0.35">
      <c r="A32" s="77">
        <v>22</v>
      </c>
      <c r="B32" s="78" t="s">
        <v>843</v>
      </c>
      <c r="C32" s="77">
        <f>data!C200</f>
        <v>543912.47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11939452.859999999</v>
      </c>
    </row>
    <row r="34" spans="1:3" ht="20.149999999999999" customHeight="1" x14ac:dyDescent="0.35">
      <c r="A34" s="77">
        <v>24</v>
      </c>
      <c r="B34" s="78" t="s">
        <v>844</v>
      </c>
      <c r="C34" s="77">
        <f>data!D202</f>
        <v>12663486.93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845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1835767.87</v>
      </c>
    </row>
    <row r="40" spans="1:3" ht="20.149999999999999" customHeight="1" x14ac:dyDescent="0.35">
      <c r="A40" s="77">
        <v>28</v>
      </c>
      <c r="B40" s="78" t="s">
        <v>846</v>
      </c>
      <c r="C40" s="77">
        <f>data!D206</f>
        <v>1835767.87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B4" workbookViewId="0">
      <selection activeCell="F15" sqref="F15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847</v>
      </c>
    </row>
    <row r="3" spans="1:6" ht="20.149999999999999" customHeight="1" x14ac:dyDescent="0.35">
      <c r="A3" s="134" t="str">
        <f>"Hospital: "&amp;data!C98</f>
        <v xml:space="preserve">Hospital: YAKIMA VALLEY MEMORIAL 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848</v>
      </c>
      <c r="D5" s="165"/>
      <c r="E5" s="165"/>
      <c r="F5" s="165" t="s">
        <v>849</v>
      </c>
    </row>
    <row r="6" spans="1:6" ht="20.149999999999999" customHeight="1" x14ac:dyDescent="0.35">
      <c r="A6" s="166"/>
      <c r="B6" s="84"/>
      <c r="C6" s="167" t="s">
        <v>850</v>
      </c>
      <c r="D6" s="167" t="s">
        <v>363</v>
      </c>
      <c r="E6" s="167" t="s">
        <v>851</v>
      </c>
      <c r="F6" s="167" t="s">
        <v>850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12015018.42</v>
      </c>
      <c r="D7" s="81">
        <f>data!C211</f>
        <v>115847.75</v>
      </c>
      <c r="E7" s="81">
        <f>data!D211</f>
        <v>0</v>
      </c>
      <c r="F7" s="81">
        <f>data!E211</f>
        <v>12130866.17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2770750.64</v>
      </c>
      <c r="D8" s="81">
        <f>data!C212</f>
        <v>0</v>
      </c>
      <c r="E8" s="81">
        <f>data!D212</f>
        <v>0</v>
      </c>
      <c r="F8" s="81">
        <f>data!E212</f>
        <v>2770750.64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97710886.329999998</v>
      </c>
      <c r="D9" s="81">
        <f>data!C213</f>
        <v>11429877.029999999</v>
      </c>
      <c r="E9" s="81">
        <f>data!D213</f>
        <v>0</v>
      </c>
      <c r="F9" s="81">
        <f>data!E213</f>
        <v>109140763.36</v>
      </c>
    </row>
    <row r="10" spans="1:6" ht="20.149999999999999" customHeight="1" x14ac:dyDescent="0.35">
      <c r="A10" s="77">
        <v>4</v>
      </c>
      <c r="B10" s="81" t="s">
        <v>852</v>
      </c>
      <c r="C10" s="81">
        <f>data!B214</f>
        <v>72100843.040000007</v>
      </c>
      <c r="D10" s="81">
        <f>data!C214</f>
        <v>320408.83</v>
      </c>
      <c r="E10" s="81">
        <f>data!D214</f>
        <v>0</v>
      </c>
      <c r="F10" s="81">
        <f>data!E214</f>
        <v>72421251.870000005</v>
      </c>
    </row>
    <row r="11" spans="1:6" ht="20.149999999999999" customHeight="1" x14ac:dyDescent="0.35">
      <c r="A11" s="77">
        <v>5</v>
      </c>
      <c r="B11" s="81" t="s">
        <v>853</v>
      </c>
      <c r="C11" s="81">
        <f>data!B215</f>
        <v>0</v>
      </c>
      <c r="D11" s="81">
        <f>data!C215</f>
        <v>0</v>
      </c>
      <c r="E11" s="81">
        <f>data!D215</f>
        <v>0</v>
      </c>
      <c r="F11" s="81">
        <f>data!E215</f>
        <v>0</v>
      </c>
    </row>
    <row r="12" spans="1:6" ht="20.149999999999999" customHeight="1" x14ac:dyDescent="0.35">
      <c r="A12" s="77">
        <v>6</v>
      </c>
      <c r="B12" s="81" t="s">
        <v>854</v>
      </c>
      <c r="C12" s="81">
        <f>data!B216</f>
        <v>101902251.39</v>
      </c>
      <c r="D12" s="81">
        <f>data!C216</f>
        <v>3881473.39</v>
      </c>
      <c r="E12" s="81">
        <f>data!D216</f>
        <v>2476971.42</v>
      </c>
      <c r="F12" s="81">
        <f>data!E216</f>
        <v>103306753.36</v>
      </c>
    </row>
    <row r="13" spans="1:6" ht="20.149999999999999" customHeight="1" x14ac:dyDescent="0.35">
      <c r="A13" s="77">
        <v>7</v>
      </c>
      <c r="B13" s="81" t="s">
        <v>855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6785018.1100000003</v>
      </c>
      <c r="D14" s="81">
        <f>data!C218</f>
        <v>0</v>
      </c>
      <c r="E14" s="81">
        <f>data!D218</f>
        <v>0</v>
      </c>
      <c r="F14" s="81">
        <f>data!E218</f>
        <v>6785018.1100000003</v>
      </c>
    </row>
    <row r="15" spans="1:6" ht="20.149999999999999" customHeight="1" x14ac:dyDescent="0.35">
      <c r="A15" s="77">
        <v>9</v>
      </c>
      <c r="B15" s="81" t="s">
        <v>856</v>
      </c>
      <c r="C15" s="81">
        <f>data!B219</f>
        <v>20116992.484000001</v>
      </c>
      <c r="D15" s="81">
        <f>data!C219</f>
        <v>-5711092.6899999995</v>
      </c>
      <c r="E15" s="81">
        <f>data!D219</f>
        <v>0</v>
      </c>
      <c r="F15" s="81">
        <f>data!E219</f>
        <v>14405899.794000002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313401760.41400003</v>
      </c>
      <c r="D16" s="81">
        <f>data!C220</f>
        <v>10036514.310000001</v>
      </c>
      <c r="E16" s="81">
        <f>data!D220</f>
        <v>2476971.42</v>
      </c>
      <c r="F16" s="81">
        <f>data!E220</f>
        <v>320961303.30400008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848</v>
      </c>
      <c r="D21" s="4" t="s">
        <v>215</v>
      </c>
      <c r="E21" s="167"/>
      <c r="F21" s="167" t="s">
        <v>849</v>
      </c>
    </row>
    <row r="22" spans="1:6" ht="20.149999999999999" customHeight="1" x14ac:dyDescent="0.35">
      <c r="A22" s="168"/>
      <c r="B22" s="160"/>
      <c r="C22" s="167" t="s">
        <v>850</v>
      </c>
      <c r="D22" s="167" t="s">
        <v>857</v>
      </c>
      <c r="E22" s="167" t="s">
        <v>851</v>
      </c>
      <c r="F22" s="167" t="s">
        <v>850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1755505.6500000001</v>
      </c>
      <c r="D24" s="81">
        <f>data!C225</f>
        <v>112262.63</v>
      </c>
      <c r="E24" s="81">
        <f>data!D225</f>
        <v>0</v>
      </c>
      <c r="F24" s="81">
        <f>data!E225</f>
        <v>1867768.2800000003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22371622.109999999</v>
      </c>
      <c r="D25" s="81">
        <f>data!C226</f>
        <v>4221257.08</v>
      </c>
      <c r="E25" s="81">
        <f>data!D226</f>
        <v>0</v>
      </c>
      <c r="F25" s="81">
        <f>data!E226</f>
        <v>26592879.189999998</v>
      </c>
    </row>
    <row r="26" spans="1:6" ht="20.149999999999999" customHeight="1" x14ac:dyDescent="0.35">
      <c r="A26" s="77">
        <v>14</v>
      </c>
      <c r="B26" s="81" t="s">
        <v>852</v>
      </c>
      <c r="C26" s="81">
        <f>data!B227</f>
        <v>26861962.660000004</v>
      </c>
      <c r="D26" s="81">
        <f>data!C227</f>
        <v>4652674.9300000006</v>
      </c>
      <c r="E26" s="81">
        <f>data!D227</f>
        <v>0</v>
      </c>
      <c r="F26" s="81">
        <f>data!E227</f>
        <v>31514637.590000004</v>
      </c>
    </row>
    <row r="27" spans="1:6" ht="20.149999999999999" customHeight="1" x14ac:dyDescent="0.35">
      <c r="A27" s="77">
        <v>15</v>
      </c>
      <c r="B27" s="81" t="s">
        <v>853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spans="1:6" ht="20.149999999999999" customHeight="1" x14ac:dyDescent="0.35">
      <c r="A28" s="77">
        <v>16</v>
      </c>
      <c r="B28" s="81" t="s">
        <v>854</v>
      </c>
      <c r="C28" s="81">
        <f>data!B229</f>
        <v>63745128.739999995</v>
      </c>
      <c r="D28" s="81">
        <f>data!C229</f>
        <v>9934662.5800000001</v>
      </c>
      <c r="E28" s="81">
        <f>data!D229</f>
        <v>2126434.15</v>
      </c>
      <c r="F28" s="81">
        <f>data!E229</f>
        <v>71553357.169999987</v>
      </c>
    </row>
    <row r="29" spans="1:6" ht="20.149999999999999" customHeight="1" x14ac:dyDescent="0.35">
      <c r="A29" s="77">
        <v>17</v>
      </c>
      <c r="B29" s="81" t="s">
        <v>855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3193197.0199999996</v>
      </c>
      <c r="D30" s="81">
        <f>data!C231</f>
        <v>448481.09</v>
      </c>
      <c r="E30" s="81">
        <f>data!D231</f>
        <v>0</v>
      </c>
      <c r="F30" s="81">
        <f>data!E231</f>
        <v>3641678.1099999994</v>
      </c>
    </row>
    <row r="31" spans="1:6" ht="20.149999999999999" customHeight="1" x14ac:dyDescent="0.35">
      <c r="A31" s="77">
        <v>19</v>
      </c>
      <c r="B31" s="81" t="s">
        <v>856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117927416.17999999</v>
      </c>
      <c r="D32" s="81">
        <f>data!C233</f>
        <v>19369338.309999999</v>
      </c>
      <c r="E32" s="81">
        <f>data!D233</f>
        <v>2126434.15</v>
      </c>
      <c r="F32" s="81">
        <f>data!E233</f>
        <v>135170320.33999997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858</v>
      </c>
      <c r="B1" s="76"/>
      <c r="C1" s="76"/>
      <c r="D1" s="75" t="s">
        <v>859</v>
      </c>
    </row>
    <row r="2" spans="1:4" ht="20.149999999999999" customHeight="1" x14ac:dyDescent="0.35">
      <c r="A2" s="134" t="str">
        <f>"Hospital: "&amp;data!C98</f>
        <v xml:space="preserve">Hospital: YAKIMA VALLEY MEMORIAL 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860</v>
      </c>
      <c r="C4" s="170" t="s">
        <v>861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4006877.91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605581096.99000001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339126417.65000004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12311135.199999999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0</v>
      </c>
    </row>
    <row r="11" spans="1:4" ht="20.149999999999999" customHeight="1" x14ac:dyDescent="0.35">
      <c r="A11" s="77">
        <v>7</v>
      </c>
      <c r="B11" s="172">
        <v>5850</v>
      </c>
      <c r="C11" s="81" t="s">
        <v>862</v>
      </c>
      <c r="D11" s="81">
        <f>data!C243</f>
        <v>209369993.65999997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0</v>
      </c>
    </row>
    <row r="13" spans="1:4" ht="20.149999999999999" customHeight="1" x14ac:dyDescent="0.35">
      <c r="A13" s="77">
        <v>9</v>
      </c>
      <c r="B13" s="81"/>
      <c r="C13" s="81" t="s">
        <v>863</v>
      </c>
      <c r="D13" s="81">
        <f>data!D245</f>
        <v>1166388643.5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864</v>
      </c>
      <c r="D16" s="77">
        <f>data!C247</f>
        <v>0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0</v>
      </c>
    </row>
    <row r="19" spans="1:4" ht="20.149999999999999" customHeight="1" x14ac:dyDescent="0.35">
      <c r="A19" s="175">
        <v>15</v>
      </c>
      <c r="B19" s="172">
        <v>5910</v>
      </c>
      <c r="C19" s="94" t="s">
        <v>865</v>
      </c>
      <c r="D19" s="81">
        <f>data!C250</f>
        <v>34946591.940000005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866</v>
      </c>
      <c r="D22" s="81">
        <f>data!D252</f>
        <v>34946591.940000005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12335763.15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867</v>
      </c>
      <c r="D26" s="81">
        <f>data!C255</f>
        <v>-342441.12</v>
      </c>
    </row>
    <row r="27" spans="1:4" ht="20.149999999999999" customHeight="1" x14ac:dyDescent="0.35">
      <c r="A27" s="158">
        <v>23</v>
      </c>
      <c r="B27" s="177" t="s">
        <v>868</v>
      </c>
      <c r="C27" s="93"/>
      <c r="D27" s="81">
        <f>data!D256</f>
        <v>11993322.030000001</v>
      </c>
    </row>
    <row r="28" spans="1:4" ht="20.149999999999999" customHeight="1" x14ac:dyDescent="0.35">
      <c r="A28" s="86">
        <v>24</v>
      </c>
      <c r="B28" s="152" t="s">
        <v>869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2023-05-25T15:39:23Z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