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BEDA7418-9943-4033-830F-C530D12316E2}" xr6:coauthVersionLast="47" xr6:coauthVersionMax="47" xr10:uidLastSave="{00000000-0000-0000-0000-000000000000}"/>
  <workbookProtection workbookAlgorithmName="SHA-512" workbookHashValue="CuXGucXcScseEsOMYlTADh4vVOcBVRCTHx3H19khF4aCqgkCFCdZJM5eKkz3tjXpsh/DGRgu/oc75CPpquNF0Q==" workbookSaltValue="XRB+w6dxnhkImCNqtd6e1A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7" i="6"/>
  <c r="D8" i="6"/>
  <c r="D9" i="6"/>
  <c r="D10" i="6"/>
  <c r="D11" i="6"/>
  <c r="D12" i="6"/>
  <c r="D13" i="6"/>
  <c r="D14" i="6"/>
  <c r="D15" i="6"/>
  <c r="D16" i="6"/>
  <c r="D7" i="6"/>
  <c r="C393" i="24"/>
  <c r="CE90" i="24" l="1"/>
  <c r="CF90" i="24" s="1"/>
  <c r="C53" i="25"/>
  <c r="AY59" i="24"/>
  <c r="AU88" i="24"/>
  <c r="AU59" i="24"/>
  <c r="H69" i="24" l="1"/>
  <c r="H87" i="24"/>
  <c r="D276" i="24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C16" i="8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88" i="24"/>
  <c r="I377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O7" i="3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E10" i="4" l="1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G268" i="32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G236" i="32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D44" i="32" s="1"/>
  <c r="S48" i="24"/>
  <c r="S62" i="24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31" i="31"/>
  <c r="AE23" i="31"/>
  <c r="J612" i="24"/>
  <c r="C83" i="32"/>
  <c r="H186" i="32"/>
  <c r="C58" i="32"/>
  <c r="D90" i="32"/>
  <c r="AE33" i="31"/>
  <c r="E90" i="32"/>
  <c r="E122" i="32"/>
  <c r="F122" i="32"/>
  <c r="H39" i="31"/>
  <c r="H71" i="31"/>
  <c r="H18" i="31"/>
  <c r="E76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D612" i="24"/>
  <c r="H10" i="31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E414" i="24" l="1"/>
  <c r="G76" i="32"/>
  <c r="I12" i="32"/>
  <c r="I76" i="32"/>
  <c r="CB52" i="24"/>
  <c r="CB67" i="24" s="1"/>
  <c r="C369" i="32" s="1"/>
  <c r="AY52" i="24"/>
  <c r="AY67" i="24" s="1"/>
  <c r="AY85" i="24" s="1"/>
  <c r="AU52" i="24"/>
  <c r="AV52" i="24"/>
  <c r="AV67" i="24" s="1"/>
  <c r="F209" i="32" s="1"/>
  <c r="D204" i="32"/>
  <c r="E236" i="32"/>
  <c r="H17" i="31"/>
  <c r="H12" i="32"/>
  <c r="C236" i="32"/>
  <c r="G332" i="32"/>
  <c r="C44" i="32"/>
  <c r="E332" i="32"/>
  <c r="H62" i="31"/>
  <c r="I172" i="32"/>
  <c r="D332" i="32"/>
  <c r="F300" i="32"/>
  <c r="G204" i="32"/>
  <c r="H23" i="31"/>
  <c r="D300" i="32"/>
  <c r="H24" i="32"/>
  <c r="H89" i="24"/>
  <c r="AF7" i="31"/>
  <c r="CE87" i="24"/>
  <c r="I376" i="32" s="1"/>
  <c r="H37" i="31"/>
  <c r="H65" i="31"/>
  <c r="H268" i="32"/>
  <c r="H55" i="31"/>
  <c r="H140" i="32"/>
  <c r="F44" i="32"/>
  <c r="E12" i="32"/>
  <c r="C12" i="32"/>
  <c r="AL86" i="25"/>
  <c r="H86" i="25"/>
  <c r="B20" i="15" s="1"/>
  <c r="AT86" i="25"/>
  <c r="B58" i="15" s="1"/>
  <c r="U86" i="25"/>
  <c r="C687" i="25" s="1"/>
  <c r="AU86" i="25"/>
  <c r="C713" i="25" s="1"/>
  <c r="R86" i="25"/>
  <c r="B30" i="15" s="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L53" i="25"/>
  <c r="AL68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M53" i="25"/>
  <c r="BM68" i="25" s="1"/>
  <c r="BM86" i="25" s="1"/>
  <c r="Y53" i="25"/>
  <c r="Y68" i="25" s="1"/>
  <c r="Y86" i="25" s="1"/>
  <c r="CB53" i="25"/>
  <c r="CB68" i="25" s="1"/>
  <c r="CB86" i="25" s="1"/>
  <c r="AN53" i="25"/>
  <c r="AN68" i="25" s="1"/>
  <c r="AN86" i="25" s="1"/>
  <c r="H53" i="25"/>
  <c r="H68" i="25" s="1"/>
  <c r="BS53" i="25"/>
  <c r="BS68" i="25" s="1"/>
  <c r="BS86" i="25" s="1"/>
  <c r="AM53" i="25"/>
  <c r="AM68" i="25" s="1"/>
  <c r="AM86" i="25" s="1"/>
  <c r="O53" i="25"/>
  <c r="O68" i="25" s="1"/>
  <c r="O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C711" i="25" s="1"/>
  <c r="AK53" i="25"/>
  <c r="AK68" i="25" s="1"/>
  <c r="AK86" i="25" s="1"/>
  <c r="AC53" i="25"/>
  <c r="AC68" i="25" s="1"/>
  <c r="AC86" i="25" s="1"/>
  <c r="U53" i="25"/>
  <c r="U68" i="25" s="1"/>
  <c r="M53" i="25"/>
  <c r="M68" i="25" s="1"/>
  <c r="M86" i="25" s="1"/>
  <c r="E53" i="25"/>
  <c r="E68" i="25" s="1"/>
  <c r="E86" i="25" s="1"/>
  <c r="C671" i="25" s="1"/>
  <c r="CC53" i="25"/>
  <c r="CC68" i="25" s="1"/>
  <c r="CC86" i="25" s="1"/>
  <c r="AW53" i="25"/>
  <c r="AW68" i="25" s="1"/>
  <c r="AW86" i="25" s="1"/>
  <c r="AG53" i="25"/>
  <c r="AG68" i="25" s="1"/>
  <c r="AG86" i="25" s="1"/>
  <c r="I53" i="25"/>
  <c r="I68" i="25" s="1"/>
  <c r="I86" i="25" s="1"/>
  <c r="BT53" i="25"/>
  <c r="BT68" i="25" s="1"/>
  <c r="BT86" i="25" s="1"/>
  <c r="BD53" i="25"/>
  <c r="BD68" i="25" s="1"/>
  <c r="BD86" i="25" s="1"/>
  <c r="X53" i="25"/>
  <c r="X68" i="25" s="1"/>
  <c r="X86" i="25" s="1"/>
  <c r="BX53" i="25"/>
  <c r="BX68" i="25" s="1"/>
  <c r="BX86" i="25" s="1"/>
  <c r="C645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C710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U53" i="25"/>
  <c r="BU68" i="25" s="1"/>
  <c r="BU86" i="25" s="1"/>
  <c r="AO53" i="25"/>
  <c r="AO68" i="25" s="1"/>
  <c r="AO86" i="25" s="1"/>
  <c r="Q53" i="25"/>
  <c r="Q68" i="25" s="1"/>
  <c r="Q86" i="25" s="1"/>
  <c r="C683" i="25" s="1"/>
  <c r="BL53" i="25"/>
  <c r="BL68" i="25" s="1"/>
  <c r="BL86" i="25" s="1"/>
  <c r="AV53" i="25"/>
  <c r="AV68" i="25" s="1"/>
  <c r="AV86" i="25" s="1"/>
  <c r="P53" i="25"/>
  <c r="P68" i="25" s="1"/>
  <c r="P86" i="25" s="1"/>
  <c r="CA53" i="25"/>
  <c r="CA68" i="25" s="1"/>
  <c r="CA86" i="25" s="1"/>
  <c r="BK53" i="25"/>
  <c r="BK68" i="25" s="1"/>
  <c r="BK86" i="25" s="1"/>
  <c r="BC53" i="25"/>
  <c r="BC68" i="25" s="1"/>
  <c r="BC86" i="25" s="1"/>
  <c r="AU53" i="25"/>
  <c r="AU68" i="25" s="1"/>
  <c r="AE53" i="25"/>
  <c r="AE68" i="25" s="1"/>
  <c r="AE86" i="25" s="1"/>
  <c r="C697" i="25" s="1"/>
  <c r="W53" i="25"/>
  <c r="W68" i="25" s="1"/>
  <c r="W86" i="25" s="1"/>
  <c r="C689" i="25" s="1"/>
  <c r="G53" i="25"/>
  <c r="G68" i="25" s="1"/>
  <c r="G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B47" i="15" s="1"/>
  <c r="AA53" i="25"/>
  <c r="AA68" i="25" s="1"/>
  <c r="AA86" i="25" s="1"/>
  <c r="S53" i="25"/>
  <c r="S68" i="25" s="1"/>
  <c r="S86" i="25" s="1"/>
  <c r="K53" i="25"/>
  <c r="K68" i="25" s="1"/>
  <c r="K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B38" i="15" s="1"/>
  <c r="R53" i="25"/>
  <c r="R68" i="25" s="1"/>
  <c r="J53" i="25"/>
  <c r="J68" i="25" s="1"/>
  <c r="J86" i="25" s="1"/>
  <c r="BE53" i="25"/>
  <c r="BE68" i="25" s="1"/>
  <c r="BE86" i="25" s="1"/>
  <c r="AF53" i="25"/>
  <c r="AF68" i="25" s="1"/>
  <c r="AF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67" i="24"/>
  <c r="AU85" i="24" s="1"/>
  <c r="C712" i="24" s="1"/>
  <c r="K52" i="24"/>
  <c r="K67" i="24" s="1"/>
  <c r="K85" i="24" s="1"/>
  <c r="D26" i="17"/>
  <c r="D350" i="24"/>
  <c r="M79" i="31"/>
  <c r="M47" i="31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N52" i="24"/>
  <c r="AN67" i="24" s="1"/>
  <c r="M23" i="31"/>
  <c r="C113" i="32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704" i="25"/>
  <c r="B50" i="15"/>
  <c r="M11" i="31"/>
  <c r="E49" i="32"/>
  <c r="AQ52" i="24"/>
  <c r="AQ67" i="24" s="1"/>
  <c r="H52" i="24"/>
  <c r="H67" i="24" s="1"/>
  <c r="H85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S85" i="24" l="1"/>
  <c r="C31" i="15" s="1"/>
  <c r="G31" i="15" s="1"/>
  <c r="CB85" i="24"/>
  <c r="E17" i="32"/>
  <c r="E85" i="24"/>
  <c r="M61" i="31"/>
  <c r="H26" i="32"/>
  <c r="CE89" i="24"/>
  <c r="AE7" i="31"/>
  <c r="C688" i="25"/>
  <c r="B34" i="15"/>
  <c r="B53" i="15"/>
  <c r="C707" i="25"/>
  <c r="C638" i="25"/>
  <c r="B76" i="15"/>
  <c r="B91" i="15"/>
  <c r="C648" i="25"/>
  <c r="C712" i="25"/>
  <c r="B35" i="15"/>
  <c r="C684" i="25"/>
  <c r="C636" i="25"/>
  <c r="B75" i="15"/>
  <c r="F75" i="15" s="1"/>
  <c r="C623" i="25"/>
  <c r="B92" i="15"/>
  <c r="C628" i="25"/>
  <c r="B79" i="15"/>
  <c r="F79" i="15" s="1"/>
  <c r="C624" i="25"/>
  <c r="B81" i="15"/>
  <c r="F81" i="15" s="1"/>
  <c r="C700" i="25"/>
  <c r="B46" i="15"/>
  <c r="F46" i="15" s="1"/>
  <c r="C644" i="25"/>
  <c r="B87" i="15"/>
  <c r="F87" i="15" s="1"/>
  <c r="B36" i="15"/>
  <c r="F36" i="15" s="1"/>
  <c r="H36" i="15" s="1"/>
  <c r="I36" i="15" s="1"/>
  <c r="C690" i="25"/>
  <c r="C639" i="25"/>
  <c r="B77" i="15"/>
  <c r="H77" i="15" s="1"/>
  <c r="I77" i="15" s="1"/>
  <c r="B31" i="15"/>
  <c r="C685" i="25"/>
  <c r="C673" i="25"/>
  <c r="B19" i="15"/>
  <c r="F19" i="15" s="1"/>
  <c r="C625" i="25"/>
  <c r="B68" i="15"/>
  <c r="C672" i="25"/>
  <c r="B18" i="15"/>
  <c r="F18" i="15" s="1"/>
  <c r="C627" i="25"/>
  <c r="B82" i="15"/>
  <c r="F82" i="15" s="1"/>
  <c r="B62" i="15"/>
  <c r="C617" i="25"/>
  <c r="C693" i="25"/>
  <c r="B39" i="15"/>
  <c r="F39" i="15" s="1"/>
  <c r="C702" i="25"/>
  <c r="B48" i="15"/>
  <c r="B84" i="15"/>
  <c r="C641" i="25"/>
  <c r="C695" i="25"/>
  <c r="B41" i="15"/>
  <c r="C705" i="25"/>
  <c r="B51" i="15"/>
  <c r="C680" i="25"/>
  <c r="B26" i="15"/>
  <c r="F26" i="15" s="1"/>
  <c r="C647" i="25"/>
  <c r="B90" i="15"/>
  <c r="C622" i="25"/>
  <c r="B80" i="15"/>
  <c r="H80" i="15" s="1"/>
  <c r="I80" i="15" s="1"/>
  <c r="C633" i="25"/>
  <c r="B66" i="15"/>
  <c r="C677" i="25"/>
  <c r="B23" i="15"/>
  <c r="H23" i="15" s="1"/>
  <c r="I23" i="15" s="1"/>
  <c r="C679" i="25"/>
  <c r="B25" i="15"/>
  <c r="H25" i="15" s="1"/>
  <c r="I25" i="15" s="1"/>
  <c r="C714" i="25"/>
  <c r="B60" i="15"/>
  <c r="B27" i="15"/>
  <c r="H27" i="15" s="1"/>
  <c r="I27" i="15" s="1"/>
  <c r="C681" i="25"/>
  <c r="C698" i="25"/>
  <c r="B44" i="15"/>
  <c r="F44" i="15" s="1"/>
  <c r="C630" i="25"/>
  <c r="B70" i="15"/>
  <c r="B21" i="15"/>
  <c r="H21" i="15" s="1"/>
  <c r="I21" i="15" s="1"/>
  <c r="C675" i="25"/>
  <c r="B49" i="15"/>
  <c r="F49" i="15" s="1"/>
  <c r="C703" i="25"/>
  <c r="C640" i="25"/>
  <c r="B83" i="15"/>
  <c r="F83" i="15" s="1"/>
  <c r="C670" i="25"/>
  <c r="B16" i="15"/>
  <c r="H16" i="15" s="1"/>
  <c r="I16" i="15" s="1"/>
  <c r="C621" i="25"/>
  <c r="B93" i="15"/>
  <c r="F93" i="15" s="1"/>
  <c r="B37" i="15"/>
  <c r="F37" i="15" s="1"/>
  <c r="C691" i="25"/>
  <c r="B32" i="15"/>
  <c r="F32" i="15" s="1"/>
  <c r="C686" i="25"/>
  <c r="C618" i="25"/>
  <c r="B74" i="15"/>
  <c r="F74" i="15" s="1"/>
  <c r="C615" i="25"/>
  <c r="D616" i="25" s="1"/>
  <c r="B69" i="15"/>
  <c r="F69" i="15" s="1"/>
  <c r="B78" i="15"/>
  <c r="F78" i="15" s="1"/>
  <c r="C620" i="25"/>
  <c r="C709" i="25"/>
  <c r="B55" i="15"/>
  <c r="C629" i="25"/>
  <c r="B64" i="15"/>
  <c r="F64" i="15" s="1"/>
  <c r="B45" i="15"/>
  <c r="C699" i="25"/>
  <c r="C696" i="25"/>
  <c r="B42" i="15"/>
  <c r="F42" i="15" s="1"/>
  <c r="C619" i="25"/>
  <c r="B71" i="15"/>
  <c r="F71" i="15" s="1"/>
  <c r="C635" i="25"/>
  <c r="B73" i="15"/>
  <c r="F73" i="15" s="1"/>
  <c r="C678" i="25"/>
  <c r="B24" i="15"/>
  <c r="H24" i="15" s="1"/>
  <c r="I24" i="15" s="1"/>
  <c r="C682" i="25"/>
  <c r="B28" i="15"/>
  <c r="F28" i="15" s="1"/>
  <c r="B89" i="15"/>
  <c r="F89" i="15" s="1"/>
  <c r="C646" i="25"/>
  <c r="C694" i="25"/>
  <c r="B40" i="15"/>
  <c r="C676" i="25"/>
  <c r="B22" i="15"/>
  <c r="F22" i="15" s="1"/>
  <c r="B86" i="15"/>
  <c r="F86" i="15" s="1"/>
  <c r="C643" i="25"/>
  <c r="C626" i="25"/>
  <c r="B63" i="15"/>
  <c r="F63" i="15" s="1"/>
  <c r="C634" i="25"/>
  <c r="B67" i="15"/>
  <c r="C642" i="25"/>
  <c r="B85" i="15"/>
  <c r="C637" i="25"/>
  <c r="B72" i="15"/>
  <c r="C632" i="25"/>
  <c r="B61" i="15"/>
  <c r="C631" i="25"/>
  <c r="B65" i="15"/>
  <c r="F65" i="15" s="1"/>
  <c r="B52" i="15"/>
  <c r="F52" i="15" s="1"/>
  <c r="C706" i="25"/>
  <c r="C701" i="25"/>
  <c r="B59" i="15"/>
  <c r="F59" i="15" s="1"/>
  <c r="B29" i="15"/>
  <c r="F29" i="15" s="1"/>
  <c r="C674" i="25"/>
  <c r="B56" i="15"/>
  <c r="F56" i="15" s="1"/>
  <c r="C692" i="25"/>
  <c r="B88" i="15"/>
  <c r="F88" i="15" s="1"/>
  <c r="B17" i="15"/>
  <c r="F17" i="15" s="1"/>
  <c r="B43" i="15"/>
  <c r="F43" i="15" s="1"/>
  <c r="B33" i="15"/>
  <c r="F33" i="15" s="1"/>
  <c r="B57" i="15"/>
  <c r="F57" i="15" s="1"/>
  <c r="B54" i="15"/>
  <c r="F54" i="15" s="1"/>
  <c r="C68" i="25"/>
  <c r="CE68" i="25" s="1"/>
  <c r="CE53" i="25"/>
  <c r="M63" i="31"/>
  <c r="BL85" i="24"/>
  <c r="C637" i="24" s="1"/>
  <c r="M22" i="31"/>
  <c r="AD85" i="24"/>
  <c r="I117" i="32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F38" i="15"/>
  <c r="M54" i="31"/>
  <c r="F241" i="32"/>
  <c r="BC85" i="24"/>
  <c r="M80" i="31"/>
  <c r="D369" i="32"/>
  <c r="CC85" i="24"/>
  <c r="E53" i="32"/>
  <c r="C24" i="15"/>
  <c r="G24" i="15" s="1"/>
  <c r="C677" i="24"/>
  <c r="M21" i="31"/>
  <c r="H81" i="32"/>
  <c r="V85" i="24"/>
  <c r="F50" i="15"/>
  <c r="M28" i="31"/>
  <c r="H113" i="32"/>
  <c r="AC85" i="24"/>
  <c r="M69" i="31"/>
  <c r="G305" i="32"/>
  <c r="BR85" i="24"/>
  <c r="M35" i="31"/>
  <c r="H145" i="32"/>
  <c r="AJ85" i="24"/>
  <c r="F76" i="15"/>
  <c r="M16" i="31"/>
  <c r="C81" i="32"/>
  <c r="Q85" i="24"/>
  <c r="M59" i="31"/>
  <c r="D273" i="32"/>
  <c r="BH85" i="24"/>
  <c r="H46" i="15"/>
  <c r="I46" i="15" s="1"/>
  <c r="M60" i="31"/>
  <c r="E273" i="32"/>
  <c r="BI85" i="24"/>
  <c r="M32" i="31"/>
  <c r="E145" i="32"/>
  <c r="AG85" i="24"/>
  <c r="M68" i="31"/>
  <c r="F305" i="32"/>
  <c r="BQ85" i="24"/>
  <c r="H26" i="15"/>
  <c r="I26" i="15" s="1"/>
  <c r="M76" i="31"/>
  <c r="G337" i="32"/>
  <c r="BY85" i="24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M17" i="31"/>
  <c r="D81" i="32"/>
  <c r="R85" i="24"/>
  <c r="F40" i="15"/>
  <c r="M5" i="31"/>
  <c r="F17" i="32"/>
  <c r="F85" i="24"/>
  <c r="F47" i="15"/>
  <c r="H47" i="15"/>
  <c r="I47" i="15" s="1"/>
  <c r="F77" i="15"/>
  <c r="M12" i="31"/>
  <c r="F49" i="32"/>
  <c r="M85" i="24"/>
  <c r="C138" i="8"/>
  <c r="D417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H19" i="15"/>
  <c r="I19" i="15" s="1"/>
  <c r="M53" i="31"/>
  <c r="E241" i="32"/>
  <c r="BB85" i="24"/>
  <c r="F31" i="15"/>
  <c r="F53" i="15"/>
  <c r="H53" i="15"/>
  <c r="I53" i="15" s="1"/>
  <c r="C67" i="24"/>
  <c r="CE52" i="24"/>
  <c r="E85" i="32"/>
  <c r="C684" i="24"/>
  <c r="F70" i="15"/>
  <c r="H30" i="15"/>
  <c r="I30" i="15" s="1"/>
  <c r="F30" i="15"/>
  <c r="M62" i="31"/>
  <c r="G273" i="32"/>
  <c r="BK85" i="24"/>
  <c r="F55" i="15"/>
  <c r="H55" i="15"/>
  <c r="I55" i="15" s="1"/>
  <c r="F20" i="15"/>
  <c r="M50" i="31"/>
  <c r="I209" i="32"/>
  <c r="H94" i="15"/>
  <c r="I94" i="15" s="1"/>
  <c r="G94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F34" i="15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F92" i="15"/>
  <c r="F90" i="15"/>
  <c r="M51" i="31"/>
  <c r="C241" i="32"/>
  <c r="AZ85" i="24"/>
  <c r="M58" i="31"/>
  <c r="C273" i="32"/>
  <c r="BG85" i="24"/>
  <c r="E21" i="32"/>
  <c r="C17" i="15"/>
  <c r="G17" i="15" s="1"/>
  <c r="C670" i="24"/>
  <c r="M42" i="31"/>
  <c r="H177" i="32"/>
  <c r="AQ85" i="24"/>
  <c r="F58" i="15"/>
  <c r="H58" i="15"/>
  <c r="I58" i="15" s="1"/>
  <c r="M48" i="31"/>
  <c r="G209" i="32"/>
  <c r="AW85" i="24"/>
  <c r="M7" i="31"/>
  <c r="H17" i="32"/>
  <c r="D53" i="32"/>
  <c r="C23" i="15"/>
  <c r="G23" i="15" s="1"/>
  <c r="C676" i="24"/>
  <c r="M13" i="31"/>
  <c r="G49" i="32"/>
  <c r="N85" i="24"/>
  <c r="F341" i="32"/>
  <c r="C88" i="15"/>
  <c r="G88" i="15" s="1"/>
  <c r="C644" i="24"/>
  <c r="H44" i="15"/>
  <c r="I44" i="15" s="1"/>
  <c r="C86" i="25"/>
  <c r="CE63" i="25"/>
  <c r="M9" i="31"/>
  <c r="C49" i="32"/>
  <c r="J85" i="24"/>
  <c r="H18" i="15"/>
  <c r="I18" i="15" s="1"/>
  <c r="M36" i="31"/>
  <c r="I145" i="32"/>
  <c r="AK85" i="24"/>
  <c r="F35" i="15"/>
  <c r="M34" i="31"/>
  <c r="G145" i="32"/>
  <c r="AI85" i="24"/>
  <c r="M44" i="31"/>
  <c r="C209" i="32"/>
  <c r="AS85" i="24"/>
  <c r="M8" i="31"/>
  <c r="I17" i="32"/>
  <c r="I85" i="24"/>
  <c r="F91" i="15"/>
  <c r="C92" i="15"/>
  <c r="G92" i="15" s="1"/>
  <c r="C373" i="32"/>
  <c r="C622" i="24"/>
  <c r="C695" i="24" l="1"/>
  <c r="C42" i="15"/>
  <c r="G42" i="15" s="1"/>
  <c r="C74" i="15"/>
  <c r="G74" i="15" s="1"/>
  <c r="I378" i="32"/>
  <c r="K612" i="24"/>
  <c r="H277" i="32"/>
  <c r="F80" i="15"/>
  <c r="F85" i="15"/>
  <c r="H22" i="15"/>
  <c r="I22" i="15" s="1"/>
  <c r="H52" i="15"/>
  <c r="I52" i="15" s="1"/>
  <c r="F16" i="15"/>
  <c r="F21" i="15"/>
  <c r="F51" i="15"/>
  <c r="F27" i="15"/>
  <c r="H87" i="15"/>
  <c r="I87" i="15" s="1"/>
  <c r="C649" i="25"/>
  <c r="M717" i="25" s="1"/>
  <c r="H57" i="15"/>
  <c r="I57" i="15" s="1"/>
  <c r="F23" i="15"/>
  <c r="F72" i="15"/>
  <c r="H59" i="15"/>
  <c r="I59" i="15" s="1"/>
  <c r="H54" i="15"/>
  <c r="I54" i="15" s="1"/>
  <c r="H79" i="15"/>
  <c r="I79" i="15" s="1"/>
  <c r="H81" i="15"/>
  <c r="I81" i="15" s="1"/>
  <c r="H83" i="15"/>
  <c r="I83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40" i="15" l="1"/>
  <c r="I40" i="15" s="1"/>
  <c r="H74" i="15"/>
  <c r="I74" i="15" s="1"/>
  <c r="H76" i="15"/>
  <c r="I76" i="15" s="1"/>
  <c r="G71" i="15"/>
  <c r="H71" i="15" s="1"/>
  <c r="I71" i="15" s="1"/>
  <c r="H51" i="15"/>
  <c r="I51" i="15" s="1"/>
  <c r="H72" i="15"/>
  <c r="I72" i="15" s="1"/>
  <c r="G20" i="15"/>
  <c r="H20" i="15" s="1"/>
  <c r="I20" i="15" s="1"/>
  <c r="H91" i="15"/>
  <c r="I91" i="15" s="1"/>
  <c r="H85" i="15"/>
  <c r="I85" i="15" s="1"/>
  <c r="H69" i="15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M688" i="25" s="1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K702" i="25"/>
  <c r="K694" i="25"/>
  <c r="K686" i="25"/>
  <c r="M686" i="25" s="1"/>
  <c r="K707" i="25"/>
  <c r="M707" i="25" s="1"/>
  <c r="K699" i="25"/>
  <c r="M699" i="25" s="1"/>
  <c r="K691" i="25"/>
  <c r="M691" i="25" s="1"/>
  <c r="K683" i="25"/>
  <c r="K712" i="25"/>
  <c r="K704" i="25"/>
  <c r="M704" i="25" s="1"/>
  <c r="K696" i="25"/>
  <c r="M696" i="25" s="1"/>
  <c r="K688" i="25"/>
  <c r="K680" i="25"/>
  <c r="M680" i="25" s="1"/>
  <c r="K709" i="25"/>
  <c r="K701" i="25"/>
  <c r="K693" i="25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K689" i="25"/>
  <c r="K687" i="25"/>
  <c r="M687" i="25" s="1"/>
  <c r="K678" i="25"/>
  <c r="K670" i="25"/>
  <c r="M670" i="25" s="1"/>
  <c r="K706" i="25"/>
  <c r="M706" i="25" s="1"/>
  <c r="K681" i="25"/>
  <c r="M681" i="25" s="1"/>
  <c r="K675" i="25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K673" i="25"/>
  <c r="M673" i="25" s="1"/>
  <c r="K697" i="25"/>
  <c r="M697" i="25" s="1"/>
  <c r="K711" i="25"/>
  <c r="M711" i="25" s="1"/>
  <c r="K676" i="25"/>
  <c r="K705" i="25"/>
  <c r="M705" i="25" s="1"/>
  <c r="K695" i="25"/>
  <c r="M695" i="25" s="1"/>
  <c r="M683" i="25" l="1"/>
  <c r="M703" i="25"/>
  <c r="M676" i="25"/>
  <c r="M694" i="25"/>
  <c r="M675" i="25"/>
  <c r="M701" i="25"/>
  <c r="M710" i="25"/>
  <c r="L683" i="24"/>
  <c r="L675" i="24"/>
  <c r="L690" i="24"/>
  <c r="L705" i="24"/>
  <c r="L669" i="24"/>
  <c r="L689" i="24"/>
  <c r="L701" i="24"/>
  <c r="L706" i="24"/>
  <c r="L693" i="24"/>
  <c r="L672" i="24"/>
  <c r="L703" i="24"/>
  <c r="L671" i="24"/>
  <c r="L688" i="24"/>
  <c r="L713" i="24"/>
  <c r="L691" i="24"/>
  <c r="L680" i="24"/>
  <c r="L694" i="24"/>
  <c r="L709" i="24"/>
  <c r="L677" i="24"/>
  <c r="L696" i="24"/>
  <c r="L668" i="24"/>
  <c r="L695" i="24"/>
  <c r="L698" i="24"/>
  <c r="L682" i="24"/>
  <c r="L704" i="24"/>
  <c r="L686" i="24"/>
  <c r="L685" i="24"/>
  <c r="L702" i="24"/>
  <c r="L684" i="24"/>
  <c r="L699" i="24"/>
  <c r="L687" i="24"/>
  <c r="L710" i="24"/>
  <c r="L711" i="24"/>
  <c r="L707" i="24"/>
  <c r="L679" i="24"/>
  <c r="L673" i="24"/>
  <c r="L692" i="24"/>
  <c r="L716" i="24"/>
  <c r="L670" i="24"/>
  <c r="L712" i="24"/>
  <c r="L676" i="24"/>
  <c r="L674" i="24"/>
  <c r="L700" i="24"/>
  <c r="L697" i="24"/>
  <c r="L681" i="24"/>
  <c r="L678" i="24"/>
  <c r="M689" i="25"/>
  <c r="M693" i="25"/>
  <c r="M674" i="25"/>
  <c r="M714" i="25"/>
  <c r="M678" i="25"/>
  <c r="M702" i="25"/>
  <c r="M682" i="25"/>
  <c r="L716" i="25"/>
  <c r="M709" i="25"/>
  <c r="M712" i="25"/>
  <c r="K713" i="24"/>
  <c r="K703" i="24"/>
  <c r="K695" i="24"/>
  <c r="K712" i="24"/>
  <c r="K711" i="24"/>
  <c r="K707" i="24"/>
  <c r="M707" i="24" s="1"/>
  <c r="G183" i="32" s="1"/>
  <c r="K699" i="24"/>
  <c r="K691" i="24"/>
  <c r="M691" i="24" s="1"/>
  <c r="E119" i="32" s="1"/>
  <c r="K683" i="24"/>
  <c r="K694" i="24"/>
  <c r="K689" i="24"/>
  <c r="K684" i="24"/>
  <c r="K679" i="24"/>
  <c r="K672" i="24"/>
  <c r="M672" i="24" s="1"/>
  <c r="G23" i="32" s="1"/>
  <c r="K693" i="24"/>
  <c r="K688" i="24"/>
  <c r="K669" i="24"/>
  <c r="K716" i="24"/>
  <c r="K678" i="24"/>
  <c r="M678" i="24" s="1"/>
  <c r="F55" i="32" s="1"/>
  <c r="K674" i="24"/>
  <c r="K708" i="24"/>
  <c r="M708" i="24" s="1"/>
  <c r="H183" i="32" s="1"/>
  <c r="K668" i="24"/>
  <c r="K701" i="24"/>
  <c r="M701" i="24" s="1"/>
  <c r="H151" i="32" s="1"/>
  <c r="K706" i="24"/>
  <c r="M706" i="24" s="1"/>
  <c r="F183" i="32" s="1"/>
  <c r="K705" i="24"/>
  <c r="K704" i="24"/>
  <c r="K686" i="24"/>
  <c r="K681" i="24"/>
  <c r="K676" i="24"/>
  <c r="K673" i="24"/>
  <c r="M673" i="24" s="1"/>
  <c r="H23" i="32" s="1"/>
  <c r="K709" i="24"/>
  <c r="K702" i="24"/>
  <c r="M702" i="24" s="1"/>
  <c r="I151" i="32" s="1"/>
  <c r="K700" i="24"/>
  <c r="K696" i="24"/>
  <c r="K677" i="24"/>
  <c r="M677" i="24" s="1"/>
  <c r="E55" i="32" s="1"/>
  <c r="K675" i="24"/>
  <c r="K671" i="24"/>
  <c r="K690" i="24"/>
  <c r="K692" i="24"/>
  <c r="K685" i="24"/>
  <c r="K710" i="24"/>
  <c r="K698" i="24"/>
  <c r="K687" i="24"/>
  <c r="K670" i="24"/>
  <c r="M670" i="24" s="1"/>
  <c r="E23" i="32" s="1"/>
  <c r="K680" i="24"/>
  <c r="K697" i="24"/>
  <c r="K682" i="24"/>
  <c r="K716" i="25"/>
  <c r="M669" i="25"/>
  <c r="M693" i="24" l="1"/>
  <c r="G119" i="32" s="1"/>
  <c r="M698" i="24"/>
  <c r="E151" i="32" s="1"/>
  <c r="M711" i="24"/>
  <c r="D215" i="32" s="1"/>
  <c r="M681" i="24"/>
  <c r="I55" i="32" s="1"/>
  <c r="M683" i="24"/>
  <c r="D87" i="32" s="1"/>
  <c r="M710" i="24"/>
  <c r="C215" i="32" s="1"/>
  <c r="M680" i="24"/>
  <c r="H55" i="32" s="1"/>
  <c r="M700" i="24"/>
  <c r="G151" i="32" s="1"/>
  <c r="M687" i="24"/>
  <c r="H87" i="32" s="1"/>
  <c r="M703" i="24"/>
  <c r="C183" i="32" s="1"/>
  <c r="M697" i="24"/>
  <c r="D151" i="32" s="1"/>
  <c r="M695" i="24"/>
  <c r="I119" i="32" s="1"/>
  <c r="M671" i="24"/>
  <c r="F23" i="32" s="1"/>
  <c r="M696" i="24"/>
  <c r="C151" i="32" s="1"/>
  <c r="M679" i="24"/>
  <c r="G55" i="32" s="1"/>
  <c r="M669" i="24"/>
  <c r="D23" i="32" s="1"/>
  <c r="M676" i="24"/>
  <c r="D55" i="32" s="1"/>
  <c r="M682" i="24"/>
  <c r="C87" i="32" s="1"/>
  <c r="M690" i="24"/>
  <c r="D119" i="32" s="1"/>
  <c r="M685" i="24"/>
  <c r="F87" i="32" s="1"/>
  <c r="M668" i="24"/>
  <c r="C23" i="32" s="1"/>
  <c r="M699" i="24"/>
  <c r="F151" i="32" s="1"/>
  <c r="L715" i="24"/>
  <c r="M674" i="24"/>
  <c r="I23" i="32" s="1"/>
  <c r="M688" i="24"/>
  <c r="I87" i="32" s="1"/>
  <c r="M692" i="24"/>
  <c r="F119" i="32" s="1"/>
  <c r="M704" i="24"/>
  <c r="D183" i="32" s="1"/>
  <c r="M709" i="24"/>
  <c r="I183" i="32" s="1"/>
  <c r="M689" i="24"/>
  <c r="C119" i="32" s="1"/>
  <c r="M712" i="24"/>
  <c r="E215" i="32" s="1"/>
  <c r="M686" i="24"/>
  <c r="G87" i="32" s="1"/>
  <c r="M713" i="24"/>
  <c r="F215" i="32" s="1"/>
  <c r="M705" i="24"/>
  <c r="E183" i="32" s="1"/>
  <c r="M675" i="24"/>
  <c r="C55" i="32" s="1"/>
  <c r="M684" i="24"/>
  <c r="E87" i="32" s="1"/>
  <c r="M694" i="24"/>
  <c r="H119" i="32" s="1"/>
  <c r="M716" i="25"/>
  <c r="K715" i="24"/>
  <c r="M715" i="24" l="1"/>
</calcChain>
</file>

<file path=xl/sharedStrings.xml><?xml version="1.0" encoding="utf-8"?>
<sst xmlns="http://schemas.openxmlformats.org/spreadsheetml/2006/main" count="5778" uniqueCount="1381">
  <si>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</si>
  <si>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</si>
  <si>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</si>
  <si>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</si>
  <si>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</si>
  <si>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</si>
  <si>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</si>
  <si>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</si>
  <si>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</si>
  <si>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</si>
  <si>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</si>
  <si>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</si>
  <si>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</si>
  <si>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</si>
  <si>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</si>
  <si>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</si>
  <si>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</si>
  <si>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</si>
  <si>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</si>
  <si>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</si>
  <si>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</si>
  <si>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</si>
  <si>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</si>
  <si>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</si>
  <si>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</si>
  <si>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</si>
  <si>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</si>
  <si>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</si>
  <si>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</si>
  <si>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</si>
  <si>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</si>
  <si>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</si>
  <si>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</si>
  <si>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</si>
  <si>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</si>
  <si>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</si>
  <si>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</si>
  <si>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</si>
  <si>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</si>
  <si>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</si>
  <si>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</si>
  <si>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</si>
  <si>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</si>
  <si>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</si>
  <si>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</si>
  <si>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</si>
  <si>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</si>
  <si>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</si>
  <si>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</si>
  <si>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</si>
  <si>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</si>
  <si>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</si>
  <si>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</si>
  <si>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</si>
  <si>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</si>
  <si>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</si>
  <si>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</si>
  <si>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</si>
  <si>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</si>
  <si>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</si>
  <si>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</si>
  <si>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</si>
  <si>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</si>
  <si>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</si>
  <si>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</si>
  <si>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</si>
  <si>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</si>
  <si>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</si>
  <si>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</si>
  <si>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</si>
  <si>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</si>
  <si>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</si>
  <si>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</si>
  <si>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</si>
  <si>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</si>
  <si>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</si>
  <si>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</si>
  <si>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</si>
  <si>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</si>
  <si>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</si>
  <si>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</si>
  <si>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</si>
  <si>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</si>
  <si>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</si>
  <si>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</si>
  <si>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</si>
  <si>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</si>
  <si>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</si>
  <si>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</si>
  <si>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</si>
  <si>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</si>
  <si>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</si>
  <si>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</si>
  <si>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</si>
  <si>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</si>
  <si>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</si>
  <si>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</si>
  <si>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</si>
  <si>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</si>
  <si>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</si>
  <si>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</si>
  <si>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</si>
  <si>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</si>
  <si>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</si>
  <si>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</si>
  <si>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</si>
  <si>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</si>
  <si>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</si>
  <si>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</si>
  <si>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</si>
  <si>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</si>
  <si>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</si>
  <si>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</si>
  <si>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</si>
  <si>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</si>
  <si>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</si>
  <si>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</si>
  <si>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</si>
  <si>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</si>
  <si>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</si>
  <si>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</si>
  <si>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</si>
  <si>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</si>
  <si>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</si>
  <si>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</si>
  <si>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</si>
  <si>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</si>
  <si>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</si>
  <si>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</si>
  <si>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</si>
  <si>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</si>
  <si>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</si>
  <si>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</si>
  <si>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</si>
  <si>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</si>
  <si>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</si>
  <si>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</si>
  <si>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</si>
  <si>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</si>
  <si>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</si>
  <si>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</si>
  <si>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</si>
  <si>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</si>
  <si>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</si>
  <si>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</si>
  <si>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</si>
  <si>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</si>
  <si>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</si>
  <si>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</si>
  <si>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</si>
  <si>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</si>
  <si>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</si>
  <si>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</si>
  <si>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</si>
  <si>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</si>
  <si>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</si>
  <si>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</si>
  <si>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</si>
  <si>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</si>
  <si>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</si>
  <si>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</si>
  <si>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</si>
  <si>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</si>
  <si>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</si>
  <si>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</si>
  <si>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</si>
  <si>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</si>
  <si>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</si>
  <si>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</si>
  <si>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</si>
  <si>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</si>
  <si>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</si>
  <si>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</si>
  <si>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</si>
  <si>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</si>
  <si>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</si>
  <si>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</si>
  <si>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</si>
  <si>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</si>
  <si>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</si>
  <si>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</si>
  <si>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</si>
  <si>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</si>
  <si>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</si>
  <si>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</si>
  <si>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</si>
  <si>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</si>
  <si>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</si>
  <si>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</si>
  <si>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</si>
  <si>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</si>
  <si>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</si>
  <si>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</si>
  <si>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</si>
  <si>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</si>
  <si>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</si>
  <si>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</si>
  <si>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</si>
  <si>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</si>
  <si>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</si>
  <si>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</si>
  <si>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</si>
  <si>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</si>
  <si>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</si>
  <si>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</si>
  <si>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</si>
  <si>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</si>
  <si>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</si>
  <si>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</si>
  <si>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</si>
  <si>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</si>
  <si>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</si>
  <si>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</si>
  <si>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</si>
  <si>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</si>
  <si>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</si>
  <si>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</si>
  <si>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</si>
  <si>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</si>
  <si>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</si>
  <si>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</si>
  <si>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</si>
  <si>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</si>
  <si>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</si>
  <si>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</si>
  <si>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</si>
  <si>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</si>
  <si>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</si>
  <si>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</si>
  <si>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</si>
  <si>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</si>
  <si>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</si>
  <si>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</si>
  <si>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</si>
  <si>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</si>
  <si>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</si>
  <si>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</si>
  <si>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</si>
  <si>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</si>
  <si>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</si>
  <si>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</si>
  <si>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</si>
  <si>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</si>
  <si>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</si>
  <si>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</si>
  <si>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</si>
  <si>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</si>
  <si>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</si>
  <si>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</si>
  <si>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</si>
  <si>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</si>
  <si>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</si>
  <si>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</si>
  <si>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</si>
  <si>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</si>
  <si>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</si>
  <si>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</si>
  <si>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</si>
  <si>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</si>
  <si>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</si>
  <si>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</si>
  <si>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</si>
  <si>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</si>
  <si>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</si>
  <si>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</si>
  <si>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</si>
  <si>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</si>
  <si>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</si>
  <si>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</si>
  <si>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</si>
  <si>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</si>
  <si>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</si>
  <si>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</si>
  <si>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</si>
  <si>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</si>
  <si>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</si>
  <si>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</si>
  <si>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</si>
  <si>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</si>
  <si>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</si>
  <si>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</si>
  <si>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</si>
  <si>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</si>
  <si>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</si>
  <si>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</si>
  <si>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</si>
  <si>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</si>
  <si>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</si>
  <si>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</si>
  <si>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</si>
  <si>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</si>
  <si>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</si>
  <si>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</si>
  <si>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</si>
  <si>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</si>
  <si>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</si>
  <si>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</si>
  <si>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</si>
  <si>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</si>
  <si>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</si>
  <si>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</si>
  <si>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</si>
  <si>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</si>
  <si>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</si>
  <si>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</si>
  <si>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</si>
  <si>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</si>
  <si>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</si>
  <si>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</si>
  <si>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</si>
  <si>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</si>
  <si>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</si>
  <si>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</si>
  <si>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</si>
  <si>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</si>
  <si>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</si>
  <si>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</si>
  <si>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</si>
  <si>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</si>
  <si>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</si>
  <si>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</si>
  <si>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</si>
  <si>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</si>
  <si>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</si>
  <si>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</si>
  <si>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</si>
  <si>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</si>
  <si>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</si>
  <si>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</si>
  <si>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</si>
  <si>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</si>
  <si>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</si>
  <si>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</si>
  <si>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</si>
  <si>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</si>
  <si>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</si>
  <si>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</si>
  <si>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</si>
  <si>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</si>
  <si>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</si>
  <si>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</si>
  <si>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</si>
  <si>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</si>
  <si>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</si>
  <si>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</si>
  <si>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</si>
  <si>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</si>
  <si>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</si>
  <si>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</si>
  <si>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</si>
  <si>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</si>
  <si>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</si>
  <si>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</si>
  <si>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</si>
  <si>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</si>
  <si>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</si>
  <si>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</si>
  <si>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</si>
  <si>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</si>
  <si>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</si>
  <si>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</si>
  <si>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</si>
  <si>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</si>
  <si>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</si>
  <si>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</si>
  <si>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</si>
  <si>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</si>
  <si>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</si>
  <si>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</si>
  <si>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</si>
  <si>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</si>
  <si>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</si>
  <si>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</si>
  <si>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</si>
  <si>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</si>
  <si>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</si>
  <si>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</si>
  <si>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</si>
  <si>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</si>
  <si>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</si>
  <si>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</si>
  <si>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</si>
  <si>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</si>
  <si>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</si>
  <si>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</si>
  <si>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</si>
  <si>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</si>
  <si>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</si>
  <si>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</si>
  <si>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</si>
  <si>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</si>
  <si>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</si>
  <si>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</si>
  <si>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</si>
  <si>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</si>
  <si>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</si>
  <si>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</si>
  <si>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</si>
  <si>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</si>
  <si>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</si>
  <si>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</si>
  <si>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</si>
  <si>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</si>
  <si>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</si>
  <si>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</si>
  <si>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</si>
  <si>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</si>
  <si>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</si>
  <si>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</si>
  <si>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</si>
  <si>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</si>
  <si>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</si>
  <si>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</si>
  <si>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</si>
  <si>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</si>
  <si>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</si>
  <si>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</si>
  <si>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</si>
  <si>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</si>
  <si>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</si>
  <si>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</si>
  <si>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</si>
  <si>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</si>
  <si>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</si>
  <si>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</si>
  <si>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</si>
  <si>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</si>
  <si>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</si>
  <si>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</si>
  <si>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</si>
  <si>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</si>
  <si>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</si>
  <si>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</si>
  <si>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</si>
  <si>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</si>
  <si>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</si>
  <si>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</si>
  <si>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</si>
  <si>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</si>
  <si>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</si>
  <si>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</si>
  <si>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</si>
  <si>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</si>
  <si>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</si>
  <si>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</si>
  <si>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</si>
  <si>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</si>
  <si>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</si>
  <si>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</si>
  <si>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</si>
  <si>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</si>
  <si>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</si>
  <si>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</si>
  <si>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</si>
  <si>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</si>
  <si>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</si>
  <si>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</si>
  <si>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</si>
  <si>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</si>
  <si>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</si>
  <si>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</si>
  <si>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</si>
  <si>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</si>
  <si>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</si>
  <si>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</si>
  <si>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</si>
  <si>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</si>
  <si>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</si>
  <si>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</si>
  <si>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</si>
  <si>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</si>
  <si>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</si>
  <si>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</si>
  <si>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</si>
  <si>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</si>
  <si>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</si>
  <si>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</si>
  <si>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</si>
  <si>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</si>
  <si>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</si>
  <si>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</si>
  <si>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</si>
  <si>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</si>
  <si>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</si>
  <si>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</si>
  <si>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</si>
  <si>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</si>
  <si>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</si>
  <si>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</si>
  <si>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</si>
  <si>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</si>
  <si>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</si>
  <si>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</si>
  <si>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</si>
  <si>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</si>
  <si>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</si>
  <si>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</si>
  <si>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</si>
  <si>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</si>
  <si>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</si>
  <si>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</si>
  <si>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</si>
  <si>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</si>
  <si>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</si>
  <si>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</si>
  <si>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</si>
  <si>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</si>
  <si>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</si>
  <si>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</si>
  <si>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</si>
  <si>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</si>
  <si>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</si>
  <si>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</si>
  <si>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</si>
  <si>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</si>
  <si>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</si>
  <si>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</si>
  <si>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</si>
  <si>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</si>
  <si>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</si>
  <si>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</si>
  <si>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</si>
  <si>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</si>
  <si>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</si>
  <si>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</si>
  <si>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</si>
  <si>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</si>
  <si>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</si>
  <si>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</si>
  <si>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</si>
  <si>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</si>
  <si>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</si>
  <si>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</si>
  <si>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</si>
  <si>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</si>
  <si>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</si>
  <si>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</si>
  <si>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</si>
  <si>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</si>
  <si>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</si>
  <si>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</si>
  <si>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</si>
  <si>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</si>
  <si>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</si>
  <si>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</si>
  <si>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</si>
  <si>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</si>
  <si>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</si>
  <si>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</si>
  <si>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</si>
  <si>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</si>
  <si>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</si>
  <si>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</si>
  <si>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</si>
  <si>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</si>
  <si>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</si>
  <si>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</si>
  <si>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</si>
  <si>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</si>
  <si>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</si>
  <si>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</si>
  <si>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</si>
  <si>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</si>
  <si>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</si>
  <si>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</si>
  <si>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</si>
  <si>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</si>
  <si>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</si>
  <si>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</si>
  <si>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</si>
  <si>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</si>
  <si>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</si>
  <si>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</si>
  <si>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</si>
  <si>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</si>
  <si>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</si>
  <si>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</si>
  <si>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</si>
  <si>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</si>
  <si>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</si>
  <si>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</si>
  <si>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</si>
  <si>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</si>
  <si>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</si>
  <si>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</si>
  <si>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</si>
  <si>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</si>
  <si>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</si>
  <si>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</si>
  <si>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</si>
  <si>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</si>
  <si>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</si>
  <si>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</si>
  <si>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</si>
  <si>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</si>
  <si>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</si>
  <si>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</si>
  <si>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</si>
  <si>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</si>
  <si>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</si>
  <si>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</si>
  <si>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</si>
  <si>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</si>
  <si>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</si>
  <si>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</si>
  <si>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</si>
  <si>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</si>
  <si>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</si>
  <si>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</si>
  <si>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</si>
  <si>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</si>
  <si>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</si>
  <si>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</si>
  <si>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</si>
  <si>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</si>
  <si>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</si>
  <si>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</si>
  <si>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</si>
  <si>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</si>
  <si>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</si>
  <si>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</si>
  <si>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</si>
  <si>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</si>
  <si>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</si>
  <si>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</si>
  <si>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</si>
  <si>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</si>
  <si>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</si>
  <si>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</si>
  <si>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</si>
  <si>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</si>
  <si>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</si>
  <si>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</si>
  <si>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</si>
  <si>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</si>
  <si>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</si>
  <si>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</si>
  <si>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</si>
  <si>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</si>
  <si>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</si>
  <si>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</si>
  <si>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</si>
  <si>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</si>
  <si>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</si>
  <si>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</si>
  <si>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</si>
  <si>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</si>
  <si>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</si>
  <si>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</si>
  <si>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</si>
  <si>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</si>
  <si>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</si>
  <si>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</si>
  <si>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</si>
  <si>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</si>
  <si>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</si>
  <si>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</si>
  <si>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</si>
  <si>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</si>
  <si>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</si>
  <si>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</si>
  <si>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</si>
  <si>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</si>
  <si>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</si>
  <si>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</si>
  <si>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</si>
  <si>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</si>
  <si>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</si>
  <si>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</si>
  <si>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</si>
  <si>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</si>
  <si>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</si>
  <si>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</si>
  <si>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</si>
  <si>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</si>
  <si>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</si>
  <si>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</si>
  <si>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</si>
  <si>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</si>
  <si>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</si>
  <si>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</si>
  <si>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</si>
  <si>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</si>
  <si>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</si>
  <si>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</si>
  <si>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</si>
  <si>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</si>
  <si>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</si>
  <si>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</si>
  <si>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</si>
  <si>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</si>
  <si>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</si>
  <si>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</si>
  <si>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</si>
  <si>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</si>
  <si>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</si>
  <si>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</si>
  <si>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</si>
  <si>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</si>
  <si>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</si>
  <si>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</si>
  <si>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</si>
  <si>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</si>
  <si>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</si>
  <si>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</si>
  <si>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</si>
  <si>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</si>
  <si>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</si>
  <si>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</si>
  <si>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</si>
  <si>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</si>
  <si>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</si>
  <si>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</si>
  <si>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</si>
  <si>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</si>
  <si>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</si>
  <si>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</si>
  <si>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</si>
  <si>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</si>
  <si>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</si>
  <si>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</si>
  <si>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</si>
  <si>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</si>
  <si>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</si>
  <si>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</si>
  <si>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</si>
  <si>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</si>
  <si>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</si>
  <si>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</si>
  <si>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</si>
  <si>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</si>
  <si>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</si>
  <si>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</si>
  <si>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</si>
  <si>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</si>
  <si>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</si>
  <si>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</si>
  <si>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</si>
  <si>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</si>
  <si>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</si>
  <si>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</si>
  <si>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</si>
  <si>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</si>
  <si>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</si>
  <si>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</si>
  <si>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</si>
  <si>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</si>
  <si>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</si>
  <si>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</si>
  <si>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</si>
  <si>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</si>
  <si>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</si>
  <si>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</si>
  <si>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</si>
  <si>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</si>
  <si>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</si>
  <si>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</si>
  <si>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</si>
  <si>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</si>
  <si>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</si>
  <si>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</si>
  <si>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</si>
  <si>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</si>
  <si>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</si>
  <si>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</si>
  <si>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</si>
  <si>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</si>
  <si>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</si>
  <si>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</si>
  <si>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</si>
  <si>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</si>
  <si>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</si>
  <si>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</si>
  <si>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</si>
  <si>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</si>
  <si>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</si>
  <si>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</si>
  <si>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</si>
  <si>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</si>
  <si>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</si>
  <si>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</si>
  <si>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</si>
  <si>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</si>
  <si>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</si>
  <si>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</si>
  <si>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</si>
  <si>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</si>
  <si>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</si>
  <si>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</si>
  <si>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</si>
  <si>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</si>
  <si>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</si>
  <si>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</si>
  <si>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</si>
  <si>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</si>
  <si>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</si>
  <si>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</si>
  <si>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</si>
  <si>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</si>
  <si>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</si>
  <si>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</si>
  <si>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</si>
  <si>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</si>
  <si>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</si>
  <si>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</si>
  <si>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</si>
  <si>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</si>
  <si>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</si>
  <si>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</si>
  <si>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</si>
  <si>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</si>
  <si>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</si>
  <si>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</si>
  <si>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</si>
  <si>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</si>
  <si>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</si>
  <si>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</si>
  <si>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</si>
  <si>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</si>
  <si>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</si>
  <si>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</si>
  <si>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</si>
  <si>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</si>
  <si>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</si>
  <si>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</si>
  <si>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</si>
  <si>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</si>
  <si>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</si>
  <si>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</si>
  <si>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</si>
  <si>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</si>
  <si>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</si>
  <si>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</si>
  <si>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</si>
  <si>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</si>
  <si>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</si>
  <si>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</si>
  <si>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</si>
  <si>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</si>
  <si>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</si>
  <si>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</si>
  <si>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</si>
  <si>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</si>
  <si>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</si>
  <si>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</si>
  <si>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</si>
  <si>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</si>
  <si>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</si>
  <si>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</si>
  <si>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</si>
  <si>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</si>
  <si>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</si>
  <si>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</si>
  <si>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</si>
  <si>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</si>
  <si>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</si>
  <si>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</si>
  <si>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</si>
  <si>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</si>
  <si>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</si>
  <si>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</si>
  <si>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</si>
  <si>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</si>
  <si>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</si>
  <si>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</si>
  <si>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</si>
  <si>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</si>
  <si>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</si>
  <si>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</si>
  <si>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</si>
  <si>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</si>
  <si>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</si>
  <si>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</si>
  <si>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</si>
  <si>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</si>
  <si>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</si>
  <si>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</si>
  <si>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</si>
  <si>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</si>
  <si>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</si>
  <si>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</si>
  <si>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</si>
  <si>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</si>
  <si>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</si>
  <si>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</si>
  <si>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</si>
  <si>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</si>
  <si>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</si>
  <si>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</si>
  <si>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</si>
  <si>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</si>
  <si>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</si>
  <si>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</si>
  <si>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</si>
  <si>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</si>
  <si>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</si>
  <si>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</si>
  <si>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</si>
  <si>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</si>
  <si>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</si>
  <si>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</si>
  <si>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</si>
  <si>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</si>
  <si>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</si>
  <si>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</si>
  <si>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</si>
  <si>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</si>
  <si>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</si>
  <si>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</si>
  <si>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</si>
  <si>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</si>
  <si>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</si>
  <si>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</si>
  <si>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</si>
  <si>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</si>
  <si>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</si>
  <si>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</si>
  <si>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</si>
  <si>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</si>
  <si>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</si>
  <si>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</si>
  <si>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</si>
  <si>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</si>
  <si>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</si>
  <si>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</si>
  <si>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</si>
  <si>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</si>
  <si>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</si>
  <si>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</si>
  <si>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</si>
  <si>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</si>
  <si>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</si>
  <si>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</si>
  <si>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</si>
  <si>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</si>
  <si>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</si>
  <si>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</si>
  <si>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</si>
  <si>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</si>
  <si>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</si>
  <si>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</si>
  <si>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</si>
  <si>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</si>
  <si>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</si>
  <si>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</si>
  <si>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</si>
  <si>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</si>
  <si>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</si>
  <si>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</si>
  <si>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</si>
  <si>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</si>
  <si>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</si>
  <si>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</si>
  <si>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</si>
  <si>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</si>
  <si>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</si>
  <si>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</si>
  <si>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</si>
  <si>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</si>
  <si>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</si>
  <si>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</si>
  <si>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</si>
  <si>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</si>
  <si>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</si>
  <si>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</si>
  <si>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</si>
  <si>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</si>
  <si>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</si>
  <si>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</si>
  <si>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</si>
  <si>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</si>
  <si>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</si>
  <si>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</si>
  <si>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</si>
  <si>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</si>
  <si>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</si>
  <si>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</si>
  <si>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</si>
  <si>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</si>
  <si>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</si>
  <si>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</si>
  <si>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</si>
  <si>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</si>
  <si>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</si>
  <si>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</si>
  <si>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</si>
  <si>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</si>
  <si>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</si>
  <si>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</si>
  <si>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</si>
  <si>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</si>
  <si>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</si>
  <si>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</si>
  <si>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</si>
  <si>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</si>
  <si>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</si>
  <si>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</si>
  <si>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</si>
  <si>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</si>
  <si>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</si>
  <si>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</si>
  <si>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</si>
  <si>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</si>
  <si>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</si>
  <si>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</si>
  <si>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</si>
  <si>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</si>
  <si>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</si>
  <si>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</si>
  <si>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</si>
  <si>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</si>
  <si>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</si>
  <si>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</si>
  <si>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</si>
  <si>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</si>
  <si>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</si>
  <si>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</si>
  <si>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</si>
  <si>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</si>
  <si>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</si>
  <si>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</si>
  <si>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</si>
  <si>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</si>
  <si>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</si>
  <si>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</si>
  <si>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</si>
  <si>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</si>
  <si>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</si>
  <si>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</si>
  <si>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</si>
  <si>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</si>
  <si>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</si>
  <si>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</si>
  <si>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</si>
  <si>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</si>
  <si>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</si>
  <si>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</si>
  <si>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</si>
  <si>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</si>
  <si>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</si>
  <si>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</si>
  <si>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</si>
  <si>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</si>
  <si>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</si>
  <si>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</si>
  <si>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</si>
  <si>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</si>
  <si>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</si>
  <si>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</si>
  <si>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</si>
  <si>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</si>
  <si>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</si>
  <si>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</si>
  <si>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</si>
  <si>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</si>
  <si>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</si>
  <si>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</si>
  <si>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</si>
  <si>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</si>
  <si>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</si>
  <si>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</si>
  <si>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</si>
  <si>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</si>
  <si>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</si>
  <si>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</si>
  <si>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</si>
  <si>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</si>
  <si>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</si>
  <si>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</si>
  <si>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</si>
  <si>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</si>
  <si>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</si>
  <si>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</si>
  <si>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</si>
  <si>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</si>
  <si>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</si>
  <si>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</si>
  <si>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</si>
  <si>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</si>
  <si>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</si>
  <si>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</si>
  <si>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</si>
  <si>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</si>
  <si>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</si>
  <si>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</si>
  <si>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</si>
  <si>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</si>
  <si>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</si>
  <si>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</si>
  <si>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</si>
  <si>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</si>
  <si>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</si>
  <si>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</si>
  <si>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</si>
  <si>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</si>
  <si>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</si>
  <si>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</si>
  <si>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</si>
  <si>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</si>
  <si>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</si>
  <si>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</si>
  <si>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</si>
  <si>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</si>
  <si>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</si>
  <si>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</si>
  <si>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</si>
  <si>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</si>
  <si>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</si>
  <si>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</si>
  <si>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</si>
  <si>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</si>
  <si>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</si>
  <si>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</si>
  <si>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</si>
  <si>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</si>
  <si>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</si>
  <si>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</si>
  <si>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</si>
  <si>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</si>
  <si>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</si>
  <si>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</si>
  <si>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</si>
  <si>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</si>
  <si>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</si>
  <si>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</si>
  <si>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</si>
  <si>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</si>
  <si>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</si>
  <si>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</si>
  <si>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</si>
  <si>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</si>
  <si>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</si>
  <si>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</si>
  <si>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</si>
  <si>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</si>
  <si>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</si>
  <si>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</si>
  <si>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</si>
  <si>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</si>
  <si>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</si>
  <si>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</si>
  <si>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</si>
  <si>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</si>
  <si>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</si>
  <si>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</si>
  <si>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</si>
  <si>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</si>
  <si>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</si>
  <si>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</si>
  <si>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</si>
  <si>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</si>
  <si>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</si>
  <si>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</si>
  <si>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</si>
  <si>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</si>
  <si>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</si>
  <si>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</si>
  <si>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</si>
  <si>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</si>
  <si>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</si>
  <si>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</si>
  <si>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</si>
  <si>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</si>
  <si>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</si>
  <si>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</si>
  <si>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</si>
  <si>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</si>
  <si>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</si>
  <si>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</si>
  <si>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</si>
  <si>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</si>
  <si>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</si>
  <si>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</si>
  <si>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</si>
  <si>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</si>
  <si>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</si>
  <si>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</si>
  <si>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</si>
  <si>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</si>
  <si>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</si>
  <si>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</si>
  <si>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</si>
  <si>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</si>
  <si>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</si>
  <si>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</si>
  <si>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</si>
  <si>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</si>
  <si>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</si>
  <si>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</si>
  <si>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</si>
  <si>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</si>
  <si>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</si>
  <si>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</si>
  <si>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</si>
  <si>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</si>
  <si>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</si>
  <si>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</si>
  <si>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</si>
  <si>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</si>
  <si>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</si>
  <si>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</si>
  <si>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</si>
  <si>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</si>
  <si>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</si>
  <si>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</si>
  <si>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</si>
  <si>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</si>
  <si>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</si>
  <si>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</si>
  <si>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</si>
  <si>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</si>
  <si>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</si>
  <si>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</si>
  <si>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</si>
  <si>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</si>
  <si>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</si>
  <si>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</si>
  <si>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</si>
  <si>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</si>
  <si>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</si>
  <si>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</si>
  <si>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</si>
  <si>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</si>
  <si>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</si>
  <si>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</si>
  <si>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</si>
  <si>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</si>
  <si>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</si>
  <si>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</si>
  <si>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</si>
  <si>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</si>
  <si>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</si>
  <si>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</si>
  <si>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</si>
  <si>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</si>
  <si>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</si>
  <si>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</si>
  <si>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</si>
  <si>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</si>
  <si>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</si>
  <si>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</si>
  <si>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</si>
  <si>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</si>
  <si>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</si>
  <si>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</si>
  <si>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</si>
  <si>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</si>
  <si>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</si>
  <si>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</si>
  <si>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</si>
  <si>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</si>
  <si>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</si>
  <si>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</si>
  <si>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</si>
  <si>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</si>
  <si>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</si>
  <si>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</si>
  <si>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</si>
  <si>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</si>
  <si>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</si>
  <si>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</si>
  <si>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</si>
  <si>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</si>
  <si>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</si>
  <si>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</si>
  <si>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</si>
  <si>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</si>
  <si>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</si>
  <si>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</si>
  <si>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</si>
  <si>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</si>
  <si>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</si>
  <si>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</si>
  <si>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</si>
  <si>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</si>
  <si>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</si>
  <si>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</si>
  <si>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</si>
  <si>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</si>
  <si>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</si>
  <si>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</si>
  <si>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</si>
  <si>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</si>
  <si>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</si>
  <si>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</si>
  <si>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</si>
  <si>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</si>
  <si>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</si>
  <si>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</si>
  <si>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</si>
  <si>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</si>
  <si>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</si>
  <si>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</si>
  <si>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</si>
  <si>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</si>
  <si>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</si>
  <si>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</si>
  <si>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</si>
  <si>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</si>
  <si>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</si>
  <si>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</si>
  <si>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</si>
  <si>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</si>
  <si>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</si>
  <si>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</si>
  <si>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</si>
  <si>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</si>
  <si>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</si>
  <si>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</si>
  <si>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</si>
  <si>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</si>
  <si>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</si>
  <si>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</si>
  <si>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</si>
  <si>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</si>
  <si>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</si>
  <si>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</si>
  <si>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</si>
  <si>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</si>
  <si>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</si>
  <si>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</si>
  <si>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</si>
  <si>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</si>
  <si>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</si>
  <si>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</si>
  <si>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</si>
  <si>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</si>
  <si>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</si>
  <si>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</si>
  <si>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</si>
  <si>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</si>
  <si>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</si>
  <si>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</si>
  <si>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</si>
  <si>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</si>
  <si>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</si>
  <si>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</si>
  <si>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</si>
  <si>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</si>
  <si>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</si>
  <si>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</si>
  <si>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</si>
  <si>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</si>
  <si>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</si>
  <si>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</si>
  <si>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</si>
  <si>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</si>
  <si>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</si>
  <si>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</si>
  <si>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</si>
  <si>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</si>
  <si>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</si>
  <si>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</si>
  <si>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</si>
  <si>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</si>
  <si>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</si>
  <si>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</si>
  <si>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</si>
  <si>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</si>
  <si>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</si>
  <si>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</si>
  <si>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</si>
  <si>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</si>
  <si>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</si>
  <si>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 xml:space="preserve"> </t>
  </si>
  <si>
    <t>904</t>
  </si>
  <si>
    <t>BHC Fairfax Hospital Inc</t>
  </si>
  <si>
    <t>10200 NE 132nd St</t>
  </si>
  <si>
    <t>Kirkland</t>
  </si>
  <si>
    <t>WA</t>
  </si>
  <si>
    <t>King</t>
  </si>
  <si>
    <t>Christopher West</t>
  </si>
  <si>
    <t>Michelle Jackson</t>
  </si>
  <si>
    <t>425-821-2000</t>
  </si>
  <si>
    <t>425-284-6090</t>
  </si>
  <si>
    <t>Brady Gustafson</t>
  </si>
  <si>
    <t xml:space="preserve"> 40,543 </t>
  </si>
  <si>
    <t>1.42 increase in FTE YOY, and additionally, increase of 270k maintenance costs YOY.</t>
  </si>
  <si>
    <t>Nicole Bryan</t>
  </si>
  <si>
    <t>nicole.bryan@uhsinc.com</t>
  </si>
  <si>
    <t>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</si>
</sst>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#,##0;\(#,##0\)"/>
    <numFmt numFmtId="170" formatCode="[$-409]mmm\-yy;@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</font>
    <font>
      <sz val="9"/>
      <color indexed="0"/>
      <name val="Courier New"/>
      <family val="3"/>
    </font>
    <font>
      <sz val="10"/>
      <color indexed="8"/>
      <name val="Times New Roman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5">
    <xf numFmtId="37" fontId="0" fillId="0" borderId="0"/>
    <xf numFmtId="43" fontId="6" fillId="0" borderId="0"/>
    <xf numFmtId="0" fontId="7" fillId="0" borderId="0">
      <alignment vertical="top"/>
      <protection locked="0"/>
    </xf>
    <xf numFmtId="0" fontId="9" fillId="0" borderId="0"/>
    <xf numFmtId="9" fontId="6" fillId="0" borderId="0"/>
    <xf numFmtId="0" fontId="3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35" fillId="0" borderId="0"/>
    <xf numFmtId="0" fontId="6" fillId="0" borderId="0"/>
    <xf numFmtId="0" fontId="35" fillId="0" borderId="0"/>
    <xf numFmtId="0" fontId="2" fillId="0" borderId="0"/>
    <xf numFmtId="9" fontId="6" fillId="0" borderId="0" applyFont="0" applyFill="0" applyBorder="0" applyAlignment="0" applyProtection="0"/>
    <xf numFmtId="170" fontId="6" fillId="0" borderId="0"/>
    <xf numFmtId="170" fontId="6" fillId="0" borderId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36" fillId="0" borderId="0"/>
  </cellStyleXfs>
  <cellXfs count="353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3" fillId="0" borderId="0" xfId="0" applyFont="1"/>
    <xf numFmtId="37" fontId="12" fillId="0" borderId="0" xfId="0" applyFont="1"/>
    <xf numFmtId="37" fontId="14" fillId="0" borderId="0" xfId="0" applyFont="1"/>
    <xf numFmtId="37" fontId="14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6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6" fillId="0" borderId="1" xfId="1" quotePrefix="1" applyNumberFormat="1" applyFont="1" applyBorder="1" applyProtection="1">
      <protection locked="0"/>
    </xf>
    <xf numFmtId="37" fontId="16" fillId="0" borderId="1" xfId="1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1" applyFont="1" applyFill="1"/>
    <xf numFmtId="37" fontId="16" fillId="4" borderId="1" xfId="0" quotePrefix="1" applyFont="1" applyFill="1" applyBorder="1" applyProtection="1">
      <protection locked="0"/>
    </xf>
    <xf numFmtId="37" fontId="12" fillId="3" borderId="0" xfId="1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6" fillId="4" borderId="14" xfId="0" applyNumberFormat="1" applyFont="1" applyFill="1" applyBorder="1" applyProtection="1">
      <protection locked="0"/>
    </xf>
    <xf numFmtId="38" fontId="16" fillId="4" borderId="8" xfId="0" applyNumberFormat="1" applyFont="1" applyFill="1" applyBorder="1" applyProtection="1">
      <protection locked="0"/>
    </xf>
    <xf numFmtId="38" fontId="16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6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6" fillId="4" borderId="1" xfId="0" applyFont="1" applyFill="1" applyBorder="1" applyProtection="1">
      <protection locked="0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2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4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7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3" fillId="0" borderId="0" xfId="0" quotePrefix="1" applyFont="1" applyAlignment="1">
      <alignment horizontal="left"/>
    </xf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8" fillId="0" borderId="4" xfId="0" applyFont="1" applyBorder="1"/>
    <xf numFmtId="37" fontId="22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2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2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8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8" fillId="0" borderId="14" xfId="0" applyFont="1" applyBorder="1"/>
    <xf numFmtId="37" fontId="23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37" fontId="24" fillId="0" borderId="1" xfId="0" quotePrefix="1" applyFont="1" applyBorder="1" applyProtection="1">
      <protection locked="0"/>
    </xf>
    <xf numFmtId="37" fontId="24" fillId="0" borderId="1" xfId="1" quotePrefix="1" applyNumberFormat="1" applyFont="1" applyBorder="1" applyProtection="1">
      <protection locked="0"/>
    </xf>
    <xf numFmtId="37" fontId="24" fillId="0" borderId="1" xfId="0" applyFont="1" applyBorder="1" applyProtection="1">
      <protection locked="0"/>
    </xf>
    <xf numFmtId="38" fontId="24" fillId="4" borderId="1" xfId="0" applyNumberFormat="1" applyFont="1" applyFill="1" applyBorder="1" applyProtection="1">
      <protection locked="0"/>
    </xf>
    <xf numFmtId="49" fontId="24" fillId="4" borderId="1" xfId="0" quotePrefix="1" applyNumberFormat="1" applyFont="1" applyFill="1" applyBorder="1" applyProtection="1">
      <protection locked="0"/>
    </xf>
    <xf numFmtId="38" fontId="24" fillId="4" borderId="1" xfId="0" quotePrefix="1" applyNumberFormat="1" applyFont="1" applyFill="1" applyBorder="1" applyProtection="1">
      <protection locked="0"/>
    </xf>
    <xf numFmtId="38" fontId="24" fillId="4" borderId="14" xfId="0" applyNumberFormat="1" applyFont="1" applyFill="1" applyBorder="1" applyProtection="1">
      <protection locked="0"/>
    </xf>
    <xf numFmtId="37" fontId="24" fillId="4" borderId="1" xfId="0" applyFont="1" applyFill="1" applyBorder="1" applyProtection="1">
      <protection locked="0"/>
    </xf>
    <xf numFmtId="38" fontId="24" fillId="4" borderId="1" xfId="0" applyNumberFormat="1" applyFont="1" applyFill="1" applyBorder="1" applyAlignment="1" applyProtection="1">
      <alignment horizontal="center"/>
      <protection locked="0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5" fillId="3" borderId="0" xfId="0" applyFont="1" applyFill="1"/>
    <xf numFmtId="37" fontId="24" fillId="0" borderId="1" xfId="1" applyNumberFormat="1" applyFont="1" applyBorder="1" applyProtection="1">
      <protection locked="0"/>
    </xf>
    <xf numFmtId="37" fontId="24" fillId="0" borderId="1" xfId="4" quotePrefix="1" applyNumberFormat="1" applyFont="1" applyBorder="1" applyProtection="1">
      <protection locked="0"/>
    </xf>
    <xf numFmtId="37" fontId="25" fillId="3" borderId="0" xfId="0" quotePrefix="1" applyFont="1" applyFill="1" applyAlignment="1">
      <alignment horizontal="fill"/>
    </xf>
    <xf numFmtId="39" fontId="25" fillId="3" borderId="0" xfId="0" quotePrefix="1" applyNumberFormat="1" applyFont="1" applyFill="1" applyAlignment="1">
      <alignment horizontal="fill"/>
    </xf>
    <xf numFmtId="37" fontId="25" fillId="0" borderId="0" xfId="0" applyFont="1"/>
    <xf numFmtId="43" fontId="12" fillId="7" borderId="0" xfId="1" applyFont="1" applyFill="1"/>
    <xf numFmtId="37" fontId="25" fillId="7" borderId="0" xfId="0" quotePrefix="1" applyFont="1" applyFill="1" applyAlignment="1">
      <alignment horizontal="fill"/>
    </xf>
    <xf numFmtId="38" fontId="16" fillId="4" borderId="1" xfId="0" applyNumberFormat="1" applyFont="1" applyFill="1" applyBorder="1" applyAlignment="1" applyProtection="1">
      <alignment horizontal="right"/>
      <protection locked="0"/>
    </xf>
    <xf numFmtId="38" fontId="24" fillId="4" borderId="1" xfId="0" applyNumberFormat="1" applyFont="1" applyFill="1" applyBorder="1" applyAlignment="1" applyProtection="1">
      <alignment horizontal="right"/>
      <protection locked="0"/>
    </xf>
    <xf numFmtId="38" fontId="16" fillId="0" borderId="1" xfId="0" applyNumberFormat="1" applyFont="1" applyBorder="1" applyProtection="1">
      <protection locked="0"/>
    </xf>
    <xf numFmtId="37" fontId="19" fillId="7" borderId="0" xfId="0" applyFont="1" applyFill="1"/>
    <xf numFmtId="2" fontId="8" fillId="0" borderId="0" xfId="0" applyNumberFormat="1" applyFont="1"/>
    <xf numFmtId="37" fontId="25" fillId="0" borderId="0" xfId="0" applyFont="1" applyProtection="1">
      <protection locked="0"/>
    </xf>
    <xf numFmtId="1" fontId="24" fillId="0" borderId="1" xfId="0" quotePrefix="1" applyNumberFormat="1" applyFont="1" applyBorder="1" applyProtection="1">
      <protection locked="0"/>
    </xf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24" fillId="0" borderId="1" xfId="0" quotePrefix="1" applyNumberFormat="1" applyFont="1" applyBorder="1" applyProtection="1">
      <protection locked="0"/>
    </xf>
    <xf numFmtId="2" fontId="24" fillId="0" borderId="1" xfId="1" quotePrefix="1" applyNumberFormat="1" applyFont="1" applyBorder="1" applyProtection="1">
      <protection locked="0"/>
    </xf>
    <xf numFmtId="2" fontId="24" fillId="0" borderId="1" xfId="4" quotePrefix="1" applyNumberFormat="1" applyFont="1" applyBorder="1" applyProtection="1">
      <protection locked="0"/>
    </xf>
    <xf numFmtId="2" fontId="24" fillId="0" borderId="1" xfId="1" applyNumberFormat="1" applyFont="1" applyBorder="1" applyProtection="1">
      <protection locked="0"/>
    </xf>
    <xf numFmtId="2" fontId="12" fillId="3" borderId="0" xfId="0" quotePrefix="1" applyNumberFormat="1" applyFont="1" applyFill="1" applyAlignment="1">
      <alignment horizontal="fill"/>
    </xf>
    <xf numFmtId="166" fontId="24" fillId="4" borderId="14" xfId="0" applyNumberFormat="1" applyFont="1" applyFill="1" applyBorder="1" applyAlignment="1" applyProtection="1">
      <alignment horizontal="left"/>
      <protection locked="0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8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9" borderId="0" xfId="0" applyFont="1" applyFill="1"/>
    <xf numFmtId="37" fontId="25" fillId="9" borderId="0" xfId="0" applyFont="1" applyFill="1" applyAlignment="1">
      <alignment horizontal="center"/>
    </xf>
    <xf numFmtId="37" fontId="25" fillId="10" borderId="0" xfId="0" applyFont="1" applyFill="1"/>
    <xf numFmtId="37" fontId="25" fillId="10" borderId="0" xfId="0" applyFont="1" applyFill="1" applyAlignment="1">
      <alignment horizontal="left"/>
    </xf>
    <xf numFmtId="37" fontId="25" fillId="10" borderId="0" xfId="0" applyFont="1" applyFill="1" applyAlignment="1">
      <alignment horizontal="center"/>
    </xf>
    <xf numFmtId="39" fontId="25" fillId="10" borderId="0" xfId="0" applyNumberFormat="1" applyFont="1" applyFill="1"/>
    <xf numFmtId="39" fontId="25" fillId="9" borderId="0" xfId="0" applyNumberFormat="1" applyFont="1" applyFill="1"/>
    <xf numFmtId="37" fontId="25" fillId="7" borderId="0" xfId="1" applyNumberFormat="1" applyFont="1" applyFill="1"/>
    <xf numFmtId="37" fontId="12" fillId="7" borderId="0" xfId="0" quotePrefix="1" applyFont="1" applyFill="1" applyAlignment="1">
      <alignment horizontal="fill"/>
    </xf>
    <xf numFmtId="0" fontId="25" fillId="3" borderId="0" xfId="0" quotePrefix="1" applyNumberFormat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7" fontId="25" fillId="7" borderId="0" xfId="0" applyFont="1" applyFill="1"/>
    <xf numFmtId="37" fontId="8" fillId="7" borderId="0" xfId="0" applyFont="1" applyFill="1"/>
    <xf numFmtId="37" fontId="25" fillId="0" borderId="1" xfId="0" applyFont="1" applyBorder="1" applyProtection="1">
      <protection locked="0"/>
    </xf>
    <xf numFmtId="37" fontId="12" fillId="11" borderId="0" xfId="0" applyFont="1" applyFill="1"/>
    <xf numFmtId="38" fontId="16" fillId="11" borderId="1" xfId="0" applyNumberFormat="1" applyFont="1" applyFill="1" applyBorder="1" applyProtection="1">
      <protection locked="0"/>
    </xf>
    <xf numFmtId="37" fontId="16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12" fillId="0" borderId="0" xfId="0" applyFont="1" applyAlignment="1">
      <alignment horizontal="right" vertical="center"/>
    </xf>
    <xf numFmtId="37" fontId="12" fillId="0" borderId="0" xfId="0" applyFont="1" applyAlignment="1">
      <alignment horizontal="right" vertical="center" wrapText="1"/>
    </xf>
    <xf numFmtId="37" fontId="8" fillId="0" borderId="1" xfId="0" applyFont="1" applyBorder="1" applyAlignment="1">
      <alignment vertical="center"/>
    </xf>
    <xf numFmtId="37" fontId="26" fillId="0" borderId="1" xfId="0" applyFont="1" applyBorder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7" fillId="0" borderId="0" xfId="0" applyFont="1"/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5" borderId="2" xfId="0" applyFont="1" applyFill="1" applyBorder="1"/>
    <xf numFmtId="37" fontId="26" fillId="6" borderId="2" xfId="0" applyFont="1" applyFill="1" applyBorder="1"/>
    <xf numFmtId="37" fontId="29" fillId="0" borderId="0" xfId="0" applyFont="1"/>
    <xf numFmtId="37" fontId="26" fillId="6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6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6" borderId="2" xfId="0" quotePrefix="1" applyFont="1" applyFill="1" applyBorder="1"/>
    <xf numFmtId="39" fontId="26" fillId="6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6" borderId="2" xfId="0" applyNumberFormat="1" applyFont="1" applyFill="1" applyBorder="1"/>
    <xf numFmtId="2" fontId="26" fillId="0" borderId="2" xfId="0" applyNumberFormat="1" applyFont="1" applyBorder="1"/>
    <xf numFmtId="3" fontId="26" fillId="6" borderId="2" xfId="0" applyNumberFormat="1" applyFont="1" applyFill="1" applyBorder="1"/>
    <xf numFmtId="37" fontId="16" fillId="0" borderId="1" xfId="0" applyFont="1" applyBorder="1" applyProtection="1">
      <protection locked="0"/>
    </xf>
    <xf numFmtId="37" fontId="31" fillId="0" borderId="1" xfId="0" applyFont="1" applyBorder="1" applyProtection="1">
      <protection locked="0"/>
    </xf>
    <xf numFmtId="37" fontId="12" fillId="7" borderId="0" xfId="1" applyNumberFormat="1" applyFont="1" applyFill="1"/>
    <xf numFmtId="2" fontId="16" fillId="0" borderId="1" xfId="0" quotePrefix="1" applyNumberFormat="1" applyFont="1" applyBorder="1" applyProtection="1">
      <protection locked="0"/>
    </xf>
    <xf numFmtId="2" fontId="16" fillId="0" borderId="1" xfId="1" quotePrefix="1" applyNumberFormat="1" applyFont="1" applyBorder="1" applyProtection="1">
      <protection locked="0"/>
    </xf>
    <xf numFmtId="2" fontId="16" fillId="0" borderId="1" xfId="4" quotePrefix="1" applyNumberFormat="1" applyFont="1" applyBorder="1" applyProtection="1">
      <protection locked="0"/>
    </xf>
    <xf numFmtId="2" fontId="16" fillId="0" borderId="1" xfId="1" applyNumberFormat="1" applyFont="1" applyBorder="1" applyProtection="1">
      <protection locked="0"/>
    </xf>
    <xf numFmtId="37" fontId="16" fillId="0" borderId="1" xfId="4" quotePrefix="1" applyNumberFormat="1" applyFont="1" applyBorder="1" applyProtection="1">
      <protection locked="0"/>
    </xf>
    <xf numFmtId="1" fontId="16" fillId="0" borderId="1" xfId="0" quotePrefix="1" applyNumberFormat="1" applyFont="1" applyBorder="1" applyProtection="1">
      <protection locked="0"/>
    </xf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167" fontId="16" fillId="4" borderId="1" xfId="0" quotePrefix="1" applyNumberFormat="1" applyFont="1" applyFill="1" applyBorder="1" applyProtection="1">
      <protection locked="0"/>
    </xf>
    <xf numFmtId="38" fontId="16" fillId="4" borderId="1" xfId="0" quotePrefix="1" applyNumberFormat="1" applyFont="1" applyFill="1" applyBorder="1" applyAlignment="1" applyProtection="1">
      <alignment horizontal="left"/>
      <protection locked="0"/>
    </xf>
    <xf numFmtId="166" fontId="16" fillId="4" borderId="14" xfId="0" applyNumberFormat="1" applyFont="1" applyFill="1" applyBorder="1" applyAlignment="1" applyProtection="1">
      <alignment horizontal="left"/>
      <protection locked="0"/>
    </xf>
    <xf numFmtId="49" fontId="16" fillId="4" borderId="1" xfId="0" quotePrefix="1" applyNumberFormat="1" applyFont="1" applyFill="1" applyBorder="1" applyProtection="1">
      <protection locked="0"/>
    </xf>
    <xf numFmtId="38" fontId="16" fillId="4" borderId="1" xfId="0" applyNumberFormat="1" applyFont="1" applyFill="1" applyBorder="1" applyAlignment="1" applyProtection="1">
      <alignment horizontal="center"/>
      <protection locked="0"/>
    </xf>
    <xf numFmtId="0" fontId="7" fillId="0" borderId="14" xfId="2" applyBorder="1">
      <alignment vertical="top"/>
      <protection locked="0"/>
    </xf>
    <xf numFmtId="37" fontId="4" fillId="0" borderId="0" xfId="0" applyFont="1"/>
    <xf numFmtId="37" fontId="4" fillId="0" borderId="0" xfId="0" quotePrefix="1" applyFont="1" applyAlignment="1">
      <alignment vertical="center" readingOrder="1"/>
    </xf>
    <xf numFmtId="37" fontId="4" fillId="0" borderId="0" xfId="0" quotePrefix="1" applyFont="1"/>
    <xf numFmtId="37" fontId="19" fillId="0" borderId="0" xfId="0" applyFont="1"/>
    <xf numFmtId="0" fontId="15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4" fillId="11" borderId="0" xfId="0" applyFont="1" applyFill="1"/>
    <xf numFmtId="38" fontId="4" fillId="11" borderId="0" xfId="0" applyNumberFormat="1" applyFont="1" applyFill="1"/>
    <xf numFmtId="37" fontId="4" fillId="11" borderId="0" xfId="0" quotePrefix="1" applyFont="1" applyFill="1" applyAlignment="1">
      <alignment vertical="center" readingOrder="1"/>
    </xf>
    <xf numFmtId="37" fontId="4" fillId="11" borderId="0" xfId="0" quotePrefix="1" applyFont="1" applyFill="1" applyAlignment="1">
      <alignment horizontal="left"/>
    </xf>
    <xf numFmtId="37" fontId="4" fillId="11" borderId="0" xfId="0" quotePrefix="1" applyFont="1" applyFill="1"/>
    <xf numFmtId="37" fontId="4" fillId="11" borderId="0" xfId="0" applyFont="1" applyFill="1" applyAlignment="1">
      <alignment vertical="center" readingOrder="1"/>
    </xf>
    <xf numFmtId="37" fontId="3" fillId="11" borderId="0" xfId="0" quotePrefix="1" applyFont="1" applyFill="1"/>
    <xf numFmtId="168" fontId="24" fillId="4" borderId="1" xfId="0" quotePrefix="1" applyNumberFormat="1" applyFont="1" applyFill="1" applyBorder="1" applyAlignment="1" applyProtection="1">
      <alignment horizontal="left"/>
      <protection locked="0"/>
    </xf>
    <xf numFmtId="168" fontId="16" fillId="4" borderId="1" xfId="0" quotePrefix="1" applyNumberFormat="1" applyFont="1" applyFill="1" applyBorder="1" applyAlignment="1" applyProtection="1">
      <alignment horizontal="left"/>
      <protection locked="0"/>
    </xf>
    <xf numFmtId="38" fontId="16" fillId="4" borderId="1" xfId="5" applyNumberFormat="1" applyFont="1" applyFill="1" applyBorder="1" applyProtection="1">
      <protection locked="0"/>
    </xf>
    <xf numFmtId="0" fontId="16" fillId="4" borderId="1" xfId="5" applyFont="1" applyFill="1" applyBorder="1" applyProtection="1">
      <protection locked="0"/>
    </xf>
    <xf numFmtId="44" fontId="16" fillId="4" borderId="1" xfId="5" applyNumberFormat="1" applyFont="1" applyFill="1" applyBorder="1" applyProtection="1">
      <protection locked="0"/>
    </xf>
    <xf numFmtId="43" fontId="16" fillId="4" borderId="1" xfId="5" applyNumberFormat="1" applyFont="1" applyFill="1" applyBorder="1" applyProtection="1">
      <protection locked="0"/>
    </xf>
    <xf numFmtId="0" fontId="16" fillId="3" borderId="0" xfId="5" applyFont="1" applyFill="1" applyAlignment="1">
      <alignment horizontal="centerContinuous"/>
    </xf>
    <xf numFmtId="38" fontId="16" fillId="4" borderId="1" xfId="5" applyNumberFormat="1" applyFont="1" applyFill="1" applyBorder="1" applyAlignment="1" applyProtection="1">
      <alignment horizontal="right"/>
      <protection locked="0"/>
    </xf>
    <xf numFmtId="38" fontId="16" fillId="0" borderId="1" xfId="5" applyNumberFormat="1" applyFont="1" applyBorder="1" applyProtection="1">
      <protection locked="0"/>
    </xf>
    <xf numFmtId="0" fontId="7" fillId="0" borderId="0" xfId="2">
      <alignment vertical="top"/>
      <protection locked="0"/>
    </xf>
    <xf numFmtId="37" fontId="16" fillId="3" borderId="0" xfId="0" applyFont="1" applyFill="1" applyAlignment="1">
      <alignment horizontal="center" vertical="center"/>
    </xf>
  </cellXfs>
  <cellStyles count="35">
    <cellStyle name="Comma" xfId="1" builtinId="3"/>
    <cellStyle name="Comma 10 11" xfId="31" xr:uid="{06BCE59A-4B2F-40BE-ADA9-A1D512A5DE75}"/>
    <cellStyle name="Comma 11 2 2" xfId="29" xr:uid="{0921B8E3-9905-4C00-8766-4694A300B032}"/>
    <cellStyle name="Comma 2" xfId="7" xr:uid="{4F4BD496-62BB-4178-83F1-E25E01493C65}"/>
    <cellStyle name="Comma 2 2" xfId="17" xr:uid="{1C7D057A-2884-4F40-A086-97459CEA3609}"/>
    <cellStyle name="Comma 2 4" xfId="32" xr:uid="{F3461FD6-B1EF-41AC-8DC5-CDCC1617C477}"/>
    <cellStyle name="Comma 28" xfId="8" xr:uid="{A51B35A3-6569-4CF2-AC0B-C29B395496E9}"/>
    <cellStyle name="Comma 28 2" xfId="27" xr:uid="{02539924-48B8-4677-8C90-FBE82DE3841E}"/>
    <cellStyle name="Comma 3" xfId="21" xr:uid="{5152EC0B-8728-45E0-A773-1EB5703EE778}"/>
    <cellStyle name="Comma 4" xfId="6" xr:uid="{AA48365C-1872-4E78-B1DC-267578DF55D9}"/>
    <cellStyle name="Currency 2" xfId="9" xr:uid="{DA185071-FB38-41C6-9596-E622BA74C2AE}"/>
    <cellStyle name="Currency 3" xfId="23" xr:uid="{4C98F5AF-30F1-440B-B841-07DD334EFE9E}"/>
    <cellStyle name="FRxAmtStyle" xfId="10" xr:uid="{9B24E7A0-FC6D-421D-A87F-7F4B1D6523BC}"/>
    <cellStyle name="Hyperlink" xfId="2" builtinId="8"/>
    <cellStyle name="Normal" xfId="0" builtinId="0"/>
    <cellStyle name="Normal 10 2 2" xfId="30" xr:uid="{669B9CEF-728A-49BB-8248-7156D421678D}"/>
    <cellStyle name="Normal 13" xfId="11" xr:uid="{26E16B23-F6BF-4DF3-A3BC-8C25B0DD8708}"/>
    <cellStyle name="Normal 13 2" xfId="26" xr:uid="{554FAE3F-45FB-4023-AF92-AD13DBDDF788}"/>
    <cellStyle name="Normal 2" xfId="3" xr:uid="{B190D761-ADDB-4CFB-8149-54EEFCE0B1C0}"/>
    <cellStyle name="Normal 2 2" xfId="34" xr:uid="{C4840AAF-F67D-46E2-8B6F-8DA0CF824DCD}"/>
    <cellStyle name="Normal 2 3" xfId="16" xr:uid="{99854662-FBF5-4592-97C5-F25CE237558E}"/>
    <cellStyle name="Normal 2 4" xfId="12" xr:uid="{24C48D6E-261F-41D2-94EB-AA6E777C7957}"/>
    <cellStyle name="Normal 24" xfId="13" xr:uid="{8F342693-BB91-4779-B55A-5CEDF0D9DDC0}"/>
    <cellStyle name="Normal 24 2" xfId="28" xr:uid="{A497AF1D-126D-46FA-9AF2-2AB3BD4F0725}"/>
    <cellStyle name="Normal 27" xfId="33" xr:uid="{10143188-AF00-4B4D-A52D-276F2F4BECC9}"/>
    <cellStyle name="Normal 3" xfId="15" xr:uid="{A8944EE3-F5CB-41E4-9611-0871D7B29353}"/>
    <cellStyle name="Normal 3 2" xfId="18" xr:uid="{96780A86-C34E-422F-8B25-9DA1A35FA772}"/>
    <cellStyle name="Normal 4" xfId="19" xr:uid="{8BE73BAF-A7D1-48F9-A8A9-08B35364AF69}"/>
    <cellStyle name="Normal 5" xfId="20" xr:uid="{24001E69-8A26-411D-9E1B-0536B63D96CD}"/>
    <cellStyle name="Normal 6" xfId="22" xr:uid="{A091690B-369F-418D-9443-BE7F7178439D}"/>
    <cellStyle name="Normal 7" xfId="25" xr:uid="{356EEC54-0EB7-4907-AE82-5A35FAE34A83}"/>
    <cellStyle name="Normal 8" xfId="5" xr:uid="{25C1FA92-4B51-4713-BE2B-086C5904C267}"/>
    <cellStyle name="Percent" xfId="4" builtinId="5"/>
    <cellStyle name="Percent 2" xfId="14" xr:uid="{6C12D03F-73BE-4713-8613-D490792829BB}"/>
    <cellStyle name="Percent 3" xfId="24" xr:uid="{466F6651-5691-41AB-A7FA-F182FDFAD9BD}"/>
  </cellStyles>
  <dxfs count="0"/>
  <tableStyles count="1" defaultTableStyle="TableStyleMedium9" defaultPivotStyle="PivotStyleLight16">
    <tableStyle name="Invisible" pivot="0" table="0" count="0" xr9:uid="{0660A515-58D7-4D28-9D38-1FC53BBD2B92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icole.bryan@uhsinc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72" transitionEvaluation="1" transitionEntry="1" codeName="Sheet1">
    <tabColor rgb="FF92D050"/>
    <pageSetUpPr autoPageBreaks="0" fitToPage="1"/>
  </sheetPr>
  <dimension ref="A1:CF716"/>
  <sheetViews>
    <sheetView tabSelected="1" topLeftCell="A172" zoomScale="70" zoomScaleNormal="70" workbookViewId="0">
      <selection activeCell="C97" sqref="C97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4806769.53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0</v>
      </c>
      <c r="F48" s="32">
        <f t="shared" si="0"/>
        <v>0</v>
      </c>
      <c r="G48" s="32">
        <f t="shared" si="0"/>
        <v>0</v>
      </c>
      <c r="H48" s="32">
        <f t="shared" si="0"/>
        <v>2513212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0</v>
      </c>
      <c r="Q48" s="32">
        <f t="shared" si="0"/>
        <v>0</v>
      </c>
      <c r="R48" s="32">
        <f t="shared" si="0"/>
        <v>0</v>
      </c>
      <c r="S48" s="32">
        <f t="shared" si="0"/>
        <v>0</v>
      </c>
      <c r="T48" s="32">
        <f t="shared" si="0"/>
        <v>0</v>
      </c>
      <c r="U48" s="32">
        <f t="shared" si="0"/>
        <v>0</v>
      </c>
      <c r="V48" s="32">
        <f t="shared" si="0"/>
        <v>2008</v>
      </c>
      <c r="W48" s="32">
        <f t="shared" si="0"/>
        <v>0</v>
      </c>
      <c r="X48" s="32">
        <f t="shared" si="0"/>
        <v>0</v>
      </c>
      <c r="Y48" s="32">
        <f t="shared" si="0"/>
        <v>0</v>
      </c>
      <c r="Z48" s="32">
        <f t="shared" si="0"/>
        <v>0</v>
      </c>
      <c r="AA48" s="32">
        <f t="shared" si="0"/>
        <v>0</v>
      </c>
      <c r="AB48" s="32">
        <f t="shared" si="0"/>
        <v>93651</v>
      </c>
      <c r="AC48" s="32">
        <f t="shared" si="0"/>
        <v>0</v>
      </c>
      <c r="AD48" s="32">
        <f t="shared" si="0"/>
        <v>0</v>
      </c>
      <c r="AE48" s="32">
        <f t="shared" si="0"/>
        <v>0</v>
      </c>
      <c r="AF48" s="32">
        <f t="shared" si="0"/>
        <v>0</v>
      </c>
      <c r="AG48" s="32">
        <f t="shared" si="0"/>
        <v>0</v>
      </c>
      <c r="AH48" s="32">
        <f t="shared" si="0"/>
        <v>0</v>
      </c>
      <c r="AI48" s="32">
        <f t="shared" si="0"/>
        <v>0</v>
      </c>
      <c r="AJ48" s="32">
        <f t="shared" si="0"/>
        <v>0</v>
      </c>
      <c r="AK48" s="32">
        <f t="shared" si="0"/>
        <v>0</v>
      </c>
      <c r="AL48" s="32">
        <f t="shared" si="0"/>
        <v>0</v>
      </c>
      <c r="AM48" s="32">
        <f t="shared" si="0"/>
        <v>45071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249568</v>
      </c>
      <c r="AV48" s="32">
        <f t="shared" si="0"/>
        <v>280877</v>
      </c>
      <c r="AW48" s="32">
        <f t="shared" si="0"/>
        <v>0</v>
      </c>
      <c r="AX48" s="32">
        <f t="shared" si="0"/>
        <v>0</v>
      </c>
      <c r="AY48" s="32">
        <f t="shared" si="0"/>
        <v>102133</v>
      </c>
      <c r="AZ48" s="32">
        <f t="shared" si="0"/>
        <v>0</v>
      </c>
      <c r="BA48" s="32">
        <f t="shared" si="0"/>
        <v>0</v>
      </c>
      <c r="BB48" s="32">
        <f t="shared" si="0"/>
        <v>264</v>
      </c>
      <c r="BC48" s="32">
        <f t="shared" si="0"/>
        <v>0</v>
      </c>
      <c r="BD48" s="32">
        <f t="shared" si="0"/>
        <v>0</v>
      </c>
      <c r="BE48" s="32">
        <f t="shared" si="0"/>
        <v>60180</v>
      </c>
      <c r="BF48" s="32">
        <f t="shared" si="0"/>
        <v>24536</v>
      </c>
      <c r="BG48" s="32">
        <f t="shared" si="0"/>
        <v>50506</v>
      </c>
      <c r="BH48" s="32">
        <f t="shared" si="0"/>
        <v>0</v>
      </c>
      <c r="BI48" s="32">
        <f t="shared" si="0"/>
        <v>119739</v>
      </c>
      <c r="BJ48" s="32">
        <f t="shared" si="0"/>
        <v>35390</v>
      </c>
      <c r="BK48" s="32">
        <f t="shared" si="0"/>
        <v>62898</v>
      </c>
      <c r="BL48" s="32">
        <f t="shared" si="0"/>
        <v>240600</v>
      </c>
      <c r="BM48" s="32">
        <f t="shared" si="0"/>
        <v>0</v>
      </c>
      <c r="BN48" s="32">
        <f t="shared" si="0"/>
        <v>143159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61971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55189</v>
      </c>
      <c r="BW48" s="32">
        <f t="shared" si="1"/>
        <v>0</v>
      </c>
      <c r="BX48" s="32">
        <f t="shared" si="1"/>
        <v>117132</v>
      </c>
      <c r="BY48" s="32">
        <f t="shared" si="1"/>
        <v>312196</v>
      </c>
      <c r="BZ48" s="32">
        <f t="shared" si="1"/>
        <v>0</v>
      </c>
      <c r="CA48" s="32">
        <f t="shared" si="1"/>
        <v>114813</v>
      </c>
      <c r="CB48" s="32">
        <f t="shared" si="1"/>
        <v>0</v>
      </c>
      <c r="CC48" s="32">
        <f t="shared" si="1"/>
        <v>121678</v>
      </c>
      <c r="CD48" s="32">
        <f t="shared" si="1"/>
        <v>0</v>
      </c>
      <c r="CE48" s="32">
        <f>SUM(C48:CD48)</f>
        <v>4806771</v>
      </c>
    </row>
    <row r="49" spans="1:83" x14ac:dyDescent="0.35">
      <c r="A49" s="20" t="s">
        <v>218</v>
      </c>
      <c r="B49" s="32">
        <f>B47+B48</f>
        <v>4806769.53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>
        <v>1215878.3699999999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0</v>
      </c>
      <c r="F52" s="32">
        <f t="shared" si="2"/>
        <v>0</v>
      </c>
      <c r="G52" s="32">
        <f t="shared" si="2"/>
        <v>0</v>
      </c>
      <c r="H52" s="32">
        <f t="shared" si="2"/>
        <v>725330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0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0</v>
      </c>
      <c r="Z52" s="32">
        <f t="shared" si="2"/>
        <v>0</v>
      </c>
      <c r="AA52" s="32">
        <f t="shared" si="2"/>
        <v>0</v>
      </c>
      <c r="AB52" s="32">
        <f t="shared" si="2"/>
        <v>3301</v>
      </c>
      <c r="AC52" s="32">
        <f t="shared" si="2"/>
        <v>0</v>
      </c>
      <c r="AD52" s="32">
        <f t="shared" si="2"/>
        <v>0</v>
      </c>
      <c r="AE52" s="32">
        <f t="shared" si="2"/>
        <v>0</v>
      </c>
      <c r="AF52" s="32">
        <f t="shared" si="2"/>
        <v>0</v>
      </c>
      <c r="AG52" s="32">
        <f t="shared" si="2"/>
        <v>0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>IF($B$52,ROUND(($B$52/($CE$90+$CF$90)*AU90),0))</f>
        <v>78275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>IF($B$52,ROUND(($B$52/($CE$90+$CF$90)*AY90),0))</f>
        <v>57705</v>
      </c>
      <c r="AZ52" s="32">
        <f t="shared" si="2"/>
        <v>22634</v>
      </c>
      <c r="BA52" s="32">
        <f t="shared" si="2"/>
        <v>7545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0</v>
      </c>
      <c r="BF52" s="32">
        <f t="shared" si="2"/>
        <v>0</v>
      </c>
      <c r="BG52" s="32">
        <f t="shared" si="2"/>
        <v>1415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297261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2844</v>
      </c>
      <c r="BS52" s="32">
        <f t="shared" si="3"/>
        <v>0</v>
      </c>
      <c r="BT52" s="32">
        <f t="shared" si="3"/>
        <v>0</v>
      </c>
      <c r="BU52" s="32">
        <f t="shared" si="3"/>
        <v>8252</v>
      </c>
      <c r="BV52" s="32">
        <f t="shared" si="3"/>
        <v>9902</v>
      </c>
      <c r="BW52" s="32">
        <f t="shared" si="3"/>
        <v>0</v>
      </c>
      <c r="BX52" s="32">
        <f t="shared" si="3"/>
        <v>0</v>
      </c>
      <c r="BY52" s="32">
        <f t="shared" si="3"/>
        <v>1415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1215879</v>
      </c>
    </row>
    <row r="53" spans="1:83" x14ac:dyDescent="0.35">
      <c r="A53" s="20" t="s">
        <v>218</v>
      </c>
      <c r="B53" s="32">
        <f>B51+B52</f>
        <v>1215878.3699999999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/>
      <c r="F59" s="24"/>
      <c r="G59" s="24"/>
      <c r="H59" s="24">
        <v>40543</v>
      </c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>
        <f>E156</f>
        <v>10289</v>
      </c>
      <c r="AV59" s="314"/>
      <c r="AW59" s="314"/>
      <c r="AX59" s="314"/>
      <c r="AY59" s="30">
        <f>H91</f>
        <v>121629</v>
      </c>
      <c r="AZ59" s="30"/>
      <c r="BA59" s="314"/>
      <c r="BB59" s="314"/>
      <c r="BC59" s="314"/>
      <c r="BD59" s="314"/>
      <c r="BE59" s="30">
        <v>82513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/>
      <c r="D60" s="315"/>
      <c r="E60" s="315"/>
      <c r="F60" s="315"/>
      <c r="G60" s="315"/>
      <c r="H60" s="315">
        <v>121.64182692307693</v>
      </c>
      <c r="I60" s="315"/>
      <c r="J60" s="315"/>
      <c r="K60" s="315"/>
      <c r="L60" s="315"/>
      <c r="M60" s="315"/>
      <c r="N60" s="315"/>
      <c r="O60" s="315"/>
      <c r="P60" s="316"/>
      <c r="Q60" s="316"/>
      <c r="R60" s="316"/>
      <c r="S60" s="317"/>
      <c r="T60" s="317"/>
      <c r="U60" s="318"/>
      <c r="V60" s="316"/>
      <c r="W60" s="316"/>
      <c r="X60" s="316"/>
      <c r="Y60" s="316"/>
      <c r="Z60" s="316"/>
      <c r="AA60" s="316"/>
      <c r="AB60" s="317">
        <v>3.5783653846153847</v>
      </c>
      <c r="AC60" s="316"/>
      <c r="AD60" s="316"/>
      <c r="AE60" s="316"/>
      <c r="AF60" s="316"/>
      <c r="AG60" s="316"/>
      <c r="AH60" s="316"/>
      <c r="AI60" s="316"/>
      <c r="AJ60" s="316"/>
      <c r="AK60" s="316"/>
      <c r="AL60" s="316"/>
      <c r="AM60" s="316">
        <v>3.6870192307692307</v>
      </c>
      <c r="AN60" s="316"/>
      <c r="AO60" s="316"/>
      <c r="AP60" s="316"/>
      <c r="AQ60" s="316"/>
      <c r="AR60" s="316"/>
      <c r="AS60" s="316"/>
      <c r="AT60" s="316"/>
      <c r="AU60" s="316">
        <v>16.471153846153847</v>
      </c>
      <c r="AV60" s="317">
        <v>19.654807692307692</v>
      </c>
      <c r="AW60" s="317"/>
      <c r="AX60" s="317"/>
      <c r="AY60" s="316">
        <v>9.6456730769230763</v>
      </c>
      <c r="AZ60" s="316"/>
      <c r="BA60" s="317"/>
      <c r="BB60" s="317">
        <v>-3.8461538461538464E-3</v>
      </c>
      <c r="BC60" s="317"/>
      <c r="BD60" s="317"/>
      <c r="BE60" s="316">
        <v>3.7254807692307694</v>
      </c>
      <c r="BF60" s="317">
        <v>11.263942307692307</v>
      </c>
      <c r="BG60" s="317">
        <v>5.1519230769230768</v>
      </c>
      <c r="BH60" s="317"/>
      <c r="BI60" s="317">
        <v>8.9730769230769223</v>
      </c>
      <c r="BJ60" s="317">
        <v>2.983653846153846</v>
      </c>
      <c r="BK60" s="317">
        <v>5.0360576923076916</v>
      </c>
      <c r="BL60" s="317">
        <v>14.541346153846153</v>
      </c>
      <c r="BM60" s="317"/>
      <c r="BN60" s="317">
        <v>4.1307692307692303</v>
      </c>
      <c r="BO60" s="317"/>
      <c r="BP60" s="317"/>
      <c r="BQ60" s="317"/>
      <c r="BR60" s="317">
        <v>3.7259615384615383</v>
      </c>
      <c r="BS60" s="317"/>
      <c r="BT60" s="317"/>
      <c r="BU60" s="317"/>
      <c r="BV60" s="317">
        <v>5.3745192307692307</v>
      </c>
      <c r="BW60" s="317"/>
      <c r="BX60" s="317">
        <v>6.8538461538461535</v>
      </c>
      <c r="BY60" s="317">
        <v>13.466346153846153</v>
      </c>
      <c r="BZ60" s="317"/>
      <c r="CA60" s="317">
        <v>7.797596153846154</v>
      </c>
      <c r="CB60" s="317"/>
      <c r="CC60" s="317">
        <v>6.5985576923076925</v>
      </c>
      <c r="CD60" s="247" t="s">
        <v>233</v>
      </c>
      <c r="CE60" s="268">
        <f t="shared" ref="CE60:CE68" si="4">SUM(C60:CD60)</f>
        <v>274.29807692307691</v>
      </c>
    </row>
    <row r="61" spans="1:83" x14ac:dyDescent="0.35">
      <c r="A61" s="39" t="s">
        <v>248</v>
      </c>
      <c r="B61" s="20"/>
      <c r="C61" s="24"/>
      <c r="D61" s="24"/>
      <c r="E61" s="24"/>
      <c r="F61" s="24"/>
      <c r="G61" s="24"/>
      <c r="H61" s="24">
        <v>14003424.930000002</v>
      </c>
      <c r="I61" s="24"/>
      <c r="J61" s="24"/>
      <c r="K61" s="24"/>
      <c r="L61" s="24"/>
      <c r="M61" s="24"/>
      <c r="N61" s="24"/>
      <c r="O61" s="24"/>
      <c r="P61" s="30"/>
      <c r="Q61" s="30"/>
      <c r="R61" s="30"/>
      <c r="S61" s="319"/>
      <c r="T61" s="319"/>
      <c r="U61" s="31"/>
      <c r="V61" s="30">
        <v>11186.75</v>
      </c>
      <c r="W61" s="30"/>
      <c r="X61" s="30"/>
      <c r="Y61" s="30"/>
      <c r="Z61" s="30"/>
      <c r="AA61" s="30"/>
      <c r="AB61" s="320">
        <v>521817.69999999995</v>
      </c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>
        <v>251130.09999999998</v>
      </c>
      <c r="AN61" s="30"/>
      <c r="AO61" s="30"/>
      <c r="AP61" s="30"/>
      <c r="AQ61" s="30"/>
      <c r="AR61" s="30"/>
      <c r="AS61" s="30"/>
      <c r="AT61" s="30"/>
      <c r="AU61" s="30">
        <v>1390576.28</v>
      </c>
      <c r="AV61" s="319">
        <v>1565024.1199999999</v>
      </c>
      <c r="AW61" s="319"/>
      <c r="AX61" s="319"/>
      <c r="AY61" s="30">
        <v>569076.85000000009</v>
      </c>
      <c r="AZ61" s="30"/>
      <c r="BA61" s="319"/>
      <c r="BB61" s="319">
        <v>1468.6299999999999</v>
      </c>
      <c r="BC61" s="319"/>
      <c r="BD61" s="319"/>
      <c r="BE61" s="30">
        <v>335316.41000000003</v>
      </c>
      <c r="BF61" s="319">
        <v>136713.29</v>
      </c>
      <c r="BG61" s="319">
        <v>281413.74</v>
      </c>
      <c r="BH61" s="319"/>
      <c r="BI61" s="319">
        <v>667177.72</v>
      </c>
      <c r="BJ61" s="319">
        <v>197192.34</v>
      </c>
      <c r="BK61" s="319">
        <v>350460.3</v>
      </c>
      <c r="BL61" s="319">
        <v>1340607.6199999999</v>
      </c>
      <c r="BM61" s="319"/>
      <c r="BN61" s="319">
        <v>797672.87</v>
      </c>
      <c r="BO61" s="319"/>
      <c r="BP61" s="319"/>
      <c r="BQ61" s="319"/>
      <c r="BR61" s="319">
        <v>345295.69999999995</v>
      </c>
      <c r="BS61" s="319"/>
      <c r="BT61" s="319"/>
      <c r="BU61" s="319"/>
      <c r="BV61" s="319">
        <v>307507.77999999997</v>
      </c>
      <c r="BW61" s="319"/>
      <c r="BX61" s="319">
        <v>652649.06999999995</v>
      </c>
      <c r="BY61" s="319">
        <v>1739531.7999999998</v>
      </c>
      <c r="BZ61" s="319"/>
      <c r="CA61" s="319">
        <v>639730.17000000004</v>
      </c>
      <c r="CB61" s="319"/>
      <c r="CC61" s="319">
        <v>677980.73</v>
      </c>
      <c r="CD61" s="29" t="s">
        <v>233</v>
      </c>
      <c r="CE61" s="32">
        <f t="shared" si="4"/>
        <v>26782954.900000002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0</v>
      </c>
      <c r="F62" s="32">
        <f t="shared" si="5"/>
        <v>0</v>
      </c>
      <c r="G62" s="32">
        <f t="shared" si="5"/>
        <v>0</v>
      </c>
      <c r="H62" s="32">
        <f t="shared" si="5"/>
        <v>2513212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0</v>
      </c>
      <c r="V62" s="32">
        <f t="shared" si="5"/>
        <v>2008</v>
      </c>
      <c r="W62" s="32">
        <f t="shared" si="5"/>
        <v>0</v>
      </c>
      <c r="X62" s="32">
        <f t="shared" si="5"/>
        <v>0</v>
      </c>
      <c r="Y62" s="32">
        <f t="shared" si="5"/>
        <v>0</v>
      </c>
      <c r="Z62" s="32">
        <f t="shared" si="5"/>
        <v>0</v>
      </c>
      <c r="AA62" s="32">
        <f t="shared" si="5"/>
        <v>0</v>
      </c>
      <c r="AB62" s="32">
        <f t="shared" si="5"/>
        <v>93651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32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45071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249568</v>
      </c>
      <c r="AV62" s="32">
        <f t="shared" si="5"/>
        <v>280877</v>
      </c>
      <c r="AW62" s="32">
        <f t="shared" si="5"/>
        <v>0</v>
      </c>
      <c r="AX62" s="32">
        <f t="shared" si="5"/>
        <v>0</v>
      </c>
      <c r="AY62" s="32">
        <f t="shared" si="5"/>
        <v>102133</v>
      </c>
      <c r="AZ62" s="32">
        <f t="shared" si="5"/>
        <v>0</v>
      </c>
      <c r="BA62" s="32">
        <f t="shared" si="5"/>
        <v>0</v>
      </c>
      <c r="BB62" s="32">
        <f t="shared" si="5"/>
        <v>264</v>
      </c>
      <c r="BC62" s="32">
        <f t="shared" si="5"/>
        <v>0</v>
      </c>
      <c r="BD62" s="32">
        <f t="shared" si="5"/>
        <v>0</v>
      </c>
      <c r="BE62" s="32">
        <f t="shared" si="5"/>
        <v>60180</v>
      </c>
      <c r="BF62" s="32">
        <f t="shared" si="5"/>
        <v>24536</v>
      </c>
      <c r="BG62" s="32">
        <f t="shared" si="5"/>
        <v>50506</v>
      </c>
      <c r="BH62" s="32">
        <f t="shared" si="5"/>
        <v>0</v>
      </c>
      <c r="BI62" s="32">
        <f t="shared" si="5"/>
        <v>119739</v>
      </c>
      <c r="BJ62" s="32">
        <f t="shared" si="5"/>
        <v>35390</v>
      </c>
      <c r="BK62" s="32">
        <f t="shared" si="5"/>
        <v>62898</v>
      </c>
      <c r="BL62" s="32">
        <f t="shared" si="5"/>
        <v>240600</v>
      </c>
      <c r="BM62" s="32">
        <f t="shared" si="5"/>
        <v>0</v>
      </c>
      <c r="BN62" s="32">
        <f t="shared" si="5"/>
        <v>143159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61971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55189</v>
      </c>
      <c r="BW62" s="32">
        <f t="shared" si="6"/>
        <v>0</v>
      </c>
      <c r="BX62" s="32">
        <f t="shared" si="6"/>
        <v>117132</v>
      </c>
      <c r="BY62" s="32">
        <f t="shared" si="6"/>
        <v>312196</v>
      </c>
      <c r="BZ62" s="32">
        <f t="shared" si="6"/>
        <v>0</v>
      </c>
      <c r="CA62" s="32">
        <f t="shared" si="6"/>
        <v>114813</v>
      </c>
      <c r="CB62" s="32">
        <f t="shared" si="6"/>
        <v>0</v>
      </c>
      <c r="CC62" s="32">
        <f t="shared" si="6"/>
        <v>121678</v>
      </c>
      <c r="CD62" s="29" t="s">
        <v>233</v>
      </c>
      <c r="CE62" s="32">
        <f t="shared" si="4"/>
        <v>4806771</v>
      </c>
    </row>
    <row r="63" spans="1:83" x14ac:dyDescent="0.35">
      <c r="A63" s="39" t="s">
        <v>249</v>
      </c>
      <c r="B63" s="2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9"/>
      <c r="T63" s="319"/>
      <c r="U63" s="31"/>
      <c r="V63" s="30"/>
      <c r="W63" s="30"/>
      <c r="X63" s="30"/>
      <c r="Y63" s="30"/>
      <c r="Z63" s="30"/>
      <c r="AA63" s="30"/>
      <c r="AB63" s="320">
        <v>0</v>
      </c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>
        <v>0</v>
      </c>
      <c r="AN63" s="30"/>
      <c r="AO63" s="30"/>
      <c r="AP63" s="30"/>
      <c r="AQ63" s="30"/>
      <c r="AR63" s="30"/>
      <c r="AS63" s="30"/>
      <c r="AT63" s="30"/>
      <c r="AU63" s="30">
        <v>148632.5</v>
      </c>
      <c r="AV63" s="319">
        <v>0</v>
      </c>
      <c r="AW63" s="319"/>
      <c r="AX63" s="319"/>
      <c r="AY63" s="30">
        <v>0</v>
      </c>
      <c r="AZ63" s="30"/>
      <c r="BA63" s="319"/>
      <c r="BB63" s="319">
        <v>0</v>
      </c>
      <c r="BC63" s="319"/>
      <c r="BD63" s="319"/>
      <c r="BE63" s="30">
        <v>0</v>
      </c>
      <c r="BF63" s="319">
        <v>0</v>
      </c>
      <c r="BG63" s="319">
        <v>0</v>
      </c>
      <c r="BH63" s="319"/>
      <c r="BI63" s="319">
        <v>0</v>
      </c>
      <c r="BJ63" s="319">
        <v>0</v>
      </c>
      <c r="BK63" s="319">
        <v>0</v>
      </c>
      <c r="BL63" s="319">
        <v>0</v>
      </c>
      <c r="BM63" s="319"/>
      <c r="BN63" s="319">
        <v>0</v>
      </c>
      <c r="BO63" s="319"/>
      <c r="BP63" s="319"/>
      <c r="BQ63" s="319"/>
      <c r="BR63" s="319">
        <v>0</v>
      </c>
      <c r="BS63" s="319"/>
      <c r="BT63" s="319"/>
      <c r="BU63" s="319"/>
      <c r="BV63" s="319">
        <v>0</v>
      </c>
      <c r="BW63" s="319">
        <v>6000505</v>
      </c>
      <c r="BX63" s="319">
        <v>0</v>
      </c>
      <c r="BY63" s="319">
        <v>0</v>
      </c>
      <c r="BZ63" s="319"/>
      <c r="CA63" s="319"/>
      <c r="CB63" s="319"/>
      <c r="CC63" s="319"/>
      <c r="CD63" s="29" t="s">
        <v>233</v>
      </c>
      <c r="CE63" s="32">
        <f t="shared" si="4"/>
        <v>6149137.5</v>
      </c>
    </row>
    <row r="64" spans="1:83" x14ac:dyDescent="0.35">
      <c r="A64" s="39" t="s">
        <v>250</v>
      </c>
      <c r="B64" s="20"/>
      <c r="C64" s="24"/>
      <c r="D64" s="24"/>
      <c r="E64" s="24"/>
      <c r="F64" s="24"/>
      <c r="G64" s="24"/>
      <c r="H64" s="24">
        <v>1020</v>
      </c>
      <c r="I64" s="24"/>
      <c r="J64" s="24"/>
      <c r="K64" s="24"/>
      <c r="L64" s="24"/>
      <c r="M64" s="24"/>
      <c r="N64" s="24"/>
      <c r="O64" s="24"/>
      <c r="P64" s="30"/>
      <c r="Q64" s="30"/>
      <c r="R64" s="30"/>
      <c r="S64" s="319"/>
      <c r="T64" s="319"/>
      <c r="U64" s="31"/>
      <c r="V64" s="30"/>
      <c r="W64" s="30"/>
      <c r="X64" s="30"/>
      <c r="Y64" s="30"/>
      <c r="Z64" s="30"/>
      <c r="AA64" s="30"/>
      <c r="AB64" s="320">
        <v>425482.86000000004</v>
      </c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>
        <v>27929.21</v>
      </c>
      <c r="AN64" s="30"/>
      <c r="AO64" s="30"/>
      <c r="AP64" s="30"/>
      <c r="AQ64" s="30"/>
      <c r="AR64" s="30"/>
      <c r="AS64" s="30"/>
      <c r="AT64" s="30"/>
      <c r="AU64" s="30">
        <v>8946.4</v>
      </c>
      <c r="AV64" s="319">
        <v>4124.76</v>
      </c>
      <c r="AW64" s="319"/>
      <c r="AX64" s="319"/>
      <c r="AY64" s="30">
        <v>974149.29999999993</v>
      </c>
      <c r="AZ64" s="30"/>
      <c r="BA64" s="319"/>
      <c r="BB64" s="319">
        <v>198.61</v>
      </c>
      <c r="BC64" s="319"/>
      <c r="BD64" s="319"/>
      <c r="BE64" s="30">
        <v>61959.9</v>
      </c>
      <c r="BF64" s="319">
        <v>98047.14</v>
      </c>
      <c r="BG64" s="319">
        <v>2682.4</v>
      </c>
      <c r="BH64" s="319"/>
      <c r="BI64" s="319">
        <v>187655.69000000003</v>
      </c>
      <c r="BJ64" s="319">
        <v>1293.45</v>
      </c>
      <c r="BK64" s="319">
        <v>6579.84</v>
      </c>
      <c r="BL64" s="319">
        <v>8371.39</v>
      </c>
      <c r="BM64" s="319"/>
      <c r="BN64" s="319">
        <v>10853.94</v>
      </c>
      <c r="BO64" s="319"/>
      <c r="BP64" s="319"/>
      <c r="BQ64" s="319"/>
      <c r="BR64" s="319">
        <v>14569.11</v>
      </c>
      <c r="BS64" s="319"/>
      <c r="BT64" s="319"/>
      <c r="BU64" s="319"/>
      <c r="BV64" s="319">
        <v>21957.08</v>
      </c>
      <c r="BW64" s="319">
        <v>4961.57</v>
      </c>
      <c r="BX64" s="319">
        <v>1836.09</v>
      </c>
      <c r="BY64" s="319">
        <v>19486.150000000001</v>
      </c>
      <c r="BZ64" s="319"/>
      <c r="CA64" s="319"/>
      <c r="CB64" s="319"/>
      <c r="CC64" s="319">
        <v>14937.45</v>
      </c>
      <c r="CD64" s="29" t="s">
        <v>233</v>
      </c>
      <c r="CE64" s="32">
        <f t="shared" si="4"/>
        <v>1897042.3399999999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>
        <v>0</v>
      </c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/>
      <c r="X65" s="30"/>
      <c r="Y65" s="30"/>
      <c r="Z65" s="30"/>
      <c r="AA65" s="30"/>
      <c r="AB65" s="320">
        <v>0</v>
      </c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>
        <v>0</v>
      </c>
      <c r="AN65" s="30"/>
      <c r="AO65" s="30"/>
      <c r="AP65" s="30"/>
      <c r="AQ65" s="30"/>
      <c r="AR65" s="30"/>
      <c r="AS65" s="30"/>
      <c r="AT65" s="30"/>
      <c r="AU65" s="30">
        <v>0</v>
      </c>
      <c r="AV65" s="319">
        <v>0</v>
      </c>
      <c r="AW65" s="319"/>
      <c r="AX65" s="319"/>
      <c r="AY65" s="30">
        <v>0</v>
      </c>
      <c r="AZ65" s="30"/>
      <c r="BA65" s="319"/>
      <c r="BB65" s="319">
        <v>0</v>
      </c>
      <c r="BC65" s="319"/>
      <c r="BD65" s="319"/>
      <c r="BE65" s="30">
        <v>306666</v>
      </c>
      <c r="BF65" s="319">
        <v>0</v>
      </c>
      <c r="BG65" s="319">
        <v>0</v>
      </c>
      <c r="BH65" s="319"/>
      <c r="BI65" s="319">
        <v>0</v>
      </c>
      <c r="BJ65" s="319">
        <v>0</v>
      </c>
      <c r="BK65" s="319">
        <v>0</v>
      </c>
      <c r="BL65" s="319">
        <v>0</v>
      </c>
      <c r="BM65" s="319"/>
      <c r="BN65" s="319">
        <v>0</v>
      </c>
      <c r="BO65" s="319"/>
      <c r="BP65" s="319"/>
      <c r="BQ65" s="319"/>
      <c r="BR65" s="319">
        <v>0</v>
      </c>
      <c r="BS65" s="319"/>
      <c r="BT65" s="319"/>
      <c r="BU65" s="319"/>
      <c r="BV65" s="319">
        <v>0</v>
      </c>
      <c r="BW65" s="319">
        <v>0</v>
      </c>
      <c r="BX65" s="319">
        <v>0</v>
      </c>
      <c r="BY65" s="319">
        <v>0</v>
      </c>
      <c r="BZ65" s="319"/>
      <c r="CA65" s="319"/>
      <c r="CB65" s="319"/>
      <c r="CC65" s="319">
        <v>0</v>
      </c>
      <c r="CD65" s="29" t="s">
        <v>233</v>
      </c>
      <c r="CE65" s="32">
        <f t="shared" si="4"/>
        <v>306666</v>
      </c>
    </row>
    <row r="66" spans="1:83" x14ac:dyDescent="0.35">
      <c r="A66" s="39" t="s">
        <v>252</v>
      </c>
      <c r="B66" s="20"/>
      <c r="C66" s="24"/>
      <c r="D66" s="24"/>
      <c r="E66" s="24"/>
      <c r="F66" s="24"/>
      <c r="G66" s="24"/>
      <c r="H66" s="24">
        <v>99704</v>
      </c>
      <c r="I66" s="24"/>
      <c r="J66" s="24"/>
      <c r="K66" s="24"/>
      <c r="L66" s="24"/>
      <c r="M66" s="24"/>
      <c r="N66" s="24"/>
      <c r="O66" s="24"/>
      <c r="P66" s="30"/>
      <c r="Q66" s="30"/>
      <c r="R66" s="30"/>
      <c r="S66" s="319"/>
      <c r="T66" s="319"/>
      <c r="U66" s="31">
        <v>107247.21</v>
      </c>
      <c r="V66" s="30"/>
      <c r="W66" s="30"/>
      <c r="X66" s="30"/>
      <c r="Y66" s="30">
        <v>19209.68</v>
      </c>
      <c r="Z66" s="30"/>
      <c r="AA66" s="30"/>
      <c r="AB66" s="320">
        <v>83263.53</v>
      </c>
      <c r="AC66" s="30"/>
      <c r="AD66" s="30"/>
      <c r="AE66" s="30"/>
      <c r="AF66" s="30"/>
      <c r="AG66" s="30">
        <v>33265.199999999997</v>
      </c>
      <c r="AH66" s="30"/>
      <c r="AI66" s="30"/>
      <c r="AJ66" s="30"/>
      <c r="AK66" s="30"/>
      <c r="AL66" s="30"/>
      <c r="AM66" s="30">
        <v>102763.75</v>
      </c>
      <c r="AN66" s="30"/>
      <c r="AO66" s="30"/>
      <c r="AP66" s="30"/>
      <c r="AQ66" s="30"/>
      <c r="AR66" s="30"/>
      <c r="AS66" s="30"/>
      <c r="AT66" s="30"/>
      <c r="AU66" s="30">
        <v>6750.89</v>
      </c>
      <c r="AV66" s="319">
        <v>52605.63</v>
      </c>
      <c r="AW66" s="319"/>
      <c r="AX66" s="319"/>
      <c r="AY66" s="30">
        <v>44853</v>
      </c>
      <c r="AZ66" s="30"/>
      <c r="BA66" s="319">
        <v>164370.01999999999</v>
      </c>
      <c r="BB66" s="319">
        <v>19483.36</v>
      </c>
      <c r="BC66" s="319"/>
      <c r="BD66" s="319"/>
      <c r="BE66" s="30">
        <v>107710.06</v>
      </c>
      <c r="BF66" s="319">
        <v>820696.85</v>
      </c>
      <c r="BG66" s="319">
        <v>283.08</v>
      </c>
      <c r="BH66" s="319"/>
      <c r="BI66" s="319">
        <v>315035.86</v>
      </c>
      <c r="BJ66" s="319">
        <v>2365.7600000000002</v>
      </c>
      <c r="BK66" s="319">
        <v>124624.78</v>
      </c>
      <c r="BL66" s="319">
        <v>0</v>
      </c>
      <c r="BM66" s="319"/>
      <c r="BN66" s="319">
        <v>197713.2</v>
      </c>
      <c r="BO66" s="319"/>
      <c r="BP66" s="319"/>
      <c r="BQ66" s="319"/>
      <c r="BR66" s="319">
        <v>89560.42</v>
      </c>
      <c r="BS66" s="319"/>
      <c r="BT66" s="319"/>
      <c r="BU66" s="319"/>
      <c r="BV66" s="319">
        <v>236740.72</v>
      </c>
      <c r="BW66" s="319">
        <v>114809.16</v>
      </c>
      <c r="BX66" s="319">
        <v>3.59</v>
      </c>
      <c r="BY66" s="319">
        <v>0</v>
      </c>
      <c r="BZ66" s="319"/>
      <c r="CA66" s="319"/>
      <c r="CB66" s="319"/>
      <c r="CC66" s="319">
        <v>139653.9</v>
      </c>
      <c r="CD66" s="29" t="s">
        <v>233</v>
      </c>
      <c r="CE66" s="32">
        <f t="shared" si="4"/>
        <v>2882713.6500000004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725330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0</v>
      </c>
      <c r="Z67" s="32">
        <f t="shared" si="7"/>
        <v>0</v>
      </c>
      <c r="AA67" s="32">
        <f t="shared" si="7"/>
        <v>0</v>
      </c>
      <c r="AB67" s="32">
        <f t="shared" si="7"/>
        <v>3301</v>
      </c>
      <c r="AC67" s="32">
        <f t="shared" si="7"/>
        <v>0</v>
      </c>
      <c r="AD67" s="32">
        <f t="shared" si="7"/>
        <v>0</v>
      </c>
      <c r="AE67" s="32">
        <f t="shared" si="7"/>
        <v>0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78275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>ROUND(AY51+AY52,0)</f>
        <v>57705</v>
      </c>
      <c r="AZ67" s="32">
        <f t="shared" si="7"/>
        <v>22634</v>
      </c>
      <c r="BA67" s="32">
        <f t="shared" si="7"/>
        <v>7545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0</v>
      </c>
      <c r="BF67" s="32">
        <f t="shared" si="7"/>
        <v>0</v>
      </c>
      <c r="BG67" s="32">
        <f t="shared" si="7"/>
        <v>1415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297261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2844</v>
      </c>
      <c r="BS67" s="32">
        <f t="shared" si="8"/>
        <v>0</v>
      </c>
      <c r="BT67" s="32">
        <f t="shared" si="8"/>
        <v>0</v>
      </c>
      <c r="BU67" s="32">
        <f t="shared" si="8"/>
        <v>8252</v>
      </c>
      <c r="BV67" s="32">
        <f t="shared" si="8"/>
        <v>9902</v>
      </c>
      <c r="BW67" s="32">
        <f t="shared" si="8"/>
        <v>0</v>
      </c>
      <c r="BX67" s="32">
        <f t="shared" si="8"/>
        <v>0</v>
      </c>
      <c r="BY67" s="32">
        <f t="shared" si="8"/>
        <v>1415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1215879</v>
      </c>
    </row>
    <row r="68" spans="1:83" x14ac:dyDescent="0.35">
      <c r="A68" s="39" t="s">
        <v>253</v>
      </c>
      <c r="B68" s="3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9"/>
      <c r="T68" s="319"/>
      <c r="U68" s="31"/>
      <c r="V68" s="30"/>
      <c r="W68" s="30"/>
      <c r="X68" s="30"/>
      <c r="Y68" s="30"/>
      <c r="Z68" s="30"/>
      <c r="AA68" s="30"/>
      <c r="AB68" s="320">
        <v>1020</v>
      </c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>
        <v>67650</v>
      </c>
      <c r="AV68" s="319"/>
      <c r="AW68" s="319"/>
      <c r="AX68" s="319"/>
      <c r="AY68" s="30"/>
      <c r="AZ68" s="30"/>
      <c r="BA68" s="319"/>
      <c r="BB68" s="319"/>
      <c r="BC68" s="319"/>
      <c r="BD68" s="319"/>
      <c r="BE68" s="30">
        <v>52460.76999999999</v>
      </c>
      <c r="BF68" s="319"/>
      <c r="BG68" s="319"/>
      <c r="BH68" s="319"/>
      <c r="BI68" s="319"/>
      <c r="BJ68" s="319"/>
      <c r="BK68" s="319"/>
      <c r="BL68" s="319"/>
      <c r="BM68" s="319"/>
      <c r="BN68" s="319">
        <v>127785.74000000002</v>
      </c>
      <c r="BO68" s="319"/>
      <c r="BP68" s="319"/>
      <c r="BQ68" s="319"/>
      <c r="BR68" s="319">
        <v>5008.2</v>
      </c>
      <c r="BS68" s="319"/>
      <c r="BT68" s="319"/>
      <c r="BU68" s="319"/>
      <c r="BV68" s="319"/>
      <c r="BW68" s="319"/>
      <c r="BX68" s="319"/>
      <c r="BY68" s="319"/>
      <c r="BZ68" s="319"/>
      <c r="CA68" s="319">
        <v>2285.56</v>
      </c>
      <c r="CB68" s="319"/>
      <c r="CC68" s="319">
        <v>0</v>
      </c>
      <c r="CD68" s="29" t="s">
        <v>233</v>
      </c>
      <c r="CE68" s="32">
        <f t="shared" si="4"/>
        <v>256210.27000000002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0</v>
      </c>
      <c r="G69" s="32">
        <f t="shared" si="9"/>
        <v>0</v>
      </c>
      <c r="H69" s="32">
        <f>SUM(H70:H83)</f>
        <v>7436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0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2732.5400000000373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2001.1100000001024</v>
      </c>
      <c r="AV69" s="32">
        <f t="shared" si="9"/>
        <v>2426.7700000004843</v>
      </c>
      <c r="AW69" s="32">
        <f t="shared" si="9"/>
        <v>0</v>
      </c>
      <c r="AX69" s="32">
        <f t="shared" si="9"/>
        <v>0</v>
      </c>
      <c r="AY69" s="32">
        <f t="shared" si="9"/>
        <v>1199.9399999999441</v>
      </c>
      <c r="AZ69" s="32">
        <f t="shared" si="9"/>
        <v>0</v>
      </c>
      <c r="BA69" s="32">
        <f t="shared" si="9"/>
        <v>0</v>
      </c>
      <c r="BB69" s="32">
        <f t="shared" si="9"/>
        <v>3912.2300000000032</v>
      </c>
      <c r="BC69" s="32">
        <f t="shared" si="9"/>
        <v>124929.93</v>
      </c>
      <c r="BD69" s="32">
        <f t="shared" si="9"/>
        <v>0</v>
      </c>
      <c r="BE69" s="32">
        <f t="shared" si="9"/>
        <v>799558.40999999968</v>
      </c>
      <c r="BF69" s="32">
        <f t="shared" si="9"/>
        <v>137.5</v>
      </c>
      <c r="BG69" s="32">
        <f t="shared" si="9"/>
        <v>87525.169999999984</v>
      </c>
      <c r="BH69" s="32">
        <f t="shared" si="9"/>
        <v>0</v>
      </c>
      <c r="BI69" s="32">
        <f t="shared" si="9"/>
        <v>7919.8699999998207</v>
      </c>
      <c r="BJ69" s="32">
        <f t="shared" si="9"/>
        <v>44845.679999999964</v>
      </c>
      <c r="BK69" s="32">
        <f t="shared" si="9"/>
        <v>56961.169999999925</v>
      </c>
      <c r="BL69" s="32">
        <f t="shared" si="9"/>
        <v>219.30000000000291</v>
      </c>
      <c r="BM69" s="32">
        <f t="shared" si="9"/>
        <v>0</v>
      </c>
      <c r="BN69" s="32">
        <f t="shared" si="9"/>
        <v>301306.09999999986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140055.19000000006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13706.060000000056</v>
      </c>
      <c r="BW69" s="32">
        <f t="shared" si="10"/>
        <v>2309.090000000142</v>
      </c>
      <c r="BX69" s="32">
        <f t="shared" si="10"/>
        <v>1957.2100000001956</v>
      </c>
      <c r="BY69" s="32">
        <f t="shared" si="10"/>
        <v>69903.020000000484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14232573.05000001</v>
      </c>
      <c r="CD69" s="32">
        <f t="shared" si="10"/>
        <v>0</v>
      </c>
      <c r="CE69" s="32">
        <f>SUM(CE70:CE84)</f>
        <v>15903615.340000011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/>
      <c r="F83" s="30"/>
      <c r="G83" s="24"/>
      <c r="H83" s="24">
        <v>7436</v>
      </c>
      <c r="I83" s="30"/>
      <c r="J83" s="30"/>
      <c r="K83" s="30"/>
      <c r="L83" s="30"/>
      <c r="M83" s="24"/>
      <c r="N83" s="24"/>
      <c r="O83" s="24"/>
      <c r="P83" s="30"/>
      <c r="Q83" s="30"/>
      <c r="R83" s="31"/>
      <c r="S83" s="30"/>
      <c r="T83" s="24"/>
      <c r="U83" s="30"/>
      <c r="V83" s="30"/>
      <c r="W83" s="24"/>
      <c r="X83" s="30"/>
      <c r="Y83" s="30"/>
      <c r="Z83" s="30"/>
      <c r="AA83" s="30"/>
      <c r="AB83" s="30">
        <v>2732.5400000000373</v>
      </c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>
        <v>2001.1100000001024</v>
      </c>
      <c r="AV83" s="30">
        <v>2426.7700000004843</v>
      </c>
      <c r="AW83" s="30"/>
      <c r="AX83" s="30"/>
      <c r="AY83" s="30">
        <v>1199.9399999999441</v>
      </c>
      <c r="AZ83" s="30"/>
      <c r="BA83" s="30"/>
      <c r="BB83" s="30">
        <v>3912.2300000000032</v>
      </c>
      <c r="BC83" s="30">
        <v>124929.93</v>
      </c>
      <c r="BD83" s="30"/>
      <c r="BE83" s="30">
        <v>799558.40999999968</v>
      </c>
      <c r="BF83" s="30">
        <v>137.5</v>
      </c>
      <c r="BG83" s="30">
        <v>87525.169999999984</v>
      </c>
      <c r="BH83" s="31"/>
      <c r="BI83" s="30">
        <v>7919.8699999998207</v>
      </c>
      <c r="BJ83" s="30">
        <v>44845.679999999964</v>
      </c>
      <c r="BK83" s="30">
        <v>56961.169999999925</v>
      </c>
      <c r="BL83" s="30">
        <v>219.30000000000291</v>
      </c>
      <c r="BM83" s="30"/>
      <c r="BN83" s="30">
        <v>301306.09999999986</v>
      </c>
      <c r="BO83" s="30"/>
      <c r="BP83" s="30"/>
      <c r="BQ83" s="30"/>
      <c r="BR83" s="30">
        <v>140055.19000000006</v>
      </c>
      <c r="BS83" s="30"/>
      <c r="BT83" s="30"/>
      <c r="BU83" s="30"/>
      <c r="BV83" s="30">
        <v>13706.060000000056</v>
      </c>
      <c r="BW83" s="30">
        <v>2309.090000000142</v>
      </c>
      <c r="BX83" s="30">
        <v>1957.2100000001956</v>
      </c>
      <c r="BY83" s="30">
        <v>69903.020000000484</v>
      </c>
      <c r="BZ83" s="30"/>
      <c r="CA83" s="30"/>
      <c r="CB83" s="30"/>
      <c r="CC83" s="30">
        <v>14232573.05000001</v>
      </c>
      <c r="CD83" s="35"/>
      <c r="CE83" s="32">
        <f t="shared" si="11"/>
        <v>15903615.340000011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0</v>
      </c>
      <c r="F85" s="32">
        <f t="shared" si="12"/>
        <v>0</v>
      </c>
      <c r="G85" s="32">
        <f t="shared" si="12"/>
        <v>0</v>
      </c>
      <c r="H85" s="32">
        <f>SUM(H61:H69)-H84</f>
        <v>17350126.93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0</v>
      </c>
      <c r="T85" s="32">
        <f t="shared" si="12"/>
        <v>0</v>
      </c>
      <c r="U85" s="32">
        <f t="shared" si="12"/>
        <v>107247.21</v>
      </c>
      <c r="V85" s="32">
        <f t="shared" si="12"/>
        <v>13194.75</v>
      </c>
      <c r="W85" s="32">
        <f t="shared" si="12"/>
        <v>0</v>
      </c>
      <c r="X85" s="32">
        <f t="shared" si="12"/>
        <v>0</v>
      </c>
      <c r="Y85" s="32">
        <f t="shared" si="12"/>
        <v>19209.68</v>
      </c>
      <c r="Z85" s="32">
        <f t="shared" si="12"/>
        <v>0</v>
      </c>
      <c r="AA85" s="32">
        <f t="shared" si="12"/>
        <v>0</v>
      </c>
      <c r="AB85" s="32">
        <f t="shared" si="12"/>
        <v>1131268.6300000001</v>
      </c>
      <c r="AC85" s="32">
        <f t="shared" si="12"/>
        <v>0</v>
      </c>
      <c r="AD85" s="32">
        <f t="shared" si="12"/>
        <v>0</v>
      </c>
      <c r="AE85" s="32">
        <f t="shared" si="12"/>
        <v>0</v>
      </c>
      <c r="AF85" s="32">
        <f t="shared" si="12"/>
        <v>0</v>
      </c>
      <c r="AG85" s="32">
        <f t="shared" si="12"/>
        <v>33265.199999999997</v>
      </c>
      <c r="AH85" s="32">
        <f t="shared" si="12"/>
        <v>0</v>
      </c>
      <c r="AI85" s="32">
        <f t="shared" si="12"/>
        <v>0</v>
      </c>
      <c r="AJ85" s="32">
        <f t="shared" si="12"/>
        <v>0</v>
      </c>
      <c r="AK85" s="32">
        <f t="shared" si="12"/>
        <v>0</v>
      </c>
      <c r="AL85" s="32">
        <f t="shared" si="12"/>
        <v>0</v>
      </c>
      <c r="AM85" s="32">
        <f t="shared" si="12"/>
        <v>426894.06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1952400.18</v>
      </c>
      <c r="AV85" s="32">
        <f t="shared" si="12"/>
        <v>1905058.2800000003</v>
      </c>
      <c r="AW85" s="32">
        <f t="shared" si="12"/>
        <v>0</v>
      </c>
      <c r="AX85" s="32">
        <f t="shared" si="12"/>
        <v>0</v>
      </c>
      <c r="AY85" s="32">
        <f>SUM(AY61:AY69)-AY84</f>
        <v>1749117.0899999999</v>
      </c>
      <c r="AZ85" s="32">
        <f t="shared" si="12"/>
        <v>22634</v>
      </c>
      <c r="BA85" s="32">
        <f t="shared" si="12"/>
        <v>171915.02</v>
      </c>
      <c r="BB85" s="32">
        <f t="shared" si="12"/>
        <v>25326.83</v>
      </c>
      <c r="BC85" s="32">
        <f t="shared" si="12"/>
        <v>124929.93</v>
      </c>
      <c r="BD85" s="32">
        <f t="shared" si="12"/>
        <v>0</v>
      </c>
      <c r="BE85" s="32">
        <f t="shared" si="12"/>
        <v>1723851.5499999998</v>
      </c>
      <c r="BF85" s="32">
        <f t="shared" si="12"/>
        <v>1080130.78</v>
      </c>
      <c r="BG85" s="32">
        <f t="shared" si="12"/>
        <v>423825.39</v>
      </c>
      <c r="BH85" s="32">
        <f t="shared" si="12"/>
        <v>0</v>
      </c>
      <c r="BI85" s="32">
        <f t="shared" si="12"/>
        <v>1297528.1399999999</v>
      </c>
      <c r="BJ85" s="32">
        <f t="shared" si="12"/>
        <v>281087.23</v>
      </c>
      <c r="BK85" s="32">
        <f t="shared" si="12"/>
        <v>601524.09</v>
      </c>
      <c r="BL85" s="32">
        <f t="shared" si="12"/>
        <v>1589798.3099999998</v>
      </c>
      <c r="BM85" s="32">
        <f t="shared" si="12"/>
        <v>0</v>
      </c>
      <c r="BN85" s="32">
        <f t="shared" si="12"/>
        <v>1875751.8499999999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659303.62</v>
      </c>
      <c r="BS85" s="32">
        <f t="shared" si="13"/>
        <v>0</v>
      </c>
      <c r="BT85" s="32">
        <f t="shared" si="13"/>
        <v>0</v>
      </c>
      <c r="BU85" s="32">
        <f t="shared" si="13"/>
        <v>8252</v>
      </c>
      <c r="BV85" s="32">
        <f t="shared" si="13"/>
        <v>645002.64</v>
      </c>
      <c r="BW85" s="32">
        <f t="shared" si="13"/>
        <v>6122584.8200000003</v>
      </c>
      <c r="BX85" s="32">
        <f t="shared" si="13"/>
        <v>773577.96000000008</v>
      </c>
      <c r="BY85" s="32">
        <f t="shared" si="13"/>
        <v>2142531.9700000002</v>
      </c>
      <c r="BZ85" s="32">
        <f t="shared" si="13"/>
        <v>0</v>
      </c>
      <c r="CA85" s="32">
        <f t="shared" si="13"/>
        <v>756828.7300000001</v>
      </c>
      <c r="CB85" s="32">
        <f t="shared" si="13"/>
        <v>0</v>
      </c>
      <c r="CC85" s="32">
        <f t="shared" si="13"/>
        <v>15186823.13000001</v>
      </c>
      <c r="CD85" s="32">
        <f t="shared" si="13"/>
        <v>0</v>
      </c>
      <c r="CE85" s="32">
        <f t="shared" si="11"/>
        <v>60200990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/>
      <c r="D87" s="24"/>
      <c r="E87" s="24"/>
      <c r="F87" s="24"/>
      <c r="G87" s="24"/>
      <c r="H87" s="24">
        <f>E157</f>
        <v>120986111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120986111</v>
      </c>
    </row>
    <row r="88" spans="1:84" x14ac:dyDescent="0.35">
      <c r="A88" s="26" t="s">
        <v>273</v>
      </c>
      <c r="B88" s="20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>
        <f>E158</f>
        <v>6986207</v>
      </c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6986207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0</v>
      </c>
      <c r="F89" s="32">
        <f t="shared" si="15"/>
        <v>0</v>
      </c>
      <c r="G89" s="32">
        <f t="shared" si="15"/>
        <v>0</v>
      </c>
      <c r="H89" s="32">
        <f t="shared" si="15"/>
        <v>120986111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0</v>
      </c>
      <c r="Q89" s="32">
        <f t="shared" si="15"/>
        <v>0</v>
      </c>
      <c r="R89" s="32">
        <f t="shared" si="15"/>
        <v>0</v>
      </c>
      <c r="S89" s="32">
        <f t="shared" si="15"/>
        <v>0</v>
      </c>
      <c r="T89" s="32">
        <f t="shared" si="15"/>
        <v>0</v>
      </c>
      <c r="U89" s="32">
        <f t="shared" si="15"/>
        <v>0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0</v>
      </c>
      <c r="Z89" s="32">
        <f t="shared" si="15"/>
        <v>0</v>
      </c>
      <c r="AA89" s="32">
        <f t="shared" si="15"/>
        <v>0</v>
      </c>
      <c r="AB89" s="32">
        <f t="shared" si="15"/>
        <v>0</v>
      </c>
      <c r="AC89" s="32">
        <f t="shared" si="15"/>
        <v>0</v>
      </c>
      <c r="AD89" s="32">
        <f t="shared" si="15"/>
        <v>0</v>
      </c>
      <c r="AE89" s="32">
        <f t="shared" si="15"/>
        <v>0</v>
      </c>
      <c r="AF89" s="32">
        <f t="shared" si="15"/>
        <v>0</v>
      </c>
      <c r="AG89" s="32">
        <f t="shared" si="15"/>
        <v>0</v>
      </c>
      <c r="AH89" s="32">
        <f t="shared" si="15"/>
        <v>0</v>
      </c>
      <c r="AI89" s="32">
        <f t="shared" si="15"/>
        <v>0</v>
      </c>
      <c r="AJ89" s="32">
        <f t="shared" si="15"/>
        <v>0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6986207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127972318</v>
      </c>
    </row>
    <row r="90" spans="1:84" x14ac:dyDescent="0.35">
      <c r="A90" s="39" t="s">
        <v>275</v>
      </c>
      <c r="B90" s="32"/>
      <c r="C90" s="24"/>
      <c r="D90" s="24"/>
      <c r="E90" s="24"/>
      <c r="F90" s="24"/>
      <c r="G90" s="24"/>
      <c r="H90" s="24">
        <v>49223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>
        <v>224</v>
      </c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>
        <v>5312</v>
      </c>
      <c r="AV90" s="24"/>
      <c r="AW90" s="24"/>
      <c r="AX90" s="24"/>
      <c r="AY90" s="24">
        <v>3916</v>
      </c>
      <c r="AZ90" s="24">
        <v>1536</v>
      </c>
      <c r="BA90" s="24">
        <v>512</v>
      </c>
      <c r="BB90" s="24"/>
      <c r="BC90" s="24"/>
      <c r="BD90" s="24"/>
      <c r="BE90" s="24"/>
      <c r="BF90" s="24"/>
      <c r="BG90" s="24">
        <v>96</v>
      </c>
      <c r="BH90" s="24"/>
      <c r="BI90" s="24"/>
      <c r="BJ90" s="24"/>
      <c r="BK90" s="24"/>
      <c r="BL90" s="24"/>
      <c r="BM90" s="24"/>
      <c r="BN90" s="24">
        <v>20173</v>
      </c>
      <c r="BO90" s="24"/>
      <c r="BP90" s="24"/>
      <c r="BQ90" s="24"/>
      <c r="BR90" s="24">
        <v>193</v>
      </c>
      <c r="BS90" s="24"/>
      <c r="BT90" s="24"/>
      <c r="BU90" s="24">
        <v>560</v>
      </c>
      <c r="BV90" s="24">
        <v>672</v>
      </c>
      <c r="BW90" s="24"/>
      <c r="BX90" s="24"/>
      <c r="BY90" s="24">
        <v>96</v>
      </c>
      <c r="BZ90" s="24"/>
      <c r="CA90" s="24"/>
      <c r="CB90" s="24"/>
      <c r="CC90" s="24"/>
      <c r="CD90" s="264" t="s">
        <v>233</v>
      </c>
      <c r="CE90" s="32">
        <f>SUM(C90:CD90)</f>
        <v>82513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>
        <v>121629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121629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/>
      <c r="F92" s="24"/>
      <c r="G92" s="24"/>
      <c r="H92" s="24">
        <v>23429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23429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>
        <v>132556.47</v>
      </c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132556.47</v>
      </c>
      <c r="CF93" s="32">
        <f>BA59</f>
        <v>0</v>
      </c>
    </row>
    <row r="94" spans="1:84" x14ac:dyDescent="0.35">
      <c r="A94" s="26" t="s">
        <v>279</v>
      </c>
      <c r="B94" s="20"/>
      <c r="C94" s="315"/>
      <c r="D94" s="315"/>
      <c r="E94" s="315"/>
      <c r="F94" s="315"/>
      <c r="G94" s="315"/>
      <c r="H94" s="315">
        <v>121.63</v>
      </c>
      <c r="I94" s="315"/>
      <c r="J94" s="315"/>
      <c r="K94" s="315"/>
      <c r="L94" s="315"/>
      <c r="M94" s="315"/>
      <c r="N94" s="315"/>
      <c r="O94" s="315"/>
      <c r="P94" s="316"/>
      <c r="Q94" s="316"/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121.63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1380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1365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1366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1367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1368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1369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/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1370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1371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1375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/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1378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51" t="s">
        <v>1379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2673</v>
      </c>
      <c r="D127" s="50" t="s">
        <v>1376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157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157</v>
      </c>
    </row>
    <row r="144" spans="1:5" x14ac:dyDescent="0.35">
      <c r="A144" s="20" t="s">
        <v>325</v>
      </c>
      <c r="B144" s="46" t="s">
        <v>284</v>
      </c>
      <c r="C144" s="47">
        <v>157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553</v>
      </c>
      <c r="C154" s="50">
        <v>1565</v>
      </c>
      <c r="D154" s="50">
        <v>555</v>
      </c>
      <c r="E154" s="32">
        <f>SUM(B154:D154)</f>
        <v>2673</v>
      </c>
    </row>
    <row r="155" spans="1:6" x14ac:dyDescent="0.35">
      <c r="A155" s="20" t="s">
        <v>227</v>
      </c>
      <c r="B155" s="50">
        <v>11260</v>
      </c>
      <c r="C155" s="50">
        <v>23272</v>
      </c>
      <c r="D155" s="50">
        <v>6011</v>
      </c>
      <c r="E155" s="32">
        <f>SUM(B155:D155)</f>
        <v>40543</v>
      </c>
    </row>
    <row r="156" spans="1:6" x14ac:dyDescent="0.35">
      <c r="A156" s="20" t="s">
        <v>332</v>
      </c>
      <c r="B156" s="50">
        <v>1070</v>
      </c>
      <c r="C156" s="50">
        <v>1425</v>
      </c>
      <c r="D156" s="50">
        <v>7794</v>
      </c>
      <c r="E156" s="32">
        <f>SUM(B156:D156)</f>
        <v>10289</v>
      </c>
    </row>
    <row r="157" spans="1:6" x14ac:dyDescent="0.35">
      <c r="A157" s="20" t="s">
        <v>272</v>
      </c>
      <c r="B157" s="50">
        <v>31866800</v>
      </c>
      <c r="C157" s="50">
        <v>64845200</v>
      </c>
      <c r="D157" s="50">
        <v>24274111</v>
      </c>
      <c r="E157" s="32">
        <f>SUM(B157:D157)</f>
        <v>120986111</v>
      </c>
      <c r="F157" s="18"/>
    </row>
    <row r="158" spans="1:6" x14ac:dyDescent="0.35">
      <c r="A158" s="20" t="s">
        <v>273</v>
      </c>
      <c r="B158" s="50">
        <v>696625</v>
      </c>
      <c r="C158" s="50">
        <v>430605.23</v>
      </c>
      <c r="D158" s="50">
        <v>5858976.7699999996</v>
      </c>
      <c r="E158" s="32">
        <f>SUM(B158:D158)</f>
        <v>6986207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344">
        <v>2188193.89</v>
      </c>
      <c r="D181" s="20"/>
      <c r="E181" s="20"/>
    </row>
    <row r="182" spans="1:5" x14ac:dyDescent="0.35">
      <c r="A182" s="20" t="s">
        <v>342</v>
      </c>
      <c r="B182" s="46" t="s">
        <v>284</v>
      </c>
      <c r="C182" s="344">
        <v>116966.12000000001</v>
      </c>
      <c r="D182" s="20"/>
      <c r="E182" s="20"/>
    </row>
    <row r="183" spans="1:5" x14ac:dyDescent="0.35">
      <c r="A183" s="25" t="s">
        <v>343</v>
      </c>
      <c r="B183" s="46" t="s">
        <v>284</v>
      </c>
      <c r="C183" s="344">
        <v>842598.28</v>
      </c>
      <c r="D183" s="20"/>
      <c r="E183" s="20"/>
    </row>
    <row r="184" spans="1:5" x14ac:dyDescent="0.35">
      <c r="A184" s="20" t="s">
        <v>344</v>
      </c>
      <c r="B184" s="46" t="s">
        <v>284</v>
      </c>
      <c r="C184" s="344">
        <v>1630325.83</v>
      </c>
      <c r="D184" s="20"/>
      <c r="E184" s="20"/>
    </row>
    <row r="185" spans="1:5" x14ac:dyDescent="0.35">
      <c r="A185" s="20" t="s">
        <v>345</v>
      </c>
      <c r="B185" s="46" t="s">
        <v>284</v>
      </c>
      <c r="C185" s="344">
        <v>88684.26999999999</v>
      </c>
      <c r="D185" s="20"/>
      <c r="E185" s="20"/>
    </row>
    <row r="186" spans="1:5" x14ac:dyDescent="0.35">
      <c r="A186" s="20" t="s">
        <v>346</v>
      </c>
      <c r="B186" s="46" t="s">
        <v>284</v>
      </c>
      <c r="C186" s="344">
        <v>404228.98</v>
      </c>
      <c r="D186" s="20"/>
      <c r="E186" s="20"/>
    </row>
    <row r="187" spans="1:5" x14ac:dyDescent="0.35">
      <c r="A187" s="20" t="s">
        <v>347</v>
      </c>
      <c r="B187" s="46" t="s">
        <v>284</v>
      </c>
      <c r="C187" s="344">
        <v>-464227.83999999997</v>
      </c>
      <c r="D187" s="20"/>
      <c r="E187" s="20"/>
    </row>
    <row r="188" spans="1:5" x14ac:dyDescent="0.35">
      <c r="A188" s="20" t="s">
        <v>347</v>
      </c>
      <c r="B188" s="46" t="s">
        <v>284</v>
      </c>
      <c r="C188" s="344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4806769.5299999993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344">
        <v>135300</v>
      </c>
      <c r="D191" s="20"/>
      <c r="E191" s="20"/>
    </row>
    <row r="192" spans="1:5" x14ac:dyDescent="0.35">
      <c r="A192" s="20" t="s">
        <v>350</v>
      </c>
      <c r="B192" s="46" t="s">
        <v>284</v>
      </c>
      <c r="C192" s="344">
        <v>120910.27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256210.27000000002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344">
        <v>339135.19</v>
      </c>
      <c r="D195" s="20"/>
      <c r="E195" s="20"/>
    </row>
    <row r="196" spans="1:5" x14ac:dyDescent="0.35">
      <c r="A196" s="20" t="s">
        <v>353</v>
      </c>
      <c r="B196" s="46" t="s">
        <v>284</v>
      </c>
      <c r="C196" s="344">
        <v>172814.83000000002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511950.02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344">
        <v>195452.25</v>
      </c>
      <c r="D199" s="20"/>
      <c r="E199" s="20"/>
    </row>
    <row r="200" spans="1:5" x14ac:dyDescent="0.35">
      <c r="A200" s="20" t="s">
        <v>356</v>
      </c>
      <c r="B200" s="46" t="s">
        <v>284</v>
      </c>
      <c r="C200" s="344">
        <v>975760.94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1171213.19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/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346">
        <v>4313939.9000000004</v>
      </c>
      <c r="C211" s="344"/>
      <c r="D211" s="345"/>
      <c r="E211" s="32">
        <f t="shared" ref="E211:E219" si="16">SUM(B211:C211)-D211</f>
        <v>4313939.9000000004</v>
      </c>
    </row>
    <row r="212" spans="1:5" x14ac:dyDescent="0.35">
      <c r="A212" s="20" t="s">
        <v>367</v>
      </c>
      <c r="B212" s="346">
        <v>2024521.67</v>
      </c>
      <c r="C212" s="344"/>
      <c r="D212" s="345"/>
      <c r="E212" s="32">
        <f t="shared" si="16"/>
        <v>2024521.67</v>
      </c>
    </row>
    <row r="213" spans="1:5" x14ac:dyDescent="0.35">
      <c r="A213" s="20" t="s">
        <v>368</v>
      </c>
      <c r="B213" s="346">
        <v>1076726.08</v>
      </c>
      <c r="C213" s="344">
        <v>898417.09000000008</v>
      </c>
      <c r="D213" s="345"/>
      <c r="E213" s="32">
        <f t="shared" si="16"/>
        <v>1975143.1700000002</v>
      </c>
    </row>
    <row r="214" spans="1:5" x14ac:dyDescent="0.35">
      <c r="A214" s="20" t="s">
        <v>369</v>
      </c>
      <c r="B214" s="346">
        <v>20055050.98</v>
      </c>
      <c r="C214" s="344">
        <v>119944.55</v>
      </c>
      <c r="D214" s="345"/>
      <c r="E214" s="32">
        <f t="shared" si="16"/>
        <v>20174995.530000001</v>
      </c>
    </row>
    <row r="215" spans="1:5" x14ac:dyDescent="0.35">
      <c r="A215" s="20" t="s">
        <v>370</v>
      </c>
      <c r="B215" s="345"/>
      <c r="C215" s="344"/>
      <c r="D215" s="345"/>
      <c r="E215" s="32">
        <f t="shared" si="16"/>
        <v>0</v>
      </c>
    </row>
    <row r="216" spans="1:5" x14ac:dyDescent="0.35">
      <c r="A216" s="20" t="s">
        <v>371</v>
      </c>
      <c r="B216" s="346">
        <v>4460869.5600000005</v>
      </c>
      <c r="C216" s="344">
        <v>894498.97</v>
      </c>
      <c r="D216" s="347">
        <v>480227.6999999999</v>
      </c>
      <c r="E216" s="32">
        <f t="shared" si="16"/>
        <v>4875140.83</v>
      </c>
    </row>
    <row r="217" spans="1:5" x14ac:dyDescent="0.35">
      <c r="A217" s="20" t="s">
        <v>372</v>
      </c>
      <c r="B217" s="345"/>
      <c r="C217" s="344"/>
      <c r="D217" s="345"/>
      <c r="E217" s="32">
        <f t="shared" si="16"/>
        <v>0</v>
      </c>
    </row>
    <row r="218" spans="1:5" x14ac:dyDescent="0.35">
      <c r="A218" s="20" t="s">
        <v>373</v>
      </c>
      <c r="B218" s="346">
        <v>401094.69</v>
      </c>
      <c r="C218" s="344">
        <v>0</v>
      </c>
      <c r="D218" s="347">
        <v>0</v>
      </c>
      <c r="E218" s="32">
        <f t="shared" si="16"/>
        <v>401094.69</v>
      </c>
    </row>
    <row r="219" spans="1:5" x14ac:dyDescent="0.35">
      <c r="A219" s="20" t="s">
        <v>374</v>
      </c>
      <c r="B219" s="346">
        <v>1012308.0399999999</v>
      </c>
      <c r="C219" s="344">
        <v>905229.26</v>
      </c>
      <c r="D219" s="347">
        <v>1012308.0399999999</v>
      </c>
      <c r="E219" s="32">
        <f t="shared" si="16"/>
        <v>905229.25999999989</v>
      </c>
    </row>
    <row r="220" spans="1:5" x14ac:dyDescent="0.35">
      <c r="A220" s="20" t="s">
        <v>215</v>
      </c>
      <c r="B220" s="32">
        <f>SUM(B211:B219)</f>
        <v>33344510.920000006</v>
      </c>
      <c r="C220" s="266">
        <f>SUM(C211:C219)</f>
        <v>2818089.87</v>
      </c>
      <c r="D220" s="32">
        <f>SUM(D211:D219)</f>
        <v>1492535.7399999998</v>
      </c>
      <c r="E220" s="32">
        <f>SUM(E211:E219)</f>
        <v>34670065.049999997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346">
        <v>1201439.58</v>
      </c>
      <c r="C225" s="344">
        <v>114199.91</v>
      </c>
      <c r="D225" s="345"/>
      <c r="E225" s="32">
        <f t="shared" ref="E225:E232" si="17">SUM(B225:C225)-D225</f>
        <v>1315639.49</v>
      </c>
    </row>
    <row r="226" spans="1:5" x14ac:dyDescent="0.35">
      <c r="A226" s="20" t="s">
        <v>368</v>
      </c>
      <c r="B226" s="346">
        <v>518991.13</v>
      </c>
      <c r="C226" s="344">
        <v>90603.77</v>
      </c>
      <c r="D226" s="345"/>
      <c r="E226" s="32">
        <f t="shared" si="17"/>
        <v>609594.9</v>
      </c>
    </row>
    <row r="227" spans="1:5" x14ac:dyDescent="0.35">
      <c r="A227" s="20" t="s">
        <v>369</v>
      </c>
      <c r="B227" s="346">
        <v>5869172.2000000002</v>
      </c>
      <c r="C227" s="344">
        <v>663093.31999999995</v>
      </c>
      <c r="D227" s="345"/>
      <c r="E227" s="32">
        <f t="shared" si="17"/>
        <v>6532265.5200000005</v>
      </c>
    </row>
    <row r="228" spans="1:5" x14ac:dyDescent="0.35">
      <c r="A228" s="20" t="s">
        <v>370</v>
      </c>
      <c r="B228" s="345"/>
      <c r="C228" s="344"/>
      <c r="D228" s="345"/>
      <c r="E228" s="32">
        <f t="shared" si="17"/>
        <v>0</v>
      </c>
    </row>
    <row r="229" spans="1:5" x14ac:dyDescent="0.35">
      <c r="A229" s="20" t="s">
        <v>371</v>
      </c>
      <c r="B229" s="346">
        <v>3884812.4200000004</v>
      </c>
      <c r="C229" s="344">
        <v>346218.37</v>
      </c>
      <c r="D229" s="347">
        <v>432289.97999999986</v>
      </c>
      <c r="E229" s="32">
        <f t="shared" si="17"/>
        <v>3798740.81</v>
      </c>
    </row>
    <row r="230" spans="1:5" x14ac:dyDescent="0.35">
      <c r="A230" s="20" t="s">
        <v>372</v>
      </c>
      <c r="B230" s="345"/>
      <c r="C230" s="344"/>
      <c r="D230" s="345"/>
      <c r="E230" s="32">
        <f t="shared" si="17"/>
        <v>0</v>
      </c>
    </row>
    <row r="231" spans="1:5" x14ac:dyDescent="0.35">
      <c r="A231" s="20" t="s">
        <v>373</v>
      </c>
      <c r="B231" s="346">
        <v>0</v>
      </c>
      <c r="C231" s="344">
        <v>0</v>
      </c>
      <c r="D231" s="347"/>
      <c r="E231" s="32">
        <f t="shared" si="17"/>
        <v>0</v>
      </c>
    </row>
    <row r="232" spans="1:5" x14ac:dyDescent="0.35">
      <c r="A232" s="20" t="s">
        <v>374</v>
      </c>
      <c r="B232" s="346"/>
      <c r="C232" s="344"/>
      <c r="D232" s="347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11474415.33</v>
      </c>
      <c r="C233" s="266">
        <f>SUM(C224:C232)</f>
        <v>1214115.3700000001</v>
      </c>
      <c r="D233" s="32">
        <f>SUM(D224:D232)</f>
        <v>432289.97999999986</v>
      </c>
      <c r="E233" s="32">
        <f>SUM(E224:E232)</f>
        <v>12256240.720000001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52" t="s">
        <v>377</v>
      </c>
      <c r="C236" s="352"/>
      <c r="D236" s="38"/>
      <c r="E236" s="38"/>
    </row>
    <row r="237" spans="1:5" x14ac:dyDescent="0.35">
      <c r="A237" s="56" t="s">
        <v>377</v>
      </c>
      <c r="B237" s="38"/>
      <c r="C237" s="344">
        <v>798782.39999999991</v>
      </c>
      <c r="D237" s="40">
        <f>C237</f>
        <v>798782.39999999991</v>
      </c>
      <c r="E237" s="38"/>
    </row>
    <row r="238" spans="1:5" x14ac:dyDescent="0.35">
      <c r="A238" s="45" t="s">
        <v>378</v>
      </c>
      <c r="B238" s="45"/>
      <c r="C238" s="348"/>
      <c r="D238" s="45"/>
      <c r="E238" s="45"/>
    </row>
    <row r="239" spans="1:5" x14ac:dyDescent="0.35">
      <c r="A239" s="20" t="s">
        <v>379</v>
      </c>
      <c r="B239" s="46" t="s">
        <v>284</v>
      </c>
      <c r="C239" s="344">
        <v>15742794.209999999</v>
      </c>
      <c r="D239" s="20"/>
      <c r="E239" s="20"/>
    </row>
    <row r="240" spans="1:5" x14ac:dyDescent="0.35">
      <c r="A240" s="20" t="s">
        <v>380</v>
      </c>
      <c r="B240" s="46" t="s">
        <v>284</v>
      </c>
      <c r="C240" s="344">
        <v>46738845.469999991</v>
      </c>
      <c r="D240" s="20"/>
      <c r="E240" s="20"/>
    </row>
    <row r="241" spans="1:5" x14ac:dyDescent="0.35">
      <c r="A241" s="20" t="s">
        <v>381</v>
      </c>
      <c r="B241" s="46" t="s">
        <v>284</v>
      </c>
      <c r="C241" s="344"/>
      <c r="D241" s="20"/>
      <c r="E241" s="20"/>
    </row>
    <row r="242" spans="1:5" x14ac:dyDescent="0.35">
      <c r="A242" s="20" t="s">
        <v>382</v>
      </c>
      <c r="B242" s="46" t="s">
        <v>284</v>
      </c>
      <c r="C242" s="344">
        <v>514635.78</v>
      </c>
      <c r="D242" s="20"/>
      <c r="E242" s="20"/>
    </row>
    <row r="243" spans="1:5" x14ac:dyDescent="0.35">
      <c r="A243" s="20" t="s">
        <v>383</v>
      </c>
      <c r="B243" s="46" t="s">
        <v>284</v>
      </c>
      <c r="C243" s="344">
        <v>9894185.8100000005</v>
      </c>
      <c r="D243" s="20"/>
      <c r="E243" s="20"/>
    </row>
    <row r="244" spans="1:5" x14ac:dyDescent="0.35">
      <c r="A244" s="20" t="s">
        <v>384</v>
      </c>
      <c r="B244" s="46" t="s">
        <v>284</v>
      </c>
      <c r="C244" s="344"/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72890461.269999996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344">
        <v>349534.44</v>
      </c>
      <c r="D249" s="20"/>
      <c r="E249" s="20"/>
    </row>
    <row r="250" spans="1:5" x14ac:dyDescent="0.35">
      <c r="A250" s="26" t="s">
        <v>389</v>
      </c>
      <c r="B250" s="46" t="s">
        <v>284</v>
      </c>
      <c r="C250" s="344">
        <v>47588.57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397123.01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344">
        <v>413548.66999999993</v>
      </c>
      <c r="D254" s="20"/>
      <c r="E254" s="20"/>
    </row>
    <row r="255" spans="1:5" x14ac:dyDescent="0.35">
      <c r="A255" s="20" t="s">
        <v>391</v>
      </c>
      <c r="B255" s="46" t="s">
        <v>284</v>
      </c>
      <c r="C255" s="344">
        <v>4241180.04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4654728.71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78741095.390000001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344">
        <v>-744709.08000000007</v>
      </c>
      <c r="D266" s="20"/>
      <c r="E266" s="20"/>
    </row>
    <row r="267" spans="1:5" x14ac:dyDescent="0.35">
      <c r="A267" s="20" t="s">
        <v>398</v>
      </c>
      <c r="B267" s="46" t="s">
        <v>284</v>
      </c>
      <c r="C267" s="344"/>
      <c r="D267" s="20"/>
      <c r="E267" s="20"/>
    </row>
    <row r="268" spans="1:5" x14ac:dyDescent="0.35">
      <c r="A268" s="20" t="s">
        <v>399</v>
      </c>
      <c r="B268" s="46" t="s">
        <v>284</v>
      </c>
      <c r="C268" s="344">
        <v>13114878.670000004</v>
      </c>
      <c r="D268" s="20"/>
      <c r="E268" s="20"/>
    </row>
    <row r="269" spans="1:5" x14ac:dyDescent="0.35">
      <c r="A269" s="20" t="s">
        <v>400</v>
      </c>
      <c r="B269" s="46" t="s">
        <v>284</v>
      </c>
      <c r="C269" s="344">
        <v>2515139.35</v>
      </c>
      <c r="D269" s="20"/>
      <c r="E269" s="20"/>
    </row>
    <row r="270" spans="1:5" x14ac:dyDescent="0.35">
      <c r="A270" s="20" t="s">
        <v>401</v>
      </c>
      <c r="B270" s="46" t="s">
        <v>284</v>
      </c>
      <c r="C270" s="344">
        <v>139657.81</v>
      </c>
      <c r="D270" s="20"/>
      <c r="E270" s="20"/>
    </row>
    <row r="271" spans="1:5" x14ac:dyDescent="0.35">
      <c r="A271" s="20" t="s">
        <v>402</v>
      </c>
      <c r="B271" s="46" t="s">
        <v>284</v>
      </c>
      <c r="C271" s="344">
        <v>1730253.4900000002</v>
      </c>
      <c r="D271" s="20"/>
      <c r="E271" s="20"/>
    </row>
    <row r="272" spans="1:5" x14ac:dyDescent="0.35">
      <c r="A272" s="20" t="s">
        <v>403</v>
      </c>
      <c r="B272" s="46" t="s">
        <v>284</v>
      </c>
      <c r="C272" s="344"/>
      <c r="D272" s="20"/>
      <c r="E272" s="20"/>
    </row>
    <row r="273" spans="1:5" x14ac:dyDescent="0.35">
      <c r="A273" s="20" t="s">
        <v>404</v>
      </c>
      <c r="B273" s="46" t="s">
        <v>284</v>
      </c>
      <c r="C273" s="344">
        <v>322898.26999999996</v>
      </c>
      <c r="D273" s="20"/>
      <c r="E273" s="20"/>
    </row>
    <row r="274" spans="1:5" x14ac:dyDescent="0.35">
      <c r="A274" s="20" t="s">
        <v>405</v>
      </c>
      <c r="B274" s="46" t="s">
        <v>284</v>
      </c>
      <c r="C274" s="344">
        <v>266290.95999999996</v>
      </c>
      <c r="D274" s="20"/>
      <c r="E274" s="20"/>
    </row>
    <row r="275" spans="1:5" x14ac:dyDescent="0.35">
      <c r="A275" s="20" t="s">
        <v>406</v>
      </c>
      <c r="B275" s="46" t="s">
        <v>284</v>
      </c>
      <c r="C275" s="344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12314130.770000003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344">
        <v>4313939.9000000004</v>
      </c>
      <c r="D283" s="20"/>
      <c r="E283" s="20"/>
    </row>
    <row r="284" spans="1:5" x14ac:dyDescent="0.35">
      <c r="A284" s="20" t="s">
        <v>367</v>
      </c>
      <c r="B284" s="46" t="s">
        <v>284</v>
      </c>
      <c r="C284" s="344">
        <v>2024521.67</v>
      </c>
      <c r="D284" s="20"/>
      <c r="E284" s="20"/>
    </row>
    <row r="285" spans="1:5" x14ac:dyDescent="0.35">
      <c r="A285" s="20" t="s">
        <v>368</v>
      </c>
      <c r="B285" s="46" t="s">
        <v>284</v>
      </c>
      <c r="C285" s="344">
        <v>1975143.1700000002</v>
      </c>
      <c r="D285" s="20"/>
      <c r="E285" s="20"/>
    </row>
    <row r="286" spans="1:5" x14ac:dyDescent="0.35">
      <c r="A286" s="20" t="s">
        <v>412</v>
      </c>
      <c r="B286" s="46" t="s">
        <v>284</v>
      </c>
      <c r="C286" s="344">
        <v>20174995.530000001</v>
      </c>
      <c r="D286" s="20"/>
      <c r="E286" s="20"/>
    </row>
    <row r="287" spans="1:5" x14ac:dyDescent="0.35">
      <c r="A287" s="20" t="s">
        <v>413</v>
      </c>
      <c r="B287" s="46" t="s">
        <v>284</v>
      </c>
      <c r="C287" s="344">
        <v>0</v>
      </c>
      <c r="D287" s="20"/>
      <c r="E287" s="20"/>
    </row>
    <row r="288" spans="1:5" x14ac:dyDescent="0.35">
      <c r="A288" s="20" t="s">
        <v>414</v>
      </c>
      <c r="B288" s="46" t="s">
        <v>284</v>
      </c>
      <c r="C288" s="344">
        <v>4875140.83</v>
      </c>
      <c r="D288" s="20"/>
      <c r="E288" s="20"/>
    </row>
    <row r="289" spans="1:5" x14ac:dyDescent="0.35">
      <c r="A289" s="20" t="s">
        <v>373</v>
      </c>
      <c r="B289" s="46" t="s">
        <v>284</v>
      </c>
      <c r="C289" s="344">
        <v>401094.69</v>
      </c>
      <c r="D289" s="20"/>
      <c r="E289" s="20"/>
    </row>
    <row r="290" spans="1:5" x14ac:dyDescent="0.35">
      <c r="A290" s="20" t="s">
        <v>374</v>
      </c>
      <c r="B290" s="46" t="s">
        <v>284</v>
      </c>
      <c r="C290" s="344">
        <v>905229.25999999989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34670065.049999997</v>
      </c>
      <c r="E291" s="20"/>
    </row>
    <row r="292" spans="1:5" x14ac:dyDescent="0.35">
      <c r="A292" s="20" t="s">
        <v>416</v>
      </c>
      <c r="B292" s="46" t="s">
        <v>284</v>
      </c>
      <c r="C292" s="344">
        <v>12256240.720000001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22413824.329999998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344">
        <v>1117407.7400000005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1117407.7400000005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344">
        <v>56670018.130000003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56670018.130000003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92515380.969999999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344"/>
      <c r="D314" s="20"/>
      <c r="E314" s="20"/>
    </row>
    <row r="315" spans="1:5" x14ac:dyDescent="0.35">
      <c r="A315" s="20" t="s">
        <v>433</v>
      </c>
      <c r="B315" s="46" t="s">
        <v>284</v>
      </c>
      <c r="C315" s="344">
        <v>438877.21999999991</v>
      </c>
      <c r="D315" s="20"/>
      <c r="E315" s="20"/>
    </row>
    <row r="316" spans="1:5" x14ac:dyDescent="0.35">
      <c r="A316" s="20" t="s">
        <v>434</v>
      </c>
      <c r="B316" s="46" t="s">
        <v>284</v>
      </c>
      <c r="C316" s="344">
        <v>3557020.8400000008</v>
      </c>
      <c r="D316" s="20"/>
      <c r="E316" s="20"/>
    </row>
    <row r="317" spans="1:5" x14ac:dyDescent="0.35">
      <c r="A317" s="20" t="s">
        <v>435</v>
      </c>
      <c r="B317" s="46" t="s">
        <v>284</v>
      </c>
      <c r="C317" s="344"/>
      <c r="D317" s="20"/>
      <c r="E317" s="20"/>
    </row>
    <row r="318" spans="1:5" x14ac:dyDescent="0.35">
      <c r="A318" s="20" t="s">
        <v>436</v>
      </c>
      <c r="B318" s="46" t="s">
        <v>284</v>
      </c>
      <c r="C318" s="344"/>
      <c r="D318" s="20"/>
      <c r="E318" s="20"/>
    </row>
    <row r="319" spans="1:5" x14ac:dyDescent="0.35">
      <c r="A319" s="20" t="s">
        <v>437</v>
      </c>
      <c r="B319" s="46" t="s">
        <v>284</v>
      </c>
      <c r="C319" s="344"/>
      <c r="D319" s="20"/>
      <c r="E319" s="20"/>
    </row>
    <row r="320" spans="1:5" x14ac:dyDescent="0.35">
      <c r="A320" s="20" t="s">
        <v>438</v>
      </c>
      <c r="B320" s="46" t="s">
        <v>284</v>
      </c>
      <c r="C320" s="344"/>
      <c r="D320" s="20"/>
      <c r="E320" s="20"/>
    </row>
    <row r="321" spans="1:5" x14ac:dyDescent="0.35">
      <c r="A321" s="20" t="s">
        <v>439</v>
      </c>
      <c r="B321" s="46" t="s">
        <v>284</v>
      </c>
      <c r="C321" s="344">
        <v>243320.11999999988</v>
      </c>
      <c r="D321" s="20"/>
      <c r="E321" s="20"/>
    </row>
    <row r="322" spans="1:5" x14ac:dyDescent="0.35">
      <c r="A322" s="20" t="s">
        <v>440</v>
      </c>
      <c r="B322" s="46" t="s">
        <v>284</v>
      </c>
      <c r="C322" s="344"/>
      <c r="D322" s="20"/>
      <c r="E322" s="20"/>
    </row>
    <row r="323" spans="1:5" x14ac:dyDescent="0.35">
      <c r="A323" s="20" t="s">
        <v>441</v>
      </c>
      <c r="B323" s="46" t="s">
        <v>284</v>
      </c>
      <c r="C323" s="344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4239218.1800000006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344">
        <v>-17679399.539999999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-17679399.539999999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-17679399.539999999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/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349">
        <v>105955562.33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92515380.969999999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92515380.969999999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349">
        <v>120986111</v>
      </c>
      <c r="D358" s="20"/>
      <c r="E358" s="20"/>
    </row>
    <row r="359" spans="1:5" x14ac:dyDescent="0.35">
      <c r="A359" s="20" t="s">
        <v>470</v>
      </c>
      <c r="B359" s="46" t="s">
        <v>284</v>
      </c>
      <c r="C359" s="349">
        <v>6986207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127972318</v>
      </c>
      <c r="E360" s="20"/>
    </row>
    <row r="361" spans="1:5" x14ac:dyDescent="0.35">
      <c r="A361" s="45" t="s">
        <v>472</v>
      </c>
      <c r="B361" s="45"/>
      <c r="C361" s="52"/>
      <c r="D361" s="45"/>
      <c r="E361" s="45"/>
    </row>
    <row r="362" spans="1:5" x14ac:dyDescent="0.35">
      <c r="A362" s="20" t="s">
        <v>377</v>
      </c>
      <c r="B362" s="45"/>
      <c r="C362" s="344">
        <v>798782.39999999991</v>
      </c>
      <c r="D362" s="20"/>
      <c r="E362" s="45"/>
    </row>
    <row r="363" spans="1:5" x14ac:dyDescent="0.35">
      <c r="A363" s="20" t="s">
        <v>473</v>
      </c>
      <c r="B363" s="46" t="s">
        <v>284</v>
      </c>
      <c r="C363" s="344">
        <v>72890461.269999996</v>
      </c>
      <c r="D363" s="20"/>
      <c r="E363" s="20"/>
    </row>
    <row r="364" spans="1:5" x14ac:dyDescent="0.35">
      <c r="A364" s="20" t="s">
        <v>474</v>
      </c>
      <c r="B364" s="46" t="s">
        <v>284</v>
      </c>
      <c r="C364" s="344">
        <v>397123.01</v>
      </c>
      <c r="D364" s="20"/>
      <c r="E364" s="20"/>
    </row>
    <row r="365" spans="1:5" x14ac:dyDescent="0.35">
      <c r="A365" s="20" t="s">
        <v>475</v>
      </c>
      <c r="B365" s="46" t="s">
        <v>284</v>
      </c>
      <c r="C365" s="344">
        <v>4654728.71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78741095.390000001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49231222.609999999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350">
        <v>125305.70000000001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125305.70000000001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125305.70000000001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49356528.310000002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344">
        <v>26782954.510000002</v>
      </c>
      <c r="D389" s="20"/>
      <c r="E389" s="20"/>
    </row>
    <row r="390" spans="1:5" x14ac:dyDescent="0.35">
      <c r="A390" s="20" t="s">
        <v>9</v>
      </c>
      <c r="B390" s="46" t="s">
        <v>284</v>
      </c>
      <c r="C390" s="344">
        <v>4806769.53</v>
      </c>
      <c r="D390" s="20"/>
      <c r="E390" s="20"/>
    </row>
    <row r="391" spans="1:5" x14ac:dyDescent="0.35">
      <c r="A391" s="20" t="s">
        <v>249</v>
      </c>
      <c r="B391" s="46" t="s">
        <v>284</v>
      </c>
      <c r="C391" s="344">
        <v>6149137.8499999996</v>
      </c>
      <c r="D391" s="20"/>
      <c r="E391" s="20"/>
    </row>
    <row r="392" spans="1:5" x14ac:dyDescent="0.35">
      <c r="A392" s="20" t="s">
        <v>496</v>
      </c>
      <c r="B392" s="46" t="s">
        <v>284</v>
      </c>
      <c r="C392" s="344">
        <v>1897042.5200000003</v>
      </c>
      <c r="D392" s="20"/>
      <c r="E392" s="20"/>
    </row>
    <row r="393" spans="1:5" x14ac:dyDescent="0.35">
      <c r="A393" s="20" t="s">
        <v>497</v>
      </c>
      <c r="B393" s="46" t="s">
        <v>284</v>
      </c>
      <c r="C393" s="350">
        <f>CE65</f>
        <v>306666</v>
      </c>
      <c r="D393" s="20"/>
      <c r="E393" s="20"/>
    </row>
    <row r="394" spans="1:5" x14ac:dyDescent="0.35">
      <c r="A394" s="20" t="s">
        <v>498</v>
      </c>
      <c r="B394" s="46" t="s">
        <v>284</v>
      </c>
      <c r="C394" s="344">
        <v>2882713.9</v>
      </c>
      <c r="D394" s="20"/>
      <c r="E394" s="20"/>
    </row>
    <row r="395" spans="1:5" x14ac:dyDescent="0.35">
      <c r="A395" s="20" t="s">
        <v>11</v>
      </c>
      <c r="B395" s="46" t="s">
        <v>284</v>
      </c>
      <c r="C395" s="344">
        <v>1215878.3699999999</v>
      </c>
      <c r="D395" s="20"/>
      <c r="E395" s="20"/>
    </row>
    <row r="396" spans="1:5" x14ac:dyDescent="0.35">
      <c r="A396" s="20" t="s">
        <v>499</v>
      </c>
      <c r="B396" s="46" t="s">
        <v>284</v>
      </c>
      <c r="C396" s="344">
        <v>256210.27000000002</v>
      </c>
      <c r="D396" s="20"/>
      <c r="E396" s="20"/>
    </row>
    <row r="397" spans="1:5" x14ac:dyDescent="0.35">
      <c r="A397" s="20" t="s">
        <v>500</v>
      </c>
      <c r="B397" s="46" t="s">
        <v>284</v>
      </c>
      <c r="C397" s="344">
        <v>511950.02</v>
      </c>
      <c r="D397" s="20"/>
      <c r="E397" s="20"/>
    </row>
    <row r="398" spans="1:5" x14ac:dyDescent="0.35">
      <c r="A398" s="20" t="s">
        <v>501</v>
      </c>
      <c r="B398" s="46" t="s">
        <v>284</v>
      </c>
      <c r="C398" s="344">
        <v>1171213.19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/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14220454.050000001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14220454.050000001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60200990.210000008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-10844461.900000006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-10844461.900000006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-10844461.900000006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82513</v>
      </c>
      <c r="E612" s="258">
        <f>SUM(C624:D647)+SUM(C668:D713)</f>
        <v>42010044.919761121</v>
      </c>
      <c r="F612" s="258">
        <f>CE64-(AX64+BD64+BE64+BG64+BJ64+BN64+BP64+BQ64+CB64+CC64+CD64)</f>
        <v>1805315.2</v>
      </c>
      <c r="G612" s="256">
        <f>CE91-(AX91+AY91+BD91+BE91+BG91+BJ91+BN91+BP91+BQ91+CB91+CC91+CD91)</f>
        <v>121629</v>
      </c>
      <c r="H612" s="261">
        <f>CE60-(AX60+AY60+AZ60+BD60+BE60+BG60+BJ60+BN60+BO60+BP60+BQ60+BR60+CB60+CC60+CD60)</f>
        <v>238.33605769230769</v>
      </c>
      <c r="I612" s="256">
        <f>CE92-(AX92+AY92+AZ92+BD92+BE92+BF92+BG92+BJ92+BN92+BO92+BP92+BQ92+BR92+CB92+CC92+CD92)</f>
        <v>23429</v>
      </c>
      <c r="J612" s="256">
        <f>CE93-(AX93+AY93+AZ93+BA93+BD93+BE93+BF93+BG93+BJ93+BN93+BO93+BP93+BQ93+BR93+CB93+CC93+CD93)</f>
        <v>132556.47</v>
      </c>
      <c r="K612" s="256">
        <f>CE89-(AW89+AX89+AY89+AZ89+BA89+BB89+BC89+BD89+BE89+BF89+BG89+BH89+BI89+BJ89+BK89+BL89+BM89+BN89+BO89+BP89+BQ89+BR89+BS89+BT89+BU89+BV89+BW89+BX89+CB89+CC89+CD89)</f>
        <v>127972318</v>
      </c>
      <c r="L612" s="262">
        <f>CE94-(AW94+AX94+AY94+AZ94+BA94+BB94+BC94+BD94+BE94+BF94+BG94+BH94+BI94+BJ94+BK94+BL94+BM94+BN94+BO94+BP94+BQ94+BR94+BS94+BT94+BU94+BV94+BW94+BX94+BY94+BZ94+CA94+CB94+CC94+CD94)</f>
        <v>121.63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1723851.5499999998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1723851.5499999998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281087.23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423825.39</v>
      </c>
      <c r="D618" s="256">
        <f>(D615/D612)*BG90</f>
        <v>2005.6203119508436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1875751.8499999999</v>
      </c>
      <c r="D619" s="256">
        <f>(D615/D612)*BN90</f>
        <v>421451.85992692056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15186823.13000001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18190945.080238882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0</v>
      </c>
      <c r="D624" s="256">
        <f>(D615/D612)*BD90</f>
        <v>0</v>
      </c>
      <c r="E624" s="258">
        <f>(E623/E612)*SUM(C624:D624)</f>
        <v>0</v>
      </c>
      <c r="F624" s="258">
        <f>SUM(C624:E624)</f>
        <v>0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1749117.0899999999</v>
      </c>
      <c r="D625" s="256">
        <f>(D615/D612)*AY90</f>
        <v>81812.595224994831</v>
      </c>
      <c r="E625" s="258">
        <f>(E623/E612)*SUM(C625:D625)</f>
        <v>792818.51312755817</v>
      </c>
      <c r="F625" s="258">
        <f>(F624/F612)*AY64</f>
        <v>0</v>
      </c>
      <c r="G625" s="256">
        <f>SUM(C625:F625)</f>
        <v>2623748.198352553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659303.62</v>
      </c>
      <c r="D626" s="256">
        <f>(D615/D612)*BR90</f>
        <v>4032.1325021511757</v>
      </c>
      <c r="E626" s="258">
        <f>(E623/E612)*SUM(C626:D626)</f>
        <v>287233.78579034802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22634</v>
      </c>
      <c r="D628" s="256">
        <f>(D615/D612)*AZ90</f>
        <v>32089.924991213498</v>
      </c>
      <c r="E628" s="258">
        <f>(E623/E612)*SUM(C628:D628)</f>
        <v>23696.235412069567</v>
      </c>
      <c r="F628" s="258">
        <f>(F624/F612)*AZ64</f>
        <v>0</v>
      </c>
      <c r="G628" s="256">
        <f>(G625/G612)*AZ91</f>
        <v>0</v>
      </c>
      <c r="H628" s="258">
        <f>SUM(C626:G628)</f>
        <v>1028989.6986957823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1080130.78</v>
      </c>
      <c r="D629" s="256">
        <f>(D615/D612)*BF90</f>
        <v>0</v>
      </c>
      <c r="E629" s="258">
        <f>(E623/E612)*SUM(C629:D629)</f>
        <v>467711.94213156088</v>
      </c>
      <c r="F629" s="258">
        <f>(F624/F612)*BF64</f>
        <v>0</v>
      </c>
      <c r="G629" s="256">
        <f>(G625/G612)*BF91</f>
        <v>0</v>
      </c>
      <c r="H629" s="258">
        <f>(H628/H612)*BF60</f>
        <v>48630.831245359928</v>
      </c>
      <c r="I629" s="256">
        <f>SUM(C629:H629)</f>
        <v>1596473.553376921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171915.02</v>
      </c>
      <c r="D630" s="256">
        <f>(D615/D612)*BA90</f>
        <v>10696.641663737833</v>
      </c>
      <c r="E630" s="258">
        <f>(E623/E612)*SUM(C630:D630)</f>
        <v>79073.438618810877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261685.10028254869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25326.83</v>
      </c>
      <c r="D632" s="256">
        <f>(D615/D612)*BB90</f>
        <v>0</v>
      </c>
      <c r="E632" s="258">
        <f>(E623/E612)*SUM(C632:D632)</f>
        <v>10966.876480768264</v>
      </c>
      <c r="F632" s="258">
        <f>(F624/F612)*BB64</f>
        <v>0</v>
      </c>
      <c r="G632" s="256">
        <f>(G625/G612)*BB91</f>
        <v>0</v>
      </c>
      <c r="H632" s="258">
        <f>(H628/H612)*BB60</f>
        <v>-16.605345937209417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124929.93</v>
      </c>
      <c r="D633" s="256">
        <f>(D615/D612)*BC90</f>
        <v>0</v>
      </c>
      <c r="E633" s="258">
        <f>(E623/E612)*SUM(C633:D633)</f>
        <v>54096.430980940982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1297528.1399999999</v>
      </c>
      <c r="D634" s="256">
        <f>(D615/D612)*BI90</f>
        <v>0</v>
      </c>
      <c r="E634" s="258">
        <f>(E623/E612)*SUM(C634:D634)</f>
        <v>561848.08133118076</v>
      </c>
      <c r="F634" s="258">
        <f>(F624/F612)*BI64</f>
        <v>0</v>
      </c>
      <c r="G634" s="256">
        <f>(G625/G612)*BI91</f>
        <v>0</v>
      </c>
      <c r="H634" s="258">
        <f>(H628/H612)*BI60</f>
        <v>38740.272071509571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601524.09</v>
      </c>
      <c r="D635" s="256">
        <f>(D615/D612)*BK90</f>
        <v>0</v>
      </c>
      <c r="E635" s="258">
        <f>(E623/E612)*SUM(C635:D635)</f>
        <v>260468.4595441487</v>
      </c>
      <c r="F635" s="258">
        <f>(F624/F612)*BK64</f>
        <v>0</v>
      </c>
      <c r="G635" s="256">
        <f>(G625/G612)*BK91</f>
        <v>0</v>
      </c>
      <c r="H635" s="258">
        <f>(H628/H612)*BK60</f>
        <v>21742.624836533578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1589798.3099999998</v>
      </c>
      <c r="D637" s="256">
        <f>(D615/D612)*BL90</f>
        <v>0</v>
      </c>
      <c r="E637" s="258">
        <f>(E623/E612)*SUM(C637:D637)</f>
        <v>688405.20882811351</v>
      </c>
      <c r="F637" s="258">
        <f>(F624/F612)*BL64</f>
        <v>0</v>
      </c>
      <c r="G637" s="256">
        <f>(G625/G612)*BL91</f>
        <v>0</v>
      </c>
      <c r="H637" s="258">
        <f>(H628/H612)*BL60</f>
        <v>62780.6616521045</v>
      </c>
      <c r="I637" s="256">
        <f>(I629/I612)*BL92</f>
        <v>0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8252</v>
      </c>
      <c r="D641" s="256">
        <f>(D615/D612)*BU90</f>
        <v>11699.451819713255</v>
      </c>
      <c r="E641" s="258">
        <f>(E623/E612)*SUM(C641:D641)</f>
        <v>8639.2615151124119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645002.64</v>
      </c>
      <c r="D642" s="256">
        <f>(D615/D612)*BV90</f>
        <v>14039.342183655906</v>
      </c>
      <c r="E642" s="258">
        <f>(E623/E612)*SUM(C642:D642)</f>
        <v>285374.52236418193</v>
      </c>
      <c r="F642" s="258">
        <f>(F624/F612)*BV64</f>
        <v>0</v>
      </c>
      <c r="G642" s="256">
        <f>(G625/G612)*BV91</f>
        <v>0</v>
      </c>
      <c r="H642" s="258">
        <f>(H628/H612)*BV60</f>
        <v>23203.895279008011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6122584.8200000003</v>
      </c>
      <c r="D643" s="256">
        <f>(D615/D612)*BW90</f>
        <v>0</v>
      </c>
      <c r="E643" s="258">
        <f>(E623/E612)*SUM(C643:D643)</f>
        <v>2651166.0347531373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773577.96000000008</v>
      </c>
      <c r="D644" s="256">
        <f>(D615/D612)*BX90</f>
        <v>0</v>
      </c>
      <c r="E644" s="258">
        <f>(E623/E612)*SUM(C644:D644)</f>
        <v>334970.2246812844</v>
      </c>
      <c r="F644" s="258">
        <f>(F624/F612)*BX64</f>
        <v>0</v>
      </c>
      <c r="G644" s="256">
        <f>(G625/G612)*BX91</f>
        <v>0</v>
      </c>
      <c r="H644" s="258">
        <f>(H628/H612)*BX60</f>
        <v>29590.72646010718</v>
      </c>
      <c r="I644" s="256">
        <f>(I629/I612)*BX92</f>
        <v>0</v>
      </c>
      <c r="J644" s="256">
        <f>(J630/J612)*BX93</f>
        <v>0</v>
      </c>
      <c r="K644" s="258">
        <f>SUM(C631:J644)</f>
        <v>16246240.189435564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2142531.9700000002</v>
      </c>
      <c r="D645" s="256">
        <f>(D615/D612)*BY90</f>
        <v>2005.6203119508436</v>
      </c>
      <c r="E645" s="258">
        <f>(E623/E612)*SUM(C645:D645)</f>
        <v>928615.18244942545</v>
      </c>
      <c r="F645" s="258">
        <f>(F624/F612)*BY64</f>
        <v>0</v>
      </c>
      <c r="G645" s="256">
        <f>(G625/G612)*BY91</f>
        <v>0</v>
      </c>
      <c r="H645" s="258">
        <f>(H628/H612)*BY60</f>
        <v>58139.467462654473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756828.7300000001</v>
      </c>
      <c r="D647" s="256">
        <f>(D615/D612)*CA90</f>
        <v>0</v>
      </c>
      <c r="E647" s="258">
        <f>(E623/E612)*SUM(C647:D647)</f>
        <v>327717.57061609032</v>
      </c>
      <c r="F647" s="258">
        <f>(F624/F612)*CA64</f>
        <v>0</v>
      </c>
      <c r="G647" s="256">
        <f>(G625/G612)*CA91</f>
        <v>0</v>
      </c>
      <c r="H647" s="258">
        <f>(H628/H612)*CA60</f>
        <v>33665.263219449946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4249503.8040595716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37262325.080000006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>
        <f>(G625/G612)*C91</f>
        <v>0</v>
      </c>
      <c r="H668" s="258">
        <f>(H628/H612)*C60</f>
        <v>0</v>
      </c>
      <c r="I668" s="256">
        <f>(I629/I612)*C92</f>
        <v>0</v>
      </c>
      <c r="J668" s="256">
        <f>(J630/J612)*C93</f>
        <v>0</v>
      </c>
      <c r="K668" s="256">
        <f>(K644/K612)*C89</f>
        <v>0</v>
      </c>
      <c r="L668" s="256">
        <f>(L647/L612)*C94</f>
        <v>0</v>
      </c>
      <c r="M668" s="231">
        <f t="shared" ref="M668:M713" si="18">ROUND(SUM(D668:L668),0)</f>
        <v>0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0</v>
      </c>
      <c r="D670" s="256">
        <f>(D615/D612)*E90</f>
        <v>0</v>
      </c>
      <c r="E670" s="258">
        <f>(E623/E612)*SUM(C670:D670)</f>
        <v>0</v>
      </c>
      <c r="F670" s="258">
        <f>(F624/F612)*E64</f>
        <v>0</v>
      </c>
      <c r="G670" s="256">
        <f>(G625/G612)*E91</f>
        <v>0</v>
      </c>
      <c r="H670" s="258">
        <f>(H628/H612)*E60</f>
        <v>0</v>
      </c>
      <c r="I670" s="256">
        <f>(I629/I612)*E92</f>
        <v>0</v>
      </c>
      <c r="J670" s="256">
        <f>(J630/J612)*E93</f>
        <v>0</v>
      </c>
      <c r="K670" s="256">
        <f>(K644/K612)*E89</f>
        <v>0</v>
      </c>
      <c r="L670" s="256">
        <f>(L647/L612)*E94</f>
        <v>0</v>
      </c>
      <c r="M670" s="231">
        <f t="shared" si="18"/>
        <v>0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17350126.93</v>
      </c>
      <c r="D673" s="256">
        <f>(D615/D612)*H90</f>
        <v>1028360.9230745457</v>
      </c>
      <c r="E673" s="258">
        <f>(E623/E612)*SUM(C673:D673)</f>
        <v>7958145.8156416919</v>
      </c>
      <c r="F673" s="258">
        <f>(F624/F612)*H64</f>
        <v>0</v>
      </c>
      <c r="G673" s="256">
        <f>(G625/G612)*H91</f>
        <v>2623748.198352553</v>
      </c>
      <c r="H673" s="258">
        <f>(H628/H612)*H60</f>
        <v>525175.20028788014</v>
      </c>
      <c r="I673" s="256">
        <f>(I629/I612)*H92</f>
        <v>1596473.553376921</v>
      </c>
      <c r="J673" s="256">
        <f>(J630/J612)*H93</f>
        <v>261685.10028254866</v>
      </c>
      <c r="K673" s="256">
        <f>(K644/K612)*H89</f>
        <v>15359332.780794924</v>
      </c>
      <c r="L673" s="256">
        <f>(L647/L612)*H94</f>
        <v>4249503.8040595716</v>
      </c>
      <c r="M673" s="231">
        <f t="shared" si="18"/>
        <v>33602425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0</v>
      </c>
      <c r="D681" s="256">
        <f>(D615/D612)*P90</f>
        <v>0</v>
      </c>
      <c r="E681" s="258">
        <f>(E623/E612)*SUM(C681:D681)</f>
        <v>0</v>
      </c>
      <c r="F681" s="258">
        <f>(F624/F612)*P64</f>
        <v>0</v>
      </c>
      <c r="G681" s="256">
        <f>(G625/G612)*P91</f>
        <v>0</v>
      </c>
      <c r="H681" s="258">
        <f>(H628/H612)*P60</f>
        <v>0</v>
      </c>
      <c r="I681" s="256">
        <f>(I629/I612)*P92</f>
        <v>0</v>
      </c>
      <c r="J681" s="256">
        <f>(J630/J612)*P93</f>
        <v>0</v>
      </c>
      <c r="K681" s="256">
        <f>(K644/K612)*P89</f>
        <v>0</v>
      </c>
      <c r="L681" s="256">
        <f>(L647/L612)*P94</f>
        <v>0</v>
      </c>
      <c r="M681" s="231">
        <f t="shared" si="18"/>
        <v>0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>
        <f>(G625/G612)*Q91</f>
        <v>0</v>
      </c>
      <c r="H682" s="258">
        <f>(H628/H612)*Q60</f>
        <v>0</v>
      </c>
      <c r="I682" s="256">
        <f>(I629/I612)*Q92</f>
        <v>0</v>
      </c>
      <c r="J682" s="256">
        <f>(J630/J612)*Q93</f>
        <v>0</v>
      </c>
      <c r="K682" s="256">
        <f>(K644/K612)*Q89</f>
        <v>0</v>
      </c>
      <c r="L682" s="256">
        <f>(L647/L612)*Q94</f>
        <v>0</v>
      </c>
      <c r="M682" s="231">
        <f t="shared" si="18"/>
        <v>0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0</v>
      </c>
      <c r="L683" s="256">
        <f>(L647/L612)*R94</f>
        <v>0</v>
      </c>
      <c r="M683" s="231">
        <f t="shared" si="18"/>
        <v>0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0</v>
      </c>
      <c r="D684" s="256">
        <f>(D615/D612)*S90</f>
        <v>0</v>
      </c>
      <c r="E684" s="258">
        <f>(E623/E612)*SUM(C684:D684)</f>
        <v>0</v>
      </c>
      <c r="F684" s="258">
        <f>(F624/F612)*S64</f>
        <v>0</v>
      </c>
      <c r="G684" s="256">
        <f>(G625/G612)*S91</f>
        <v>0</v>
      </c>
      <c r="H684" s="258">
        <f>(H628/H612)*S60</f>
        <v>0</v>
      </c>
      <c r="I684" s="256">
        <f>(I629/I612)*S92</f>
        <v>0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0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107247.21</v>
      </c>
      <c r="D686" s="256">
        <f>(D615/D612)*U90</f>
        <v>0</v>
      </c>
      <c r="E686" s="258">
        <f>(E623/E612)*SUM(C686:D686)</f>
        <v>46439.562510468742</v>
      </c>
      <c r="F686" s="258">
        <f>(F624/F612)*U64</f>
        <v>0</v>
      </c>
      <c r="G686" s="256">
        <f>(G625/G612)*U91</f>
        <v>0</v>
      </c>
      <c r="H686" s="258">
        <f>(H628/H612)*U60</f>
        <v>0</v>
      </c>
      <c r="I686" s="256">
        <f>(I629/I612)*U92</f>
        <v>0</v>
      </c>
      <c r="J686" s="256">
        <f>(J630/J612)*U93</f>
        <v>0</v>
      </c>
      <c r="K686" s="256">
        <f>(K644/K612)*U89</f>
        <v>0</v>
      </c>
      <c r="L686" s="256">
        <f>(L647/L612)*U94</f>
        <v>0</v>
      </c>
      <c r="M686" s="231">
        <f t="shared" si="18"/>
        <v>46440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13194.75</v>
      </c>
      <c r="D687" s="256">
        <f>(D615/D612)*V90</f>
        <v>0</v>
      </c>
      <c r="E687" s="258">
        <f>(E623/E612)*SUM(C687:D687)</f>
        <v>5713.513828798039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0</v>
      </c>
      <c r="L687" s="256">
        <f>(L647/L612)*V94</f>
        <v>0</v>
      </c>
      <c r="M687" s="231">
        <f t="shared" si="18"/>
        <v>5714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>
        <f>(G625/G612)*W91</f>
        <v>0</v>
      </c>
      <c r="H688" s="258">
        <f>(H628/H612)*W60</f>
        <v>0</v>
      </c>
      <c r="I688" s="256">
        <f>(I629/I612)*W92</f>
        <v>0</v>
      </c>
      <c r="J688" s="256">
        <f>(J630/J612)*W93</f>
        <v>0</v>
      </c>
      <c r="K688" s="256">
        <f>(K644/K612)*W89</f>
        <v>0</v>
      </c>
      <c r="L688" s="256">
        <f>(L647/L612)*W94</f>
        <v>0</v>
      </c>
      <c r="M688" s="231">
        <f t="shared" si="18"/>
        <v>0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>
        <f>(G625/G612)*X91</f>
        <v>0</v>
      </c>
      <c r="H689" s="258">
        <f>(H628/H612)*X60</f>
        <v>0</v>
      </c>
      <c r="I689" s="256">
        <f>(I629/I612)*X92</f>
        <v>0</v>
      </c>
      <c r="J689" s="256">
        <f>(J630/J612)*X93</f>
        <v>0</v>
      </c>
      <c r="K689" s="256">
        <f>(K644/K612)*X89</f>
        <v>0</v>
      </c>
      <c r="L689" s="256">
        <f>(L647/L612)*X94</f>
        <v>0</v>
      </c>
      <c r="M689" s="231">
        <f t="shared" si="18"/>
        <v>0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19209.68</v>
      </c>
      <c r="D690" s="256">
        <f>(D615/D612)*Y90</f>
        <v>0</v>
      </c>
      <c r="E690" s="258">
        <f>(E623/E612)*SUM(C690:D690)</f>
        <v>8318.0638001315001</v>
      </c>
      <c r="F690" s="258">
        <f>(F624/F612)*Y64</f>
        <v>0</v>
      </c>
      <c r="G690" s="256">
        <f>(G625/G612)*Y91</f>
        <v>0</v>
      </c>
      <c r="H690" s="258">
        <f>(H628/H612)*Y60</f>
        <v>0</v>
      </c>
      <c r="I690" s="256">
        <f>(I629/I612)*Y92</f>
        <v>0</v>
      </c>
      <c r="J690" s="256">
        <f>(J630/J612)*Y93</f>
        <v>0</v>
      </c>
      <c r="K690" s="256">
        <f>(K644/K612)*Y89</f>
        <v>0</v>
      </c>
      <c r="L690" s="256">
        <f>(L647/L612)*Y94</f>
        <v>0</v>
      </c>
      <c r="M690" s="231">
        <f t="shared" si="18"/>
        <v>8318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0</v>
      </c>
      <c r="K692" s="256">
        <f>(K644/K612)*AA89</f>
        <v>0</v>
      </c>
      <c r="L692" s="256">
        <f>(L647/L612)*AA94</f>
        <v>0</v>
      </c>
      <c r="M692" s="231">
        <f t="shared" si="18"/>
        <v>0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1131268.6300000001</v>
      </c>
      <c r="D693" s="256">
        <f>(D615/D612)*AB90</f>
        <v>4679.7807278853024</v>
      </c>
      <c r="E693" s="258">
        <f>(E623/E612)*SUM(C693:D693)</f>
        <v>491881.76763447037</v>
      </c>
      <c r="F693" s="258">
        <f>(F624/F612)*AB64</f>
        <v>0</v>
      </c>
      <c r="G693" s="256">
        <f>(G625/G612)*AB91</f>
        <v>0</v>
      </c>
      <c r="H693" s="258">
        <f>(H628/H612)*AB60</f>
        <v>15449.198726331213</v>
      </c>
      <c r="I693" s="256">
        <f>(I629/I612)*AB92</f>
        <v>0</v>
      </c>
      <c r="J693" s="256">
        <f>(J630/J612)*AB93</f>
        <v>0</v>
      </c>
      <c r="K693" s="256">
        <f>(K644/K612)*AB89</f>
        <v>0</v>
      </c>
      <c r="L693" s="256">
        <f>(L647/L612)*AB94</f>
        <v>0</v>
      </c>
      <c r="M693" s="231">
        <f t="shared" si="18"/>
        <v>512011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0</v>
      </c>
      <c r="D694" s="256">
        <f>(D615/D612)*AC90</f>
        <v>0</v>
      </c>
      <c r="E694" s="258">
        <f>(E623/E612)*SUM(C694:D694)</f>
        <v>0</v>
      </c>
      <c r="F694" s="258">
        <f>(F624/F612)*AC64</f>
        <v>0</v>
      </c>
      <c r="G694" s="256">
        <f>(G625/G612)*AC91</f>
        <v>0</v>
      </c>
      <c r="H694" s="258">
        <f>(H628/H612)*AC60</f>
        <v>0</v>
      </c>
      <c r="I694" s="256">
        <f>(I629/I612)*AC92</f>
        <v>0</v>
      </c>
      <c r="J694" s="256">
        <f>(J630/J612)*AC93</f>
        <v>0</v>
      </c>
      <c r="K694" s="256">
        <f>(K644/K612)*AC89</f>
        <v>0</v>
      </c>
      <c r="L694" s="256">
        <f>(L647/L612)*AC94</f>
        <v>0</v>
      </c>
      <c r="M694" s="231">
        <f t="shared" si="18"/>
        <v>0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0</v>
      </c>
      <c r="D696" s="256">
        <f>(D615/D612)*AE90</f>
        <v>0</v>
      </c>
      <c r="E696" s="258">
        <f>(E623/E612)*SUM(C696:D696)</f>
        <v>0</v>
      </c>
      <c r="F696" s="258">
        <f>(F624/F612)*AE64</f>
        <v>0</v>
      </c>
      <c r="G696" s="256">
        <f>(G625/G612)*AE91</f>
        <v>0</v>
      </c>
      <c r="H696" s="258">
        <f>(H628/H612)*AE60</f>
        <v>0</v>
      </c>
      <c r="I696" s="256">
        <f>(I629/I612)*AE92</f>
        <v>0</v>
      </c>
      <c r="J696" s="256">
        <f>(J630/J612)*AE93</f>
        <v>0</v>
      </c>
      <c r="K696" s="256">
        <f>(K644/K612)*AE89</f>
        <v>0</v>
      </c>
      <c r="L696" s="256">
        <f>(L647/L612)*AE94</f>
        <v>0</v>
      </c>
      <c r="M696" s="231">
        <f t="shared" si="18"/>
        <v>0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33265.199999999997</v>
      </c>
      <c r="D698" s="256">
        <f>(D615/D612)*AG90</f>
        <v>0</v>
      </c>
      <c r="E698" s="258">
        <f>(E623/E612)*SUM(C698:D698)</f>
        <v>14404.303243163571</v>
      </c>
      <c r="F698" s="258">
        <f>(F624/F612)*AG64</f>
        <v>0</v>
      </c>
      <c r="G698" s="256">
        <f>(G625/G612)*AG91</f>
        <v>0</v>
      </c>
      <c r="H698" s="258">
        <f>(H628/H612)*AG60</f>
        <v>0</v>
      </c>
      <c r="I698" s="256">
        <f>(I629/I612)*AG92</f>
        <v>0</v>
      </c>
      <c r="J698" s="256">
        <f>(J630/J612)*AG93</f>
        <v>0</v>
      </c>
      <c r="K698" s="256">
        <f>(K644/K612)*AG89</f>
        <v>0</v>
      </c>
      <c r="L698" s="256">
        <f>(L647/L612)*AG94</f>
        <v>0</v>
      </c>
      <c r="M698" s="231">
        <f t="shared" si="18"/>
        <v>14404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0</v>
      </c>
      <c r="D701" s="256">
        <f>(D615/D612)*AJ90</f>
        <v>0</v>
      </c>
      <c r="E701" s="258">
        <f>(E623/E612)*SUM(C701:D701)</f>
        <v>0</v>
      </c>
      <c r="F701" s="258">
        <f>(F624/F612)*AJ64</f>
        <v>0</v>
      </c>
      <c r="G701" s="256">
        <f>(G625/G612)*AJ91</f>
        <v>0</v>
      </c>
      <c r="H701" s="258">
        <f>(H628/H612)*AJ60</f>
        <v>0</v>
      </c>
      <c r="I701" s="256">
        <f>(I629/I612)*AJ92</f>
        <v>0</v>
      </c>
      <c r="J701" s="256">
        <f>(J630/J612)*AJ93</f>
        <v>0</v>
      </c>
      <c r="K701" s="256">
        <f>(K644/K612)*AJ89</f>
        <v>0</v>
      </c>
      <c r="L701" s="256">
        <f>(L647/L612)*AJ94</f>
        <v>0</v>
      </c>
      <c r="M701" s="231">
        <f t="shared" si="18"/>
        <v>0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426894.06</v>
      </c>
      <c r="D704" s="256">
        <f>(D615/D612)*AM90</f>
        <v>0</v>
      </c>
      <c r="E704" s="258">
        <f>(E623/E612)*SUM(C704:D704)</f>
        <v>184851.1806015074</v>
      </c>
      <c r="F704" s="258">
        <f>(F624/F612)*AM64</f>
        <v>0</v>
      </c>
      <c r="G704" s="256">
        <f>(G625/G612)*AM91</f>
        <v>0</v>
      </c>
      <c r="H704" s="258">
        <f>(H628/H612)*AM60</f>
        <v>15918.299749057378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200769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1952400.18</v>
      </c>
      <c r="D712" s="256">
        <f>(D615/D612)*AU90</f>
        <v>110977.65726128002</v>
      </c>
      <c r="E712" s="258">
        <f>(E623/E612)*SUM(C712:D712)</f>
        <v>893471.85867316276</v>
      </c>
      <c r="F712" s="258">
        <f>(F624/F612)*AU64</f>
        <v>0</v>
      </c>
      <c r="G712" s="256">
        <f>(G625/G612)*AU91</f>
        <v>0</v>
      </c>
      <c r="H712" s="258">
        <f>(H628/H612)*AU60</f>
        <v>71112.393976099338</v>
      </c>
      <c r="I712" s="256">
        <f>(I629/I612)*AU92</f>
        <v>0</v>
      </c>
      <c r="J712" s="256">
        <f>(J630/J612)*AU93</f>
        <v>0</v>
      </c>
      <c r="K712" s="256">
        <f>(K644/K612)*AU89</f>
        <v>886907.40864064114</v>
      </c>
      <c r="L712" s="256">
        <f>(L647/L612)*AU94</f>
        <v>0</v>
      </c>
      <c r="M712" s="231">
        <f t="shared" si="18"/>
        <v>1962469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1905058.2800000003</v>
      </c>
      <c r="D713" s="256">
        <f>(D615/D612)*AV90</f>
        <v>0</v>
      </c>
      <c r="E713" s="258">
        <f>(E623/E612)*SUM(C713:D713)</f>
        <v>824917.24568076001</v>
      </c>
      <c r="F713" s="258">
        <f>(F624/F612)*AV64</f>
        <v>0</v>
      </c>
      <c r="G713" s="256">
        <f>(G625/G612)*AV91</f>
        <v>0</v>
      </c>
      <c r="H713" s="258">
        <f>(H628/H612)*AV60</f>
        <v>84857.469075624424</v>
      </c>
      <c r="I713" s="256">
        <f>(I629/I612)*AV92</f>
        <v>0</v>
      </c>
      <c r="J713" s="256">
        <f>(J630/J612)*AV93</f>
        <v>0</v>
      </c>
      <c r="K713" s="256">
        <f>(K644/K612)*AV89</f>
        <v>0</v>
      </c>
      <c r="L713" s="256">
        <f>(L647/L612)*AV94</f>
        <v>0</v>
      </c>
      <c r="M713" s="231">
        <f t="shared" si="18"/>
        <v>909775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60200990</v>
      </c>
      <c r="D715" s="231">
        <f>SUM(D616:D647)+SUM(D668:D713)</f>
        <v>1723851.5499999998</v>
      </c>
      <c r="E715" s="231">
        <f>SUM(E624:E647)+SUM(E668:E713)</f>
        <v>18190945.080238886</v>
      </c>
      <c r="F715" s="231">
        <f>SUM(F625:F648)+SUM(F668:F713)</f>
        <v>0</v>
      </c>
      <c r="G715" s="231">
        <f>SUM(G626:G647)+SUM(G668:G713)</f>
        <v>2623748.198352553</v>
      </c>
      <c r="H715" s="231">
        <f>SUM(H629:H647)+SUM(H668:H713)</f>
        <v>1028989.6986957825</v>
      </c>
      <c r="I715" s="231">
        <f>SUM(I630:I647)+SUM(I668:I713)</f>
        <v>1596473.553376921</v>
      </c>
      <c r="J715" s="231">
        <f>SUM(J631:J647)+SUM(J668:J713)</f>
        <v>261685.10028254866</v>
      </c>
      <c r="K715" s="231">
        <f>SUM(K668:K713)</f>
        <v>16246240.189435566</v>
      </c>
      <c r="L715" s="231">
        <f>SUM(L668:L713)</f>
        <v>4249503.8040595716</v>
      </c>
      <c r="M715" s="231">
        <f>SUM(M668:M713)</f>
        <v>37262325</v>
      </c>
      <c r="N715" s="250" t="s">
        <v>669</v>
      </c>
    </row>
    <row r="716" spans="1:14" s="231" customFormat="1" ht="12.65" customHeight="1" x14ac:dyDescent="0.3">
      <c r="C716" s="253">
        <f>CE85</f>
        <v>60200990</v>
      </c>
      <c r="D716" s="231">
        <f>D615</f>
        <v>1723851.5499999998</v>
      </c>
      <c r="E716" s="231">
        <f>E623</f>
        <v>18190945.080238882</v>
      </c>
      <c r="F716" s="231">
        <f>F624</f>
        <v>0</v>
      </c>
      <c r="G716" s="231">
        <f>G625</f>
        <v>2623748.198352553</v>
      </c>
      <c r="H716" s="231">
        <f>H628</f>
        <v>1028989.6986957823</v>
      </c>
      <c r="I716" s="231">
        <f>I629</f>
        <v>1596473.553376921</v>
      </c>
      <c r="J716" s="231">
        <f>J630</f>
        <v>261685.10028254869</v>
      </c>
      <c r="K716" s="231">
        <f>K644</f>
        <v>16246240.189435564</v>
      </c>
      <c r="L716" s="231">
        <f>L647</f>
        <v>4249503.8040595716</v>
      </c>
      <c r="M716" s="231">
        <f>C648</f>
        <v>37262325.080000006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E81E70C1-A0C4-4188-B99B-0BA23931E4D8}"/>
  </hyperlinks>
  <printOptions horizontalCentered="1" gridLines="1" gridLinesSet="0"/>
  <pageMargins left="0.25" right="0.25" top="0.5" bottom="0.5" header="0.5" footer="0.5"/>
  <pageSetup scale="80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BHC Fairfax Hospital Inc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-744709.08000000007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13114878.670000004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2515139.35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139657.81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1730253.4900000002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322898.26999999996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266290.95999999996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12314130.770000003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4313939.9000000004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2024521.67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1975143.1700000002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20174995.530000001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4875140.83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401094.69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905229.25999999989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12256240.720000001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22413824.329999998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1117407.7400000005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1117407.7400000005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56670018.130000003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56670018.130000003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92515380.969999999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BHC Fairfax Hospital Inc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438877.21999999991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3557020.8400000008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243320.11999999988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4239218.1800000006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-17679399.539999999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-17679399.539999999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-17679399.539999999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105955562.33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105955562.33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92515380.969999999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BHC Fairfax Hospital Inc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120986111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6986207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127972318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798782.39999999991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72890461.269999996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397123.01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4654728.71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78741095.390000001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49231222.609999999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125305.70000000001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125305.70000000001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49356528.310000002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26782954.510000002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4806769.53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6149137.8499999996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1897042.5200000003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306666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2882713.9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1215878.3699999999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256210.27000000002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511950.02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1171213.19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14220454.050000001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60200990.210000008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-10844461.900000006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-10844461.900000006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-10844461.900000006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BHC Fairfax Hospital Inc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0</v>
      </c>
      <c r="F9" s="287">
        <f>data!F59</f>
        <v>0</v>
      </c>
      <c r="G9" s="287">
        <f>data!G59</f>
        <v>0</v>
      </c>
      <c r="H9" s="287">
        <f>data!H59</f>
        <v>40543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0</v>
      </c>
      <c r="F10" s="294">
        <f>data!F60</f>
        <v>0</v>
      </c>
      <c r="G10" s="294">
        <f>data!G60</f>
        <v>0</v>
      </c>
      <c r="H10" s="294">
        <f>data!H60</f>
        <v>121.64182692307693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0</v>
      </c>
      <c r="F11" s="287">
        <f>data!F61</f>
        <v>0</v>
      </c>
      <c r="G11" s="287">
        <f>data!G61</f>
        <v>0</v>
      </c>
      <c r="H11" s="287">
        <f>data!H61</f>
        <v>14003424.930000002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0</v>
      </c>
      <c r="F12" s="287">
        <f>data!F62</f>
        <v>0</v>
      </c>
      <c r="G12" s="287">
        <f>data!G62</f>
        <v>0</v>
      </c>
      <c r="H12" s="287">
        <f>data!H62</f>
        <v>2513212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0</v>
      </c>
      <c r="F14" s="287">
        <f>data!F64</f>
        <v>0</v>
      </c>
      <c r="G14" s="287">
        <f>data!G64</f>
        <v>0</v>
      </c>
      <c r="H14" s="287">
        <f>data!H64</f>
        <v>1020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0</v>
      </c>
      <c r="F16" s="287">
        <f>data!F66</f>
        <v>0</v>
      </c>
      <c r="G16" s="287">
        <f>data!G66</f>
        <v>0</v>
      </c>
      <c r="H16" s="287">
        <f>data!H66</f>
        <v>99704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0</v>
      </c>
      <c r="F17" s="287">
        <f>data!F67</f>
        <v>0</v>
      </c>
      <c r="G17" s="287">
        <f>data!G67</f>
        <v>0</v>
      </c>
      <c r="H17" s="287">
        <f>data!H67</f>
        <v>725330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0</v>
      </c>
      <c r="F19" s="287">
        <f>data!F69</f>
        <v>0</v>
      </c>
      <c r="G19" s="287">
        <f>data!G69</f>
        <v>0</v>
      </c>
      <c r="H19" s="287">
        <f>data!H69</f>
        <v>7436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0</v>
      </c>
      <c r="D21" s="287">
        <f>data!D85</f>
        <v>0</v>
      </c>
      <c r="E21" s="287">
        <f>data!E85</f>
        <v>0</v>
      </c>
      <c r="F21" s="287">
        <f>data!F85</f>
        <v>0</v>
      </c>
      <c r="G21" s="287">
        <f>data!G85</f>
        <v>0</v>
      </c>
      <c r="H21" s="287">
        <f>data!H85</f>
        <v>17350126.93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0</v>
      </c>
      <c r="D23" s="295">
        <f>+data!M669</f>
        <v>0</v>
      </c>
      <c r="E23" s="295">
        <f>+data!M670</f>
        <v>0</v>
      </c>
      <c r="F23" s="295">
        <f>+data!M671</f>
        <v>0</v>
      </c>
      <c r="G23" s="295">
        <f>+data!M672</f>
        <v>0</v>
      </c>
      <c r="H23" s="295">
        <f>+data!M673</f>
        <v>33602425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0</v>
      </c>
      <c r="F24" s="287">
        <f>data!F87</f>
        <v>0</v>
      </c>
      <c r="G24" s="287">
        <f>data!G87</f>
        <v>0</v>
      </c>
      <c r="H24" s="287">
        <f>data!H87</f>
        <v>120986111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0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0</v>
      </c>
      <c r="F26" s="287">
        <f>data!F89</f>
        <v>0</v>
      </c>
      <c r="G26" s="287">
        <f>data!G89</f>
        <v>0</v>
      </c>
      <c r="H26" s="287">
        <f>data!H89</f>
        <v>120986111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0</v>
      </c>
      <c r="F28" s="287">
        <f>data!F90</f>
        <v>0</v>
      </c>
      <c r="G28" s="287">
        <f>data!G90</f>
        <v>0</v>
      </c>
      <c r="H28" s="287">
        <f>data!H90</f>
        <v>49223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121629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0</v>
      </c>
      <c r="F30" s="287">
        <f>data!F92</f>
        <v>0</v>
      </c>
      <c r="G30" s="287">
        <f>data!G92</f>
        <v>0</v>
      </c>
      <c r="H30" s="287">
        <f>data!H92</f>
        <v>23429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132556.47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0</v>
      </c>
      <c r="F32" s="294">
        <f>data!F94</f>
        <v>0</v>
      </c>
      <c r="G32" s="294">
        <f>data!G94</f>
        <v>0</v>
      </c>
      <c r="H32" s="294">
        <f>data!H94</f>
        <v>121.63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BHC Fairfax Hospital Inc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0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0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0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0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0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0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0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0</v>
      </c>
      <c r="I55" s="295">
        <f>+data!M681</f>
        <v>0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0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0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0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0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0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BHC Fairfax Hospital Inc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0</v>
      </c>
      <c r="F74" s="294">
        <f>data!T60</f>
        <v>0</v>
      </c>
      <c r="G74" s="294">
        <f>data!U60</f>
        <v>0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0</v>
      </c>
      <c r="E75" s="287">
        <f>data!S61</f>
        <v>0</v>
      </c>
      <c r="F75" s="287">
        <f>data!T61</f>
        <v>0</v>
      </c>
      <c r="G75" s="287">
        <f>data!U61</f>
        <v>0</v>
      </c>
      <c r="H75" s="287">
        <f>data!V61</f>
        <v>11186.75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0</v>
      </c>
      <c r="F76" s="287">
        <f>data!T62</f>
        <v>0</v>
      </c>
      <c r="G76" s="287">
        <f>data!U62</f>
        <v>0</v>
      </c>
      <c r="H76" s="287">
        <f>data!V62</f>
        <v>2008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0</v>
      </c>
      <c r="E78" s="287">
        <f>data!S64</f>
        <v>0</v>
      </c>
      <c r="F78" s="287">
        <f>data!T64</f>
        <v>0</v>
      </c>
      <c r="G78" s="287">
        <f>data!U64</f>
        <v>0</v>
      </c>
      <c r="H78" s="287">
        <f>data!V64</f>
        <v>0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0</v>
      </c>
      <c r="F80" s="287">
        <f>data!T66</f>
        <v>0</v>
      </c>
      <c r="G80" s="287">
        <f>data!U66</f>
        <v>107247.21</v>
      </c>
      <c r="H80" s="287">
        <f>data!V66</f>
        <v>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0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0</v>
      </c>
      <c r="E83" s="287">
        <f>data!S69</f>
        <v>0</v>
      </c>
      <c r="F83" s="287">
        <f>data!T69</f>
        <v>0</v>
      </c>
      <c r="G83" s="287">
        <f>data!U69</f>
        <v>0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0</v>
      </c>
      <c r="E85" s="287">
        <f>data!S85</f>
        <v>0</v>
      </c>
      <c r="F85" s="287">
        <f>data!T85</f>
        <v>0</v>
      </c>
      <c r="G85" s="287">
        <f>data!U85</f>
        <v>107247.21</v>
      </c>
      <c r="H85" s="287">
        <f>data!V85</f>
        <v>13194.75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0</v>
      </c>
      <c r="D87" s="295">
        <f>+data!M683</f>
        <v>0</v>
      </c>
      <c r="E87" s="295">
        <f>+data!M684</f>
        <v>0</v>
      </c>
      <c r="F87" s="295">
        <f>+data!M685</f>
        <v>0</v>
      </c>
      <c r="G87" s="295">
        <f>+data!M686</f>
        <v>46440</v>
      </c>
      <c r="H87" s="295">
        <f>+data!M687</f>
        <v>5714</v>
      </c>
      <c r="I87" s="295">
        <f>+data!M688</f>
        <v>0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0</v>
      </c>
      <c r="E88" s="287">
        <f>data!S87</f>
        <v>0</v>
      </c>
      <c r="F88" s="287">
        <f>data!T87</f>
        <v>0</v>
      </c>
      <c r="G88" s="287">
        <f>data!U87</f>
        <v>0</v>
      </c>
      <c r="H88" s="287">
        <f>data!V87</f>
        <v>0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0</v>
      </c>
      <c r="E89" s="287">
        <f>data!S88</f>
        <v>0</v>
      </c>
      <c r="F89" s="287">
        <f>data!T88</f>
        <v>0</v>
      </c>
      <c r="G89" s="287">
        <f>data!U88</f>
        <v>0</v>
      </c>
      <c r="H89" s="287">
        <f>data!V88</f>
        <v>0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0</v>
      </c>
      <c r="E90" s="287">
        <f>data!S89</f>
        <v>0</v>
      </c>
      <c r="F90" s="287">
        <f>data!T89</f>
        <v>0</v>
      </c>
      <c r="G90" s="287">
        <f>data!U89</f>
        <v>0</v>
      </c>
      <c r="H90" s="287">
        <f>data!V89</f>
        <v>0</v>
      </c>
      <c r="I90" s="287">
        <f>data!W89</f>
        <v>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0</v>
      </c>
      <c r="E92" s="287">
        <f>data!S90</f>
        <v>0</v>
      </c>
      <c r="F92" s="287">
        <f>data!T90</f>
        <v>0</v>
      </c>
      <c r="G92" s="287">
        <f>data!U90</f>
        <v>0</v>
      </c>
      <c r="H92" s="287">
        <f>data!V90</f>
        <v>0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BHC Fairfax Hospital Inc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0</v>
      </c>
      <c r="E106" s="294">
        <f>data!Z60</f>
        <v>0</v>
      </c>
      <c r="F106" s="294">
        <f>data!AA60</f>
        <v>0</v>
      </c>
      <c r="G106" s="294">
        <f>data!AB60</f>
        <v>3.5783653846153847</v>
      </c>
      <c r="H106" s="294">
        <f>data!AC60</f>
        <v>0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0</v>
      </c>
      <c r="E107" s="287">
        <f>data!Z61</f>
        <v>0</v>
      </c>
      <c r="F107" s="287">
        <f>data!AA61</f>
        <v>0</v>
      </c>
      <c r="G107" s="287">
        <f>data!AB61</f>
        <v>521817.69999999995</v>
      </c>
      <c r="H107" s="287">
        <f>data!AC61</f>
        <v>0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0</v>
      </c>
      <c r="E108" s="287">
        <f>data!Z62</f>
        <v>0</v>
      </c>
      <c r="F108" s="287">
        <f>data!AA62</f>
        <v>0</v>
      </c>
      <c r="G108" s="287">
        <f>data!AB62</f>
        <v>93651</v>
      </c>
      <c r="H108" s="287">
        <f>data!AC62</f>
        <v>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0</v>
      </c>
      <c r="E110" s="287">
        <f>data!Z64</f>
        <v>0</v>
      </c>
      <c r="F110" s="287">
        <f>data!AA64</f>
        <v>0</v>
      </c>
      <c r="G110" s="287">
        <f>data!AB64</f>
        <v>425482.86000000004</v>
      </c>
      <c r="H110" s="287">
        <f>data!AC64</f>
        <v>0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19209.68</v>
      </c>
      <c r="E112" s="287">
        <f>data!Z66</f>
        <v>0</v>
      </c>
      <c r="F112" s="287">
        <f>data!AA66</f>
        <v>0</v>
      </c>
      <c r="G112" s="287">
        <f>data!AB66</f>
        <v>83263.53</v>
      </c>
      <c r="H112" s="287">
        <f>data!AC66</f>
        <v>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0</v>
      </c>
      <c r="E113" s="287">
        <f>data!Z67</f>
        <v>0</v>
      </c>
      <c r="F113" s="287">
        <f>data!AA67</f>
        <v>0</v>
      </c>
      <c r="G113" s="287">
        <f>data!AB67</f>
        <v>3301</v>
      </c>
      <c r="H113" s="287">
        <f>data!AC67</f>
        <v>0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1020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0</v>
      </c>
      <c r="E115" s="287">
        <f>data!Z69</f>
        <v>0</v>
      </c>
      <c r="F115" s="287">
        <f>data!AA69</f>
        <v>0</v>
      </c>
      <c r="G115" s="287">
        <f>data!AB69</f>
        <v>2732.5400000000373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0</v>
      </c>
      <c r="D117" s="287">
        <f>data!Y85</f>
        <v>19209.68</v>
      </c>
      <c r="E117" s="287">
        <f>data!Z85</f>
        <v>0</v>
      </c>
      <c r="F117" s="287">
        <f>data!AA85</f>
        <v>0</v>
      </c>
      <c r="G117" s="287">
        <f>data!AB85</f>
        <v>1131268.6300000001</v>
      </c>
      <c r="H117" s="287">
        <f>data!AC85</f>
        <v>0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0</v>
      </c>
      <c r="D119" s="295">
        <f>+data!M690</f>
        <v>8318</v>
      </c>
      <c r="E119" s="295">
        <f>+data!M691</f>
        <v>0</v>
      </c>
      <c r="F119" s="295">
        <f>+data!M692</f>
        <v>0</v>
      </c>
      <c r="G119" s="295">
        <f>+data!M693</f>
        <v>512011</v>
      </c>
      <c r="H119" s="295">
        <f>+data!M694</f>
        <v>0</v>
      </c>
      <c r="I119" s="295">
        <f>+data!M695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0</v>
      </c>
      <c r="D120" s="287">
        <f>data!Y87</f>
        <v>0</v>
      </c>
      <c r="E120" s="287">
        <f>data!Z87</f>
        <v>0</v>
      </c>
      <c r="F120" s="287">
        <f>data!AA87</f>
        <v>0</v>
      </c>
      <c r="G120" s="287">
        <f>data!AB87</f>
        <v>0</v>
      </c>
      <c r="H120" s="287">
        <f>data!AC87</f>
        <v>0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0</v>
      </c>
      <c r="D121" s="287">
        <f>data!Y88</f>
        <v>0</v>
      </c>
      <c r="E121" s="287">
        <f>data!Z88</f>
        <v>0</v>
      </c>
      <c r="F121" s="287">
        <f>data!AA88</f>
        <v>0</v>
      </c>
      <c r="G121" s="287">
        <f>data!AB88</f>
        <v>0</v>
      </c>
      <c r="H121" s="287">
        <f>data!AC88</f>
        <v>0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0</v>
      </c>
      <c r="D122" s="287">
        <f>data!Y89</f>
        <v>0</v>
      </c>
      <c r="E122" s="287">
        <f>data!Z89</f>
        <v>0</v>
      </c>
      <c r="F122" s="287">
        <f>data!AA89</f>
        <v>0</v>
      </c>
      <c r="G122" s="287">
        <f>data!AB89</f>
        <v>0</v>
      </c>
      <c r="H122" s="287">
        <f>data!AC89</f>
        <v>0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0</v>
      </c>
      <c r="E124" s="287">
        <f>data!Z90</f>
        <v>0</v>
      </c>
      <c r="F124" s="287">
        <f>data!AA90</f>
        <v>0</v>
      </c>
      <c r="G124" s="287">
        <f>data!AB90</f>
        <v>224</v>
      </c>
      <c r="H124" s="287">
        <f>data!AC90</f>
        <v>0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0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BHC Fairfax Hospital Inc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0</v>
      </c>
      <c r="D138" s="294">
        <f>data!AF60</f>
        <v>0</v>
      </c>
      <c r="E138" s="294">
        <f>data!AG60</f>
        <v>0</v>
      </c>
      <c r="F138" s="294">
        <f>data!AH60</f>
        <v>0</v>
      </c>
      <c r="G138" s="294">
        <f>data!AI60</f>
        <v>0</v>
      </c>
      <c r="H138" s="294">
        <f>data!AJ60</f>
        <v>0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0</v>
      </c>
      <c r="D139" s="287">
        <f>data!AF61</f>
        <v>0</v>
      </c>
      <c r="E139" s="287">
        <f>data!AG61</f>
        <v>0</v>
      </c>
      <c r="F139" s="287">
        <f>data!AH61</f>
        <v>0</v>
      </c>
      <c r="G139" s="287">
        <f>data!AI61</f>
        <v>0</v>
      </c>
      <c r="H139" s="287">
        <f>data!AJ61</f>
        <v>0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0</v>
      </c>
      <c r="F140" s="287">
        <f>data!AH62</f>
        <v>0</v>
      </c>
      <c r="G140" s="287">
        <f>data!AI62</f>
        <v>0</v>
      </c>
      <c r="H140" s="287">
        <f>data!AJ62</f>
        <v>0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0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0</v>
      </c>
      <c r="D142" s="287">
        <f>data!AF64</f>
        <v>0</v>
      </c>
      <c r="E142" s="287">
        <f>data!AG64</f>
        <v>0</v>
      </c>
      <c r="F142" s="287">
        <f>data!AH64</f>
        <v>0</v>
      </c>
      <c r="G142" s="287">
        <f>data!AI64</f>
        <v>0</v>
      </c>
      <c r="H142" s="287">
        <f>data!AJ64</f>
        <v>0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33265.199999999997</v>
      </c>
      <c r="F144" s="287">
        <f>data!AH66</f>
        <v>0</v>
      </c>
      <c r="G144" s="287">
        <f>data!AI66</f>
        <v>0</v>
      </c>
      <c r="H144" s="287">
        <f>data!AJ66</f>
        <v>0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0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0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0</v>
      </c>
      <c r="D149" s="287">
        <f>data!AF85</f>
        <v>0</v>
      </c>
      <c r="E149" s="287">
        <f>data!AG85</f>
        <v>33265.199999999997</v>
      </c>
      <c r="F149" s="287">
        <f>data!AH85</f>
        <v>0</v>
      </c>
      <c r="G149" s="287">
        <f>data!AI85</f>
        <v>0</v>
      </c>
      <c r="H149" s="287">
        <f>data!AJ85</f>
        <v>0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0</v>
      </c>
      <c r="D151" s="295">
        <f>+data!M697</f>
        <v>0</v>
      </c>
      <c r="E151" s="295">
        <f>+data!M698</f>
        <v>14404</v>
      </c>
      <c r="F151" s="295">
        <f>+data!M699</f>
        <v>0</v>
      </c>
      <c r="G151" s="295">
        <f>+data!M700</f>
        <v>0</v>
      </c>
      <c r="H151" s="295">
        <f>+data!M701</f>
        <v>0</v>
      </c>
      <c r="I151" s="295">
        <f>+data!M702</f>
        <v>0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0</v>
      </c>
      <c r="D152" s="287">
        <f>data!AF87</f>
        <v>0</v>
      </c>
      <c r="E152" s="287">
        <f>data!AG87</f>
        <v>0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0</v>
      </c>
      <c r="D153" s="287">
        <f>data!AF88</f>
        <v>0</v>
      </c>
      <c r="E153" s="287">
        <f>data!AG88</f>
        <v>0</v>
      </c>
      <c r="F153" s="287">
        <f>data!AH88</f>
        <v>0</v>
      </c>
      <c r="G153" s="287">
        <f>data!AI88</f>
        <v>0</v>
      </c>
      <c r="H153" s="287">
        <f>data!AJ88</f>
        <v>0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0</v>
      </c>
      <c r="D154" s="287">
        <f>data!AF89</f>
        <v>0</v>
      </c>
      <c r="E154" s="287">
        <f>data!AG89</f>
        <v>0</v>
      </c>
      <c r="F154" s="287">
        <f>data!AH89</f>
        <v>0</v>
      </c>
      <c r="G154" s="287">
        <f>data!AI89</f>
        <v>0</v>
      </c>
      <c r="H154" s="287">
        <f>data!AJ89</f>
        <v>0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0</v>
      </c>
      <c r="D156" s="287">
        <f>data!AF90</f>
        <v>0</v>
      </c>
      <c r="E156" s="287">
        <f>data!AG90</f>
        <v>0</v>
      </c>
      <c r="F156" s="287">
        <f>data!AH90</f>
        <v>0</v>
      </c>
      <c r="G156" s="287">
        <f>data!AI90</f>
        <v>0</v>
      </c>
      <c r="H156" s="287">
        <f>data!AJ90</f>
        <v>0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0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0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BHC Fairfax Hospital Inc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3.6870192307692307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251130.09999999998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45071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27929.21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102763.75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426894.06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0</v>
      </c>
      <c r="D183" s="295">
        <f>+data!M704</f>
        <v>200769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BHC Fairfax Hospital Inc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10289</v>
      </c>
      <c r="F201" s="299"/>
      <c r="G201" s="299"/>
      <c r="H201" s="299"/>
      <c r="I201" s="287">
        <f>data!AY59</f>
        <v>121629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16.471153846153847</v>
      </c>
      <c r="F202" s="294">
        <f>data!AV60</f>
        <v>19.654807692307692</v>
      </c>
      <c r="G202" s="294">
        <f>data!AW60</f>
        <v>0</v>
      </c>
      <c r="H202" s="294">
        <f>data!AX60</f>
        <v>0</v>
      </c>
      <c r="I202" s="294">
        <f>data!AY60</f>
        <v>9.6456730769230763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1390576.28</v>
      </c>
      <c r="F203" s="287">
        <f>data!AV61</f>
        <v>1565024.1199999999</v>
      </c>
      <c r="G203" s="287">
        <f>data!AW61</f>
        <v>0</v>
      </c>
      <c r="H203" s="287">
        <f>data!AX61</f>
        <v>0</v>
      </c>
      <c r="I203" s="287">
        <f>data!AY61</f>
        <v>569076.85000000009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249568</v>
      </c>
      <c r="F204" s="287">
        <f>data!AV62</f>
        <v>280877</v>
      </c>
      <c r="G204" s="287">
        <f>data!AW62</f>
        <v>0</v>
      </c>
      <c r="H204" s="287">
        <f>data!AX62</f>
        <v>0</v>
      </c>
      <c r="I204" s="287">
        <f>data!AY62</f>
        <v>102133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148632.5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8946.4</v>
      </c>
      <c r="F206" s="287">
        <f>data!AV64</f>
        <v>4124.76</v>
      </c>
      <c r="G206" s="287">
        <f>data!AW64</f>
        <v>0</v>
      </c>
      <c r="H206" s="287">
        <f>data!AX64</f>
        <v>0</v>
      </c>
      <c r="I206" s="287">
        <f>data!AY64</f>
        <v>974149.29999999993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6750.89</v>
      </c>
      <c r="F208" s="287">
        <f>data!AV66</f>
        <v>52605.63</v>
      </c>
      <c r="G208" s="287">
        <f>data!AW66</f>
        <v>0</v>
      </c>
      <c r="H208" s="287">
        <f>data!AX66</f>
        <v>0</v>
      </c>
      <c r="I208" s="287">
        <f>data!AY66</f>
        <v>44853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78275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57705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67650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2001.1100000001024</v>
      </c>
      <c r="F211" s="287">
        <f>data!AV69</f>
        <v>2426.7700000004843</v>
      </c>
      <c r="G211" s="287">
        <f>data!AW69</f>
        <v>0</v>
      </c>
      <c r="H211" s="287">
        <f>data!AX69</f>
        <v>0</v>
      </c>
      <c r="I211" s="287">
        <f>data!AY69</f>
        <v>1199.9399999999441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1952400.18</v>
      </c>
      <c r="F213" s="287">
        <f>data!AV85</f>
        <v>1905058.2800000003</v>
      </c>
      <c r="G213" s="287">
        <f>data!AW85</f>
        <v>0</v>
      </c>
      <c r="H213" s="287">
        <f>data!AX85</f>
        <v>0</v>
      </c>
      <c r="I213" s="287">
        <f>data!AY85</f>
        <v>1749117.0899999999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1962469</v>
      </c>
      <c r="F215" s="295">
        <f>+data!M713</f>
        <v>909775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6986207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6986207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5312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3916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BHC Fairfax Hospital Inc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82513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-3.8461538461538464E-3</v>
      </c>
      <c r="F234" s="294">
        <f>data!BC60</f>
        <v>0</v>
      </c>
      <c r="G234" s="294">
        <f>data!BD60</f>
        <v>0</v>
      </c>
      <c r="H234" s="294">
        <f>data!BE60</f>
        <v>3.7254807692307694</v>
      </c>
      <c r="I234" s="294">
        <f>data!BF60</f>
        <v>11.263942307692307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1468.6299999999999</v>
      </c>
      <c r="F235" s="287">
        <f>data!BC61</f>
        <v>0</v>
      </c>
      <c r="G235" s="287">
        <f>data!BD61</f>
        <v>0</v>
      </c>
      <c r="H235" s="287">
        <f>data!BE61</f>
        <v>335316.41000000003</v>
      </c>
      <c r="I235" s="287">
        <f>data!BF61</f>
        <v>136713.29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264</v>
      </c>
      <c r="F236" s="287">
        <f>data!BC62</f>
        <v>0</v>
      </c>
      <c r="G236" s="287">
        <f>data!BD62</f>
        <v>0</v>
      </c>
      <c r="H236" s="287">
        <f>data!BE62</f>
        <v>60180</v>
      </c>
      <c r="I236" s="287">
        <f>data!BF62</f>
        <v>24536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198.61</v>
      </c>
      <c r="F238" s="287">
        <f>data!BC64</f>
        <v>0</v>
      </c>
      <c r="G238" s="287">
        <f>data!BD64</f>
        <v>0</v>
      </c>
      <c r="H238" s="287">
        <f>data!BE64</f>
        <v>61959.9</v>
      </c>
      <c r="I238" s="287">
        <f>data!BF64</f>
        <v>98047.14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306666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164370.01999999999</v>
      </c>
      <c r="E240" s="287">
        <f>data!BB66</f>
        <v>19483.36</v>
      </c>
      <c r="F240" s="287">
        <f>data!BC66</f>
        <v>0</v>
      </c>
      <c r="G240" s="287">
        <f>data!BD66</f>
        <v>0</v>
      </c>
      <c r="H240" s="287">
        <f>data!BE66</f>
        <v>107710.06</v>
      </c>
      <c r="I240" s="287">
        <f>data!BF66</f>
        <v>820696.85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22634</v>
      </c>
      <c r="D241" s="287">
        <f>data!BA67</f>
        <v>7545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0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52460.76999999999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3912.2300000000032</v>
      </c>
      <c r="F243" s="287">
        <f>data!BC69</f>
        <v>124929.93</v>
      </c>
      <c r="G243" s="287">
        <f>data!BD69</f>
        <v>0</v>
      </c>
      <c r="H243" s="287">
        <f>data!BE69</f>
        <v>799558.40999999968</v>
      </c>
      <c r="I243" s="287">
        <f>data!BF69</f>
        <v>137.5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22634</v>
      </c>
      <c r="D245" s="287">
        <f>data!BA85</f>
        <v>171915.02</v>
      </c>
      <c r="E245" s="287">
        <f>data!BB85</f>
        <v>25326.83</v>
      </c>
      <c r="F245" s="287">
        <f>data!BC85</f>
        <v>124929.93</v>
      </c>
      <c r="G245" s="287">
        <f>data!BD85</f>
        <v>0</v>
      </c>
      <c r="H245" s="287">
        <f>data!BE85</f>
        <v>1723851.5499999998</v>
      </c>
      <c r="I245" s="287">
        <f>data!BF85</f>
        <v>1080130.78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1536</v>
      </c>
      <c r="D252" s="303">
        <f>data!BA90</f>
        <v>512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0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BHC Fairfax Hospital Inc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5.1519230769230768</v>
      </c>
      <c r="D266" s="294">
        <f>data!BH60</f>
        <v>0</v>
      </c>
      <c r="E266" s="294">
        <f>data!BI60</f>
        <v>8.9730769230769223</v>
      </c>
      <c r="F266" s="294">
        <f>data!BJ60</f>
        <v>2.983653846153846</v>
      </c>
      <c r="G266" s="294">
        <f>data!BK60</f>
        <v>5.0360576923076916</v>
      </c>
      <c r="H266" s="294">
        <f>data!BL60</f>
        <v>14.541346153846153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281413.74</v>
      </c>
      <c r="D267" s="287">
        <f>data!BH61</f>
        <v>0</v>
      </c>
      <c r="E267" s="287">
        <f>data!BI61</f>
        <v>667177.72</v>
      </c>
      <c r="F267" s="287">
        <f>data!BJ61</f>
        <v>197192.34</v>
      </c>
      <c r="G267" s="287">
        <f>data!BK61</f>
        <v>350460.3</v>
      </c>
      <c r="H267" s="287">
        <f>data!BL61</f>
        <v>1340607.6199999999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50506</v>
      </c>
      <c r="D268" s="287">
        <f>data!BH62</f>
        <v>0</v>
      </c>
      <c r="E268" s="287">
        <f>data!BI62</f>
        <v>119739</v>
      </c>
      <c r="F268" s="287">
        <f>data!BJ62</f>
        <v>35390</v>
      </c>
      <c r="G268" s="287">
        <f>data!BK62</f>
        <v>62898</v>
      </c>
      <c r="H268" s="287">
        <f>data!BL62</f>
        <v>240600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2682.4</v>
      </c>
      <c r="D270" s="287">
        <f>data!BH64</f>
        <v>0</v>
      </c>
      <c r="E270" s="287">
        <f>data!BI64</f>
        <v>187655.69000000003</v>
      </c>
      <c r="F270" s="287">
        <f>data!BJ64</f>
        <v>1293.45</v>
      </c>
      <c r="G270" s="287">
        <f>data!BK64</f>
        <v>6579.84</v>
      </c>
      <c r="H270" s="287">
        <f>data!BL64</f>
        <v>8371.39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283.08</v>
      </c>
      <c r="D272" s="287">
        <f>data!BH66</f>
        <v>0</v>
      </c>
      <c r="E272" s="287">
        <f>data!BI66</f>
        <v>315035.86</v>
      </c>
      <c r="F272" s="287">
        <f>data!BJ66</f>
        <v>2365.7600000000002</v>
      </c>
      <c r="G272" s="287">
        <f>data!BK66</f>
        <v>124624.78</v>
      </c>
      <c r="H272" s="287">
        <f>data!BL66</f>
        <v>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1415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87525.169999999984</v>
      </c>
      <c r="D275" s="287">
        <f>data!BH69</f>
        <v>0</v>
      </c>
      <c r="E275" s="287">
        <f>data!BI69</f>
        <v>7919.8699999998207</v>
      </c>
      <c r="F275" s="287">
        <f>data!BJ69</f>
        <v>44845.679999999964</v>
      </c>
      <c r="G275" s="287">
        <f>data!BK69</f>
        <v>56961.169999999925</v>
      </c>
      <c r="H275" s="287">
        <f>data!BL69</f>
        <v>219.30000000000291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423825.39</v>
      </c>
      <c r="D277" s="287">
        <f>data!BH85</f>
        <v>0</v>
      </c>
      <c r="E277" s="287">
        <f>data!BI85</f>
        <v>1297528.1399999999</v>
      </c>
      <c r="F277" s="287">
        <f>data!BJ85</f>
        <v>281087.23</v>
      </c>
      <c r="G277" s="287">
        <f>data!BK85</f>
        <v>601524.09</v>
      </c>
      <c r="H277" s="287">
        <f>data!BL85</f>
        <v>1589798.3099999998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96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BHC Fairfax Hospital Inc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4.1307692307692303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3.7259615384615383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797672.87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345295.69999999995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143159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61971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10853.94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14569.11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197713.2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89560.42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297261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2844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127785.74000000002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5008.2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301306.09999999986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140055.19000000006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1875751.8499999999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659303.62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20173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193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BHC Fairfax Hospital Inc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5.3745192307692307</v>
      </c>
      <c r="E330" s="294">
        <f>data!BW60</f>
        <v>0</v>
      </c>
      <c r="F330" s="294">
        <f>data!BX60</f>
        <v>6.8538461538461535</v>
      </c>
      <c r="G330" s="294">
        <f>data!BY60</f>
        <v>13.466346153846153</v>
      </c>
      <c r="H330" s="294">
        <f>data!BZ60</f>
        <v>0</v>
      </c>
      <c r="I330" s="294">
        <f>data!CA60</f>
        <v>7.797596153846154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307507.77999999997</v>
      </c>
      <c r="E331" s="306">
        <f>data!BW61</f>
        <v>0</v>
      </c>
      <c r="F331" s="306">
        <f>data!BX61</f>
        <v>652649.06999999995</v>
      </c>
      <c r="G331" s="306">
        <f>data!BY61</f>
        <v>1739531.7999999998</v>
      </c>
      <c r="H331" s="306">
        <f>data!BZ61</f>
        <v>0</v>
      </c>
      <c r="I331" s="306">
        <f>data!CA61</f>
        <v>639730.17000000004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55189</v>
      </c>
      <c r="E332" s="306">
        <f>data!BW62</f>
        <v>0</v>
      </c>
      <c r="F332" s="306">
        <f>data!BX62</f>
        <v>117132</v>
      </c>
      <c r="G332" s="306">
        <f>data!BY62</f>
        <v>312196</v>
      </c>
      <c r="H332" s="306">
        <f>data!BZ62</f>
        <v>0</v>
      </c>
      <c r="I332" s="306">
        <f>data!CA62</f>
        <v>114813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6000505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21957.08</v>
      </c>
      <c r="E334" s="306">
        <f>data!BW64</f>
        <v>4961.57</v>
      </c>
      <c r="F334" s="306">
        <f>data!BX64</f>
        <v>1836.09</v>
      </c>
      <c r="G334" s="306">
        <f>data!BY64</f>
        <v>19486.150000000001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236740.72</v>
      </c>
      <c r="E336" s="306">
        <f>data!BW66</f>
        <v>114809.16</v>
      </c>
      <c r="F336" s="306">
        <f>data!BX66</f>
        <v>3.59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8252</v>
      </c>
      <c r="D337" s="306">
        <f>data!BV67</f>
        <v>9902</v>
      </c>
      <c r="E337" s="306">
        <f>data!BW67</f>
        <v>0</v>
      </c>
      <c r="F337" s="306">
        <f>data!BX67</f>
        <v>0</v>
      </c>
      <c r="G337" s="306">
        <f>data!BY67</f>
        <v>1415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2285.56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13706.060000000056</v>
      </c>
      <c r="E339" s="306">
        <f>data!BW69</f>
        <v>2309.090000000142</v>
      </c>
      <c r="F339" s="306">
        <f>data!BX69</f>
        <v>1957.2100000001956</v>
      </c>
      <c r="G339" s="306">
        <f>data!BY69</f>
        <v>69903.020000000484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8252</v>
      </c>
      <c r="D341" s="287">
        <f>data!BV85</f>
        <v>645002.64</v>
      </c>
      <c r="E341" s="287">
        <f>data!BW85</f>
        <v>6122584.8200000003</v>
      </c>
      <c r="F341" s="287">
        <f>data!BX85</f>
        <v>773577.96000000008</v>
      </c>
      <c r="G341" s="287">
        <f>data!BY85</f>
        <v>2142531.9700000002</v>
      </c>
      <c r="H341" s="287">
        <f>data!BZ85</f>
        <v>0</v>
      </c>
      <c r="I341" s="287">
        <f>data!CA85</f>
        <v>756828.7300000001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560</v>
      </c>
      <c r="D348" s="303">
        <f>data!BV90</f>
        <v>672</v>
      </c>
      <c r="E348" s="303">
        <f>data!BW90</f>
        <v>0</v>
      </c>
      <c r="F348" s="303">
        <f>data!BX90</f>
        <v>0</v>
      </c>
      <c r="G348" s="303">
        <f>data!BY90</f>
        <v>96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BHC Fairfax Hospital Inc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6.5985576923076925</v>
      </c>
      <c r="E362" s="309"/>
      <c r="F362" s="297"/>
      <c r="G362" s="297"/>
      <c r="H362" s="297"/>
      <c r="I362" s="310">
        <f>data!CE60</f>
        <v>274.29807692307691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677980.73</v>
      </c>
      <c r="E363" s="311"/>
      <c r="F363" s="311"/>
      <c r="G363" s="311"/>
      <c r="H363" s="311"/>
      <c r="I363" s="306">
        <f>data!CE61</f>
        <v>26782954.900000002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121678</v>
      </c>
      <c r="E364" s="311"/>
      <c r="F364" s="311"/>
      <c r="G364" s="311"/>
      <c r="H364" s="311"/>
      <c r="I364" s="306">
        <f>data!CE62</f>
        <v>4806771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6149137.5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14937.45</v>
      </c>
      <c r="E366" s="311"/>
      <c r="F366" s="311"/>
      <c r="G366" s="311"/>
      <c r="H366" s="311"/>
      <c r="I366" s="306">
        <f>data!CE64</f>
        <v>1897042.3399999999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306666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139653.9</v>
      </c>
      <c r="E368" s="311"/>
      <c r="F368" s="311"/>
      <c r="G368" s="311"/>
      <c r="H368" s="311"/>
      <c r="I368" s="306">
        <f>data!CE66</f>
        <v>2882713.6500000004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1215879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256210.27000000002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14232573.05000001</v>
      </c>
      <c r="E371" s="306">
        <f>data!CD69</f>
        <v>0</v>
      </c>
      <c r="F371" s="311"/>
      <c r="G371" s="311"/>
      <c r="H371" s="311"/>
      <c r="I371" s="306">
        <f>data!CE69</f>
        <v>15903615.340000011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15186823.13000001</v>
      </c>
      <c r="E373" s="306">
        <f>data!CD85</f>
        <v>0</v>
      </c>
      <c r="F373" s="311"/>
      <c r="G373" s="311"/>
      <c r="H373" s="311"/>
      <c r="I373" s="287">
        <f>data!CE85</f>
        <v>60200990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120986111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6986207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127972318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82513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121629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23429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132556.47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121.63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L1" transitionEvaluation="1" transitionEntry="1" codeName="Sheet12">
    <tabColor rgb="FF92D050"/>
    <pageSetUpPr autoPageBreaks="0"/>
  </sheetPr>
  <dimension ref="A1:CF717"/>
  <sheetViews>
    <sheetView topLeftCell="BL1" zoomScale="70" zoomScaleNormal="70" workbookViewId="0">
      <selection activeCell="C415" sqref="C415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4352010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0</v>
      </c>
      <c r="F49" s="270">
        <f t="shared" si="0"/>
        <v>0</v>
      </c>
      <c r="G49" s="270">
        <f t="shared" si="0"/>
        <v>0</v>
      </c>
      <c r="H49" s="270">
        <f t="shared" si="0"/>
        <v>2173293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0</v>
      </c>
      <c r="Q49" s="270">
        <f t="shared" si="0"/>
        <v>0</v>
      </c>
      <c r="R49" s="270">
        <f t="shared" si="0"/>
        <v>0</v>
      </c>
      <c r="S49" s="270">
        <f t="shared" si="0"/>
        <v>0</v>
      </c>
      <c r="T49" s="270">
        <f t="shared" si="0"/>
        <v>0</v>
      </c>
      <c r="U49" s="270">
        <f t="shared" si="0"/>
        <v>0</v>
      </c>
      <c r="V49" s="270">
        <f t="shared" si="0"/>
        <v>3933</v>
      </c>
      <c r="W49" s="270">
        <f t="shared" si="0"/>
        <v>0</v>
      </c>
      <c r="X49" s="270">
        <f t="shared" si="0"/>
        <v>0</v>
      </c>
      <c r="Y49" s="270">
        <f t="shared" si="0"/>
        <v>6369</v>
      </c>
      <c r="Z49" s="270">
        <f t="shared" si="0"/>
        <v>0</v>
      </c>
      <c r="AA49" s="270">
        <f t="shared" si="0"/>
        <v>0</v>
      </c>
      <c r="AB49" s="270">
        <f t="shared" si="0"/>
        <v>88320</v>
      </c>
      <c r="AC49" s="270">
        <f t="shared" si="0"/>
        <v>0</v>
      </c>
      <c r="AD49" s="270">
        <f t="shared" si="0"/>
        <v>0</v>
      </c>
      <c r="AE49" s="270">
        <f t="shared" si="0"/>
        <v>0</v>
      </c>
      <c r="AF49" s="270">
        <f t="shared" si="0"/>
        <v>0</v>
      </c>
      <c r="AG49" s="270">
        <f t="shared" si="0"/>
        <v>0</v>
      </c>
      <c r="AH49" s="270">
        <f t="shared" si="0"/>
        <v>0</v>
      </c>
      <c r="AI49" s="270">
        <f t="shared" si="0"/>
        <v>0</v>
      </c>
      <c r="AJ49" s="270">
        <f t="shared" si="0"/>
        <v>0</v>
      </c>
      <c r="AK49" s="270">
        <f t="shared" si="0"/>
        <v>0</v>
      </c>
      <c r="AL49" s="270">
        <f t="shared" si="0"/>
        <v>0</v>
      </c>
      <c r="AM49" s="270">
        <f t="shared" si="0"/>
        <v>66219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147243</v>
      </c>
      <c r="AV49" s="270">
        <f t="shared" si="0"/>
        <v>247417</v>
      </c>
      <c r="AW49" s="270">
        <f t="shared" si="0"/>
        <v>0</v>
      </c>
      <c r="AX49" s="270">
        <f t="shared" si="0"/>
        <v>0</v>
      </c>
      <c r="AY49" s="270">
        <f t="shared" si="0"/>
        <v>94552</v>
      </c>
      <c r="AZ49" s="270">
        <f t="shared" si="0"/>
        <v>0</v>
      </c>
      <c r="BA49" s="270">
        <f t="shared" si="0"/>
        <v>0</v>
      </c>
      <c r="BB49" s="270">
        <f t="shared" si="0"/>
        <v>25473</v>
      </c>
      <c r="BC49" s="270">
        <f t="shared" si="0"/>
        <v>0</v>
      </c>
      <c r="BD49" s="270">
        <f t="shared" si="0"/>
        <v>0</v>
      </c>
      <c r="BE49" s="270">
        <f t="shared" si="0"/>
        <v>36343</v>
      </c>
      <c r="BF49" s="270">
        <f t="shared" si="0"/>
        <v>26603</v>
      </c>
      <c r="BG49" s="270">
        <f t="shared" si="0"/>
        <v>47616</v>
      </c>
      <c r="BH49" s="270">
        <f t="shared" si="0"/>
        <v>0</v>
      </c>
      <c r="BI49" s="270">
        <f t="shared" si="0"/>
        <v>188664</v>
      </c>
      <c r="BJ49" s="270">
        <f t="shared" si="0"/>
        <v>63404</v>
      </c>
      <c r="BK49" s="270">
        <f t="shared" si="0"/>
        <v>65868</v>
      </c>
      <c r="BL49" s="270">
        <f t="shared" si="0"/>
        <v>183307</v>
      </c>
      <c r="BM49" s="270">
        <f t="shared" si="0"/>
        <v>0</v>
      </c>
      <c r="BN49" s="270">
        <f t="shared" si="0"/>
        <v>77927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45083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49510</v>
      </c>
      <c r="BW49" s="270">
        <f t="shared" si="1"/>
        <v>0</v>
      </c>
      <c r="BX49" s="270">
        <f t="shared" si="1"/>
        <v>88105</v>
      </c>
      <c r="BY49" s="270">
        <f t="shared" si="1"/>
        <v>443630</v>
      </c>
      <c r="BZ49" s="270">
        <f t="shared" si="1"/>
        <v>0</v>
      </c>
      <c r="CA49" s="270">
        <f t="shared" si="1"/>
        <v>108775</v>
      </c>
      <c r="CB49" s="270">
        <f t="shared" si="1"/>
        <v>0</v>
      </c>
      <c r="CC49" s="270">
        <f t="shared" si="1"/>
        <v>74358</v>
      </c>
      <c r="CD49" s="270">
        <f t="shared" si="1"/>
        <v>0</v>
      </c>
      <c r="CE49" s="32">
        <f>SUM(C49:CD49)</f>
        <v>4352012</v>
      </c>
    </row>
    <row r="50" spans="1:83" x14ac:dyDescent="0.35">
      <c r="A50" s="20" t="s">
        <v>218</v>
      </c>
      <c r="B50" s="270">
        <f>B48+B49</f>
        <v>4352010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1245348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0</v>
      </c>
      <c r="F53" s="270">
        <f t="shared" si="2"/>
        <v>0</v>
      </c>
      <c r="G53" s="270">
        <f t="shared" si="2"/>
        <v>0</v>
      </c>
      <c r="H53" s="270">
        <f t="shared" si="2"/>
        <v>742910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0</v>
      </c>
      <c r="Q53" s="270">
        <f t="shared" si="2"/>
        <v>0</v>
      </c>
      <c r="R53" s="270">
        <f t="shared" si="2"/>
        <v>0</v>
      </c>
      <c r="S53" s="270">
        <f t="shared" si="2"/>
        <v>0</v>
      </c>
      <c r="T53" s="270">
        <f t="shared" si="2"/>
        <v>0</v>
      </c>
      <c r="U53" s="270">
        <f t="shared" si="2"/>
        <v>0</v>
      </c>
      <c r="V53" s="270">
        <f t="shared" si="2"/>
        <v>0</v>
      </c>
      <c r="W53" s="270">
        <f t="shared" si="2"/>
        <v>0</v>
      </c>
      <c r="X53" s="270">
        <f t="shared" si="2"/>
        <v>0</v>
      </c>
      <c r="Y53" s="270">
        <f t="shared" si="2"/>
        <v>0</v>
      </c>
      <c r="Z53" s="270">
        <f t="shared" si="2"/>
        <v>0</v>
      </c>
      <c r="AA53" s="270">
        <f t="shared" si="2"/>
        <v>0</v>
      </c>
      <c r="AB53" s="270">
        <f t="shared" si="2"/>
        <v>3381</v>
      </c>
      <c r="AC53" s="270">
        <f t="shared" si="2"/>
        <v>0</v>
      </c>
      <c r="AD53" s="270">
        <f t="shared" si="2"/>
        <v>0</v>
      </c>
      <c r="AE53" s="270">
        <f t="shared" si="2"/>
        <v>0</v>
      </c>
      <c r="AF53" s="270">
        <f t="shared" si="2"/>
        <v>0</v>
      </c>
      <c r="AG53" s="270">
        <f t="shared" si="2"/>
        <v>0</v>
      </c>
      <c r="AH53" s="270">
        <f t="shared" si="2"/>
        <v>0</v>
      </c>
      <c r="AI53" s="270">
        <f t="shared" si="2"/>
        <v>0</v>
      </c>
      <c r="AJ53" s="270">
        <f t="shared" si="2"/>
        <v>0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80173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59103</v>
      </c>
      <c r="AZ53" s="270">
        <f t="shared" si="2"/>
        <v>23182</v>
      </c>
      <c r="BA53" s="270">
        <f t="shared" si="2"/>
        <v>7727</v>
      </c>
      <c r="BB53" s="270">
        <f t="shared" si="2"/>
        <v>0</v>
      </c>
      <c r="BC53" s="270">
        <f t="shared" si="2"/>
        <v>0</v>
      </c>
      <c r="BD53" s="270">
        <f t="shared" si="2"/>
        <v>0</v>
      </c>
      <c r="BE53" s="270">
        <f t="shared" si="2"/>
        <v>0</v>
      </c>
      <c r="BF53" s="270">
        <f t="shared" si="2"/>
        <v>0</v>
      </c>
      <c r="BG53" s="270">
        <f t="shared" si="2"/>
        <v>1449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0</v>
      </c>
      <c r="BM53" s="270">
        <f t="shared" si="2"/>
        <v>0</v>
      </c>
      <c r="BN53" s="270">
        <f t="shared" si="2"/>
        <v>304466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2913</v>
      </c>
      <c r="BS53" s="270">
        <f t="shared" si="3"/>
        <v>0</v>
      </c>
      <c r="BT53" s="270">
        <f t="shared" si="3"/>
        <v>0</v>
      </c>
      <c r="BU53" s="270">
        <f t="shared" si="3"/>
        <v>8452</v>
      </c>
      <c r="BV53" s="270">
        <f t="shared" si="3"/>
        <v>10142</v>
      </c>
      <c r="BW53" s="270">
        <f t="shared" si="3"/>
        <v>0</v>
      </c>
      <c r="BX53" s="270">
        <f t="shared" si="3"/>
        <v>0</v>
      </c>
      <c r="BY53" s="270">
        <f t="shared" si="3"/>
        <v>1449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0</v>
      </c>
      <c r="CD53" s="270">
        <f t="shared" si="3"/>
        <v>0</v>
      </c>
      <c r="CE53" s="32">
        <f>SUM(C53:CD53)</f>
        <v>1245347</v>
      </c>
    </row>
    <row r="54" spans="1:83" x14ac:dyDescent="0.35">
      <c r="A54" s="20" t="s">
        <v>218</v>
      </c>
      <c r="B54" s="270">
        <f>B52+B53</f>
        <v>1245348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/>
      <c r="F60" s="213"/>
      <c r="G60" s="213"/>
      <c r="H60" s="213">
        <v>41663</v>
      </c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>
        <v>7610</v>
      </c>
      <c r="AV60" s="263"/>
      <c r="AW60" s="263"/>
      <c r="AX60" s="263"/>
      <c r="AY60" s="214">
        <v>124989</v>
      </c>
      <c r="AZ60" s="214"/>
      <c r="BA60" s="263"/>
      <c r="BB60" s="263"/>
      <c r="BC60" s="263"/>
      <c r="BD60" s="263"/>
      <c r="BE60" s="214">
        <v>82513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/>
      <c r="D61" s="243"/>
      <c r="E61" s="243"/>
      <c r="F61" s="243"/>
      <c r="G61" s="243"/>
      <c r="H61" s="243">
        <v>125.93221153846152</v>
      </c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>
        <v>3.3850961538461539</v>
      </c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>
        <v>5.4014423076923075</v>
      </c>
      <c r="AN61" s="244"/>
      <c r="AO61" s="244"/>
      <c r="AP61" s="244"/>
      <c r="AQ61" s="244"/>
      <c r="AR61" s="244"/>
      <c r="AS61" s="244"/>
      <c r="AT61" s="244"/>
      <c r="AU61" s="244">
        <v>9.5798076923076927</v>
      </c>
      <c r="AV61" s="245">
        <v>16.639423076923077</v>
      </c>
      <c r="AW61" s="245"/>
      <c r="AX61" s="245"/>
      <c r="AY61" s="244">
        <v>9.1687499999999993</v>
      </c>
      <c r="AZ61" s="244"/>
      <c r="BA61" s="245"/>
      <c r="BB61" s="245">
        <v>1.9745192307692307</v>
      </c>
      <c r="BC61" s="245"/>
      <c r="BD61" s="245"/>
      <c r="BE61" s="244">
        <v>2.3052884615384617</v>
      </c>
      <c r="BF61" s="245">
        <v>8.0817307692307701</v>
      </c>
      <c r="BG61" s="245">
        <v>2.6759615384615385</v>
      </c>
      <c r="BH61" s="245"/>
      <c r="BI61" s="245">
        <v>14.060576923076923</v>
      </c>
      <c r="BJ61" s="245">
        <v>3.2326923076923073</v>
      </c>
      <c r="BK61" s="245">
        <v>4.9201923076923082</v>
      </c>
      <c r="BL61" s="245">
        <v>11.486057692307693</v>
      </c>
      <c r="BM61" s="245"/>
      <c r="BN61" s="245">
        <v>3.0620192307692307</v>
      </c>
      <c r="BO61" s="245"/>
      <c r="BP61" s="245"/>
      <c r="BQ61" s="245"/>
      <c r="BR61" s="245">
        <v>3.0668269230769232</v>
      </c>
      <c r="BS61" s="245"/>
      <c r="BT61" s="245"/>
      <c r="BU61" s="245"/>
      <c r="BV61" s="245">
        <v>4.7774038461538462</v>
      </c>
      <c r="BW61" s="245"/>
      <c r="BX61" s="245">
        <v>5.2158653846153848</v>
      </c>
      <c r="BY61" s="245">
        <v>13.985576923076923</v>
      </c>
      <c r="BZ61" s="245"/>
      <c r="CA61" s="245">
        <v>7.904807692307692</v>
      </c>
      <c r="CB61" s="245"/>
      <c r="CC61" s="245">
        <v>5.1995192307692308</v>
      </c>
      <c r="CD61" s="247" t="s">
        <v>233</v>
      </c>
      <c r="CE61" s="268">
        <f t="shared" ref="CE61:CE69" si="4">SUM(C61:CD61)</f>
        <v>262.05576923076922</v>
      </c>
    </row>
    <row r="62" spans="1:83" x14ac:dyDescent="0.35">
      <c r="A62" s="39" t="s">
        <v>248</v>
      </c>
      <c r="B62" s="20"/>
      <c r="C62" s="213"/>
      <c r="D62" s="213"/>
      <c r="E62" s="213"/>
      <c r="F62" s="213"/>
      <c r="G62" s="213"/>
      <c r="H62" s="213">
        <v>11628903</v>
      </c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>
        <v>21044</v>
      </c>
      <c r="W62" s="214"/>
      <c r="X62" s="214"/>
      <c r="Y62" s="214">
        <v>34081</v>
      </c>
      <c r="Z62" s="214"/>
      <c r="AA62" s="214"/>
      <c r="AB62" s="240">
        <v>472585</v>
      </c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>
        <v>354325</v>
      </c>
      <c r="AN62" s="214"/>
      <c r="AO62" s="214"/>
      <c r="AP62" s="214"/>
      <c r="AQ62" s="214"/>
      <c r="AR62" s="214"/>
      <c r="AS62" s="214"/>
      <c r="AT62" s="214"/>
      <c r="AU62" s="214">
        <v>787870</v>
      </c>
      <c r="AV62" s="228">
        <v>1323885</v>
      </c>
      <c r="AW62" s="228"/>
      <c r="AX62" s="228"/>
      <c r="AY62" s="214">
        <v>505930</v>
      </c>
      <c r="AZ62" s="214"/>
      <c r="BA62" s="228"/>
      <c r="BB62" s="228">
        <v>136299</v>
      </c>
      <c r="BC62" s="228"/>
      <c r="BD62" s="228"/>
      <c r="BE62" s="214">
        <v>194463</v>
      </c>
      <c r="BF62" s="228">
        <v>142346</v>
      </c>
      <c r="BG62" s="228">
        <v>254785</v>
      </c>
      <c r="BH62" s="228"/>
      <c r="BI62" s="228">
        <v>1009505</v>
      </c>
      <c r="BJ62" s="228">
        <v>339265</v>
      </c>
      <c r="BK62" s="228">
        <v>352447</v>
      </c>
      <c r="BL62" s="228">
        <v>980845</v>
      </c>
      <c r="BM62" s="228"/>
      <c r="BN62" s="228">
        <v>416976</v>
      </c>
      <c r="BO62" s="228"/>
      <c r="BP62" s="228"/>
      <c r="BQ62" s="228"/>
      <c r="BR62" s="228">
        <v>241230</v>
      </c>
      <c r="BS62" s="228"/>
      <c r="BT62" s="228"/>
      <c r="BU62" s="228"/>
      <c r="BV62" s="228">
        <v>264921</v>
      </c>
      <c r="BW62" s="228"/>
      <c r="BX62" s="228">
        <v>471433</v>
      </c>
      <c r="BY62" s="228">
        <v>2373786</v>
      </c>
      <c r="BZ62" s="228"/>
      <c r="CA62" s="228">
        <v>582036</v>
      </c>
      <c r="CB62" s="228"/>
      <c r="CC62" s="228">
        <v>397874</v>
      </c>
      <c r="CD62" s="29" t="s">
        <v>233</v>
      </c>
      <c r="CE62" s="32">
        <f t="shared" si="4"/>
        <v>23286834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2173293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3933</v>
      </c>
      <c r="W63" s="269">
        <f t="shared" si="5"/>
        <v>0</v>
      </c>
      <c r="X63" s="269">
        <f t="shared" si="5"/>
        <v>0</v>
      </c>
      <c r="Y63" s="269">
        <f t="shared" si="5"/>
        <v>6369</v>
      </c>
      <c r="Z63" s="269">
        <f t="shared" si="5"/>
        <v>0</v>
      </c>
      <c r="AA63" s="269">
        <f t="shared" si="5"/>
        <v>0</v>
      </c>
      <c r="AB63" s="269">
        <f t="shared" si="5"/>
        <v>88320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66219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147243</v>
      </c>
      <c r="AV63" s="269">
        <f t="shared" si="5"/>
        <v>247417</v>
      </c>
      <c r="AW63" s="269">
        <f t="shared" si="5"/>
        <v>0</v>
      </c>
      <c r="AX63" s="269">
        <f t="shared" si="5"/>
        <v>0</v>
      </c>
      <c r="AY63" s="269">
        <f t="shared" si="5"/>
        <v>94552</v>
      </c>
      <c r="AZ63" s="269">
        <f t="shared" si="5"/>
        <v>0</v>
      </c>
      <c r="BA63" s="269">
        <f t="shared" si="5"/>
        <v>0</v>
      </c>
      <c r="BB63" s="269">
        <f t="shared" si="5"/>
        <v>25473</v>
      </c>
      <c r="BC63" s="269">
        <f t="shared" si="5"/>
        <v>0</v>
      </c>
      <c r="BD63" s="269">
        <f t="shared" si="5"/>
        <v>0</v>
      </c>
      <c r="BE63" s="269">
        <f t="shared" si="5"/>
        <v>36343</v>
      </c>
      <c r="BF63" s="269">
        <f t="shared" si="5"/>
        <v>26603</v>
      </c>
      <c r="BG63" s="269">
        <f t="shared" si="5"/>
        <v>47616</v>
      </c>
      <c r="BH63" s="269">
        <f t="shared" si="5"/>
        <v>0</v>
      </c>
      <c r="BI63" s="269">
        <f t="shared" si="5"/>
        <v>188664</v>
      </c>
      <c r="BJ63" s="269">
        <f t="shared" si="5"/>
        <v>63404</v>
      </c>
      <c r="BK63" s="269">
        <f t="shared" si="5"/>
        <v>65868</v>
      </c>
      <c r="BL63" s="269">
        <f t="shared" si="5"/>
        <v>183307</v>
      </c>
      <c r="BM63" s="269">
        <f t="shared" si="5"/>
        <v>0</v>
      </c>
      <c r="BN63" s="269">
        <f t="shared" si="5"/>
        <v>77927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45083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49510</v>
      </c>
      <c r="BW63" s="269">
        <f t="shared" si="6"/>
        <v>0</v>
      </c>
      <c r="BX63" s="269">
        <f t="shared" si="6"/>
        <v>88105</v>
      </c>
      <c r="BY63" s="269">
        <f t="shared" si="6"/>
        <v>443630</v>
      </c>
      <c r="BZ63" s="269">
        <f t="shared" si="6"/>
        <v>0</v>
      </c>
      <c r="CA63" s="269">
        <f t="shared" si="6"/>
        <v>108775</v>
      </c>
      <c r="CB63" s="269">
        <f t="shared" si="6"/>
        <v>0</v>
      </c>
      <c r="CC63" s="269">
        <f t="shared" si="6"/>
        <v>74358</v>
      </c>
      <c r="CD63" s="29" t="s">
        <v>233</v>
      </c>
      <c r="CE63" s="32">
        <f t="shared" si="4"/>
        <v>4352012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>
        <v>406085</v>
      </c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>
        <v>6146787</v>
      </c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6552872</v>
      </c>
    </row>
    <row r="65" spans="1:83" x14ac:dyDescent="0.35">
      <c r="A65" s="39" t="s">
        <v>250</v>
      </c>
      <c r="B65" s="20"/>
      <c r="C65" s="213"/>
      <c r="D65" s="213"/>
      <c r="E65" s="213"/>
      <c r="F65" s="213"/>
      <c r="G65" s="213"/>
      <c r="H65" s="213">
        <v>5837</v>
      </c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>
        <v>448751</v>
      </c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>
        <v>27912</v>
      </c>
      <c r="AN65" s="214"/>
      <c r="AO65" s="214"/>
      <c r="AP65" s="214"/>
      <c r="AQ65" s="214"/>
      <c r="AR65" s="214"/>
      <c r="AS65" s="214"/>
      <c r="AT65" s="214"/>
      <c r="AU65" s="214">
        <v>2191</v>
      </c>
      <c r="AV65" s="228">
        <v>2790</v>
      </c>
      <c r="AW65" s="228"/>
      <c r="AX65" s="228"/>
      <c r="AY65" s="214">
        <v>873652</v>
      </c>
      <c r="AZ65" s="214"/>
      <c r="BA65" s="228"/>
      <c r="BB65" s="228"/>
      <c r="BC65" s="228"/>
      <c r="BD65" s="228"/>
      <c r="BE65" s="214">
        <v>58108</v>
      </c>
      <c r="BF65" s="228">
        <v>81398</v>
      </c>
      <c r="BG65" s="228">
        <v>11961</v>
      </c>
      <c r="BH65" s="228">
        <v>145</v>
      </c>
      <c r="BI65" s="228">
        <v>321353</v>
      </c>
      <c r="BJ65" s="228">
        <v>935</v>
      </c>
      <c r="BK65" s="228">
        <v>8622</v>
      </c>
      <c r="BL65" s="228">
        <v>2802</v>
      </c>
      <c r="BM65" s="228"/>
      <c r="BN65" s="228">
        <v>20773</v>
      </c>
      <c r="BO65" s="228"/>
      <c r="BP65" s="228"/>
      <c r="BQ65" s="228"/>
      <c r="BR65" s="228">
        <v>6653</v>
      </c>
      <c r="BS65" s="228"/>
      <c r="BT65" s="228"/>
      <c r="BU65" s="228"/>
      <c r="BV65" s="228">
        <v>28520</v>
      </c>
      <c r="BW65" s="228">
        <v>1534</v>
      </c>
      <c r="BX65" s="228">
        <v>936</v>
      </c>
      <c r="BY65" s="228">
        <v>26840</v>
      </c>
      <c r="BZ65" s="228"/>
      <c r="CA65" s="228">
        <v>2995</v>
      </c>
      <c r="CB65" s="228"/>
      <c r="CC65" s="228">
        <v>75138</v>
      </c>
      <c r="CD65" s="29" t="s">
        <v>233</v>
      </c>
      <c r="CE65" s="32">
        <f t="shared" si="4"/>
        <v>2009846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>
        <v>-500</v>
      </c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295170</v>
      </c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294670</v>
      </c>
    </row>
    <row r="67" spans="1:83" x14ac:dyDescent="0.35">
      <c r="A67" s="39" t="s">
        <v>252</v>
      </c>
      <c r="B67" s="20"/>
      <c r="C67" s="213"/>
      <c r="D67" s="213"/>
      <c r="E67" s="213"/>
      <c r="F67" s="213"/>
      <c r="G67" s="213"/>
      <c r="H67" s="213">
        <v>74620</v>
      </c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>
        <v>116710</v>
      </c>
      <c r="V67" s="214"/>
      <c r="W67" s="214"/>
      <c r="X67" s="214"/>
      <c r="Y67" s="214"/>
      <c r="Z67" s="214"/>
      <c r="AA67" s="214"/>
      <c r="AB67" s="240">
        <v>61196</v>
      </c>
      <c r="AC67" s="214"/>
      <c r="AD67" s="214"/>
      <c r="AE67" s="214"/>
      <c r="AF67" s="214"/>
      <c r="AG67" s="214">
        <v>37433</v>
      </c>
      <c r="AH67" s="214"/>
      <c r="AI67" s="214"/>
      <c r="AJ67" s="214"/>
      <c r="AK67" s="214"/>
      <c r="AL67" s="214"/>
      <c r="AM67" s="214">
        <v>90559</v>
      </c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56146</v>
      </c>
      <c r="AZ67" s="214"/>
      <c r="BA67" s="228">
        <v>143822</v>
      </c>
      <c r="BB67" s="228">
        <v>59575</v>
      </c>
      <c r="BC67" s="228"/>
      <c r="BD67" s="228"/>
      <c r="BE67" s="214">
        <v>99023</v>
      </c>
      <c r="BF67" s="228">
        <v>590922</v>
      </c>
      <c r="BG67" s="228"/>
      <c r="BH67" s="228"/>
      <c r="BI67" s="228">
        <v>274227</v>
      </c>
      <c r="BJ67" s="228">
        <v>20145</v>
      </c>
      <c r="BK67" s="228">
        <v>140560</v>
      </c>
      <c r="BL67" s="228"/>
      <c r="BM67" s="228"/>
      <c r="BN67" s="228">
        <v>126000</v>
      </c>
      <c r="BO67" s="228"/>
      <c r="BP67" s="228"/>
      <c r="BQ67" s="228"/>
      <c r="BR67" s="228">
        <v>95508</v>
      </c>
      <c r="BS67" s="228"/>
      <c r="BT67" s="228"/>
      <c r="BU67" s="228"/>
      <c r="BV67" s="228">
        <v>333003</v>
      </c>
      <c r="BW67" s="228">
        <v>120394</v>
      </c>
      <c r="BX67" s="228">
        <v>4</v>
      </c>
      <c r="BY67" s="228"/>
      <c r="BZ67" s="228"/>
      <c r="CA67" s="228"/>
      <c r="CB67" s="228"/>
      <c r="CC67" s="228">
        <v>30842</v>
      </c>
      <c r="CD67" s="29" t="s">
        <v>233</v>
      </c>
      <c r="CE67" s="32">
        <f t="shared" si="4"/>
        <v>2470689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742910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3381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80173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59103</v>
      </c>
      <c r="AZ68" s="32">
        <f t="shared" si="7"/>
        <v>23182</v>
      </c>
      <c r="BA68" s="32">
        <f t="shared" si="7"/>
        <v>7727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1449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304466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2913</v>
      </c>
      <c r="BS68" s="32">
        <f t="shared" si="8"/>
        <v>0</v>
      </c>
      <c r="BT68" s="32">
        <f t="shared" si="8"/>
        <v>0</v>
      </c>
      <c r="BU68" s="32">
        <f t="shared" si="8"/>
        <v>8452</v>
      </c>
      <c r="BV68" s="32">
        <f t="shared" si="8"/>
        <v>10142</v>
      </c>
      <c r="BW68" s="32">
        <f t="shared" si="8"/>
        <v>0</v>
      </c>
      <c r="BX68" s="32">
        <f t="shared" si="8"/>
        <v>0</v>
      </c>
      <c r="BY68" s="32">
        <f t="shared" si="8"/>
        <v>1449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1245347</v>
      </c>
    </row>
    <row r="69" spans="1:83" x14ac:dyDescent="0.35">
      <c r="A69" s="39" t="s">
        <v>253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>
        <v>65679</v>
      </c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30278</v>
      </c>
      <c r="BF69" s="228"/>
      <c r="BG69" s="228"/>
      <c r="BH69" s="228"/>
      <c r="BI69" s="228"/>
      <c r="BJ69" s="228"/>
      <c r="BK69" s="228"/>
      <c r="BL69" s="228"/>
      <c r="BM69" s="228"/>
      <c r="BN69" s="228">
        <v>121374</v>
      </c>
      <c r="BO69" s="228"/>
      <c r="BP69" s="228"/>
      <c r="BQ69" s="228"/>
      <c r="BR69" s="228">
        <v>16895</v>
      </c>
      <c r="BS69" s="228"/>
      <c r="BT69" s="228"/>
      <c r="BU69" s="228"/>
      <c r="BV69" s="228">
        <v>297</v>
      </c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234523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12695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2815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7106</v>
      </c>
      <c r="AV70" s="32">
        <f t="shared" si="9"/>
        <v>934</v>
      </c>
      <c r="AW70" s="32">
        <f t="shared" si="9"/>
        <v>0</v>
      </c>
      <c r="AX70" s="32">
        <f t="shared" si="9"/>
        <v>0</v>
      </c>
      <c r="AY70" s="32">
        <f t="shared" si="9"/>
        <v>1351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106583</v>
      </c>
      <c r="BD70" s="32">
        <f t="shared" si="9"/>
        <v>0</v>
      </c>
      <c r="BE70" s="32">
        <f t="shared" si="9"/>
        <v>529369</v>
      </c>
      <c r="BF70" s="32">
        <f t="shared" si="9"/>
        <v>539</v>
      </c>
      <c r="BG70" s="32">
        <f t="shared" si="9"/>
        <v>38221</v>
      </c>
      <c r="BH70" s="32">
        <f t="shared" si="9"/>
        <v>0</v>
      </c>
      <c r="BI70" s="32">
        <f t="shared" si="9"/>
        <v>93763</v>
      </c>
      <c r="BJ70" s="32">
        <f t="shared" si="9"/>
        <v>32131</v>
      </c>
      <c r="BK70" s="32">
        <f t="shared" si="9"/>
        <v>35228</v>
      </c>
      <c r="BL70" s="32">
        <f t="shared" si="9"/>
        <v>71</v>
      </c>
      <c r="BM70" s="32">
        <f t="shared" si="9"/>
        <v>0</v>
      </c>
      <c r="BN70" s="32">
        <f t="shared" si="9"/>
        <v>334139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38907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9363</v>
      </c>
      <c r="BW70" s="32">
        <f t="shared" si="10"/>
        <v>186</v>
      </c>
      <c r="BX70" s="32">
        <f t="shared" si="10"/>
        <v>417</v>
      </c>
      <c r="BY70" s="32">
        <f t="shared" si="10"/>
        <v>6281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13633516</v>
      </c>
      <c r="CD70" s="32">
        <f t="shared" si="10"/>
        <v>0</v>
      </c>
      <c r="CE70" s="32">
        <f>SUM(CE71:CE85)</f>
        <v>14883615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/>
      <c r="F84" s="30"/>
      <c r="G84" s="24"/>
      <c r="H84" s="24">
        <v>12695</v>
      </c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>
        <v>2815</v>
      </c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>
        <v>7106</v>
      </c>
      <c r="AV84" s="30">
        <v>934</v>
      </c>
      <c r="AW84" s="30"/>
      <c r="AX84" s="30"/>
      <c r="AY84" s="30">
        <v>1351</v>
      </c>
      <c r="AZ84" s="30"/>
      <c r="BA84" s="30"/>
      <c r="BB84" s="30"/>
      <c r="BC84" s="30">
        <v>106583</v>
      </c>
      <c r="BD84" s="30"/>
      <c r="BE84" s="30">
        <v>529369</v>
      </c>
      <c r="BF84" s="30">
        <v>539</v>
      </c>
      <c r="BG84" s="30">
        <v>38221</v>
      </c>
      <c r="BH84" s="31"/>
      <c r="BI84" s="30">
        <v>93763</v>
      </c>
      <c r="BJ84" s="30">
        <v>32131</v>
      </c>
      <c r="BK84" s="30">
        <v>35228</v>
      </c>
      <c r="BL84" s="30">
        <v>71</v>
      </c>
      <c r="BM84" s="30"/>
      <c r="BN84" s="30">
        <v>334139</v>
      </c>
      <c r="BO84" s="30"/>
      <c r="BP84" s="30"/>
      <c r="BQ84" s="30"/>
      <c r="BR84" s="30">
        <v>38907</v>
      </c>
      <c r="BS84" s="30"/>
      <c r="BT84" s="30"/>
      <c r="BU84" s="30"/>
      <c r="BV84" s="30">
        <v>9363</v>
      </c>
      <c r="BW84" s="30">
        <v>186</v>
      </c>
      <c r="BX84" s="30">
        <v>417</v>
      </c>
      <c r="BY84" s="30">
        <v>6281</v>
      </c>
      <c r="BZ84" s="30"/>
      <c r="CA84" s="30"/>
      <c r="CB84" s="30"/>
      <c r="CC84" s="30">
        <v>13633516</v>
      </c>
      <c r="CD84" s="35"/>
      <c r="CE84" s="32">
        <f t="shared" si="11"/>
        <v>14883615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14638258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116710</v>
      </c>
      <c r="V86" s="32">
        <f t="shared" si="12"/>
        <v>24977</v>
      </c>
      <c r="W86" s="32">
        <f t="shared" si="12"/>
        <v>0</v>
      </c>
      <c r="X86" s="32">
        <f t="shared" si="12"/>
        <v>0</v>
      </c>
      <c r="Y86" s="32">
        <f t="shared" si="12"/>
        <v>40450</v>
      </c>
      <c r="Z86" s="32">
        <f t="shared" si="12"/>
        <v>0</v>
      </c>
      <c r="AA86" s="32">
        <f t="shared" si="12"/>
        <v>0</v>
      </c>
      <c r="AB86" s="32">
        <f t="shared" si="12"/>
        <v>1077048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37433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539015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1495847</v>
      </c>
      <c r="AV86" s="32">
        <f t="shared" si="12"/>
        <v>1575026</v>
      </c>
      <c r="AW86" s="32">
        <f t="shared" si="12"/>
        <v>0</v>
      </c>
      <c r="AX86" s="32">
        <f t="shared" si="12"/>
        <v>0</v>
      </c>
      <c r="AY86" s="32">
        <f t="shared" si="12"/>
        <v>1590734</v>
      </c>
      <c r="AZ86" s="32">
        <f t="shared" si="12"/>
        <v>23182</v>
      </c>
      <c r="BA86" s="32">
        <f t="shared" si="12"/>
        <v>151549</v>
      </c>
      <c r="BB86" s="32">
        <f t="shared" si="12"/>
        <v>221347</v>
      </c>
      <c r="BC86" s="32">
        <f t="shared" si="12"/>
        <v>106583</v>
      </c>
      <c r="BD86" s="32">
        <f t="shared" si="12"/>
        <v>0</v>
      </c>
      <c r="BE86" s="32">
        <f t="shared" si="12"/>
        <v>1242754</v>
      </c>
      <c r="BF86" s="32">
        <f t="shared" si="12"/>
        <v>841808</v>
      </c>
      <c r="BG86" s="32">
        <f t="shared" si="12"/>
        <v>354032</v>
      </c>
      <c r="BH86" s="32">
        <f t="shared" si="12"/>
        <v>145</v>
      </c>
      <c r="BI86" s="32">
        <f t="shared" si="12"/>
        <v>1887512</v>
      </c>
      <c r="BJ86" s="32">
        <f t="shared" si="12"/>
        <v>455880</v>
      </c>
      <c r="BK86" s="32">
        <f t="shared" si="12"/>
        <v>602725</v>
      </c>
      <c r="BL86" s="32">
        <f t="shared" si="12"/>
        <v>1167025</v>
      </c>
      <c r="BM86" s="32">
        <f t="shared" si="12"/>
        <v>0</v>
      </c>
      <c r="BN86" s="32">
        <f t="shared" si="12"/>
        <v>1401655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447189</v>
      </c>
      <c r="BS86" s="32">
        <f t="shared" si="13"/>
        <v>0</v>
      </c>
      <c r="BT86" s="32">
        <f t="shared" si="13"/>
        <v>0</v>
      </c>
      <c r="BU86" s="32">
        <f t="shared" si="13"/>
        <v>8452</v>
      </c>
      <c r="BV86" s="32">
        <f t="shared" si="13"/>
        <v>695756</v>
      </c>
      <c r="BW86" s="32">
        <f t="shared" si="13"/>
        <v>6268901</v>
      </c>
      <c r="BX86" s="32">
        <f t="shared" si="13"/>
        <v>560895</v>
      </c>
      <c r="BY86" s="32">
        <f t="shared" si="13"/>
        <v>2851986</v>
      </c>
      <c r="BZ86" s="32">
        <f t="shared" si="13"/>
        <v>0</v>
      </c>
      <c r="CA86" s="32">
        <f t="shared" si="13"/>
        <v>693806</v>
      </c>
      <c r="CB86" s="32">
        <f t="shared" si="13"/>
        <v>0</v>
      </c>
      <c r="CC86" s="32">
        <f t="shared" si="13"/>
        <v>14211728</v>
      </c>
      <c r="CD86" s="32">
        <f t="shared" si="13"/>
        <v>0</v>
      </c>
      <c r="CE86" s="32">
        <f t="shared" si="11"/>
        <v>55330408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/>
    </row>
    <row r="88" spans="1:84" x14ac:dyDescent="0.35">
      <c r="A88" s="26" t="s">
        <v>272</v>
      </c>
      <c r="B88" s="20"/>
      <c r="C88" s="213"/>
      <c r="D88" s="213"/>
      <c r="E88" s="213"/>
      <c r="F88" s="213"/>
      <c r="G88" s="213"/>
      <c r="H88" s="213">
        <v>123540802</v>
      </c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123540802</v>
      </c>
    </row>
    <row r="89" spans="1:84" x14ac:dyDescent="0.35">
      <c r="A89" s="26" t="s">
        <v>273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>
        <v>4090960</v>
      </c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4090960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123540802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4090960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127631762</v>
      </c>
    </row>
    <row r="91" spans="1:84" x14ac:dyDescent="0.35">
      <c r="A91" s="39" t="s">
        <v>275</v>
      </c>
      <c r="B91" s="32"/>
      <c r="C91" s="213"/>
      <c r="D91" s="213"/>
      <c r="E91" s="213"/>
      <c r="F91" s="213"/>
      <c r="G91" s="213"/>
      <c r="H91" s="213">
        <v>49223</v>
      </c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>
        <v>224</v>
      </c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>
        <v>5312</v>
      </c>
      <c r="AV91" s="213"/>
      <c r="AW91" s="213"/>
      <c r="AX91" s="213"/>
      <c r="AY91" s="213">
        <v>3916</v>
      </c>
      <c r="AZ91" s="213">
        <v>1536</v>
      </c>
      <c r="BA91" s="213">
        <v>512</v>
      </c>
      <c r="BB91" s="213"/>
      <c r="BC91" s="213"/>
      <c r="BD91" s="213"/>
      <c r="BE91" s="213"/>
      <c r="BF91" s="213"/>
      <c r="BG91" s="213">
        <v>96</v>
      </c>
      <c r="BH91" s="213"/>
      <c r="BI91" s="213"/>
      <c r="BJ91" s="213"/>
      <c r="BK91" s="213"/>
      <c r="BL91" s="213"/>
      <c r="BM91" s="213"/>
      <c r="BN91" s="213">
        <v>20173</v>
      </c>
      <c r="BO91" s="213"/>
      <c r="BP91" s="213"/>
      <c r="BQ91" s="213"/>
      <c r="BR91" s="213">
        <v>193</v>
      </c>
      <c r="BS91" s="213"/>
      <c r="BT91" s="213"/>
      <c r="BU91" s="213">
        <v>560</v>
      </c>
      <c r="BV91" s="213">
        <v>672</v>
      </c>
      <c r="BW91" s="213"/>
      <c r="BX91" s="213"/>
      <c r="BY91" s="213">
        <v>96</v>
      </c>
      <c r="BZ91" s="213"/>
      <c r="CA91" s="213"/>
      <c r="CB91" s="213"/>
      <c r="CC91" s="213"/>
      <c r="CD91" s="233" t="s">
        <v>233</v>
      </c>
      <c r="CE91" s="32">
        <f t="shared" si="14"/>
        <v>82513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>
        <v>124989</v>
      </c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>
        <v>0</v>
      </c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124989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/>
      <c r="F93" s="213"/>
      <c r="G93" s="213"/>
      <c r="H93" s="213">
        <v>16640</v>
      </c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16640</v>
      </c>
      <c r="CF93" s="20"/>
    </row>
    <row r="94" spans="1:84" x14ac:dyDescent="0.35">
      <c r="A94" s="26" t="s">
        <v>278</v>
      </c>
      <c r="B94" s="20"/>
      <c r="C94" s="213"/>
      <c r="D94" s="213" t="s">
        <v>1364</v>
      </c>
      <c r="E94" s="213"/>
      <c r="F94" s="213"/>
      <c r="G94" s="213"/>
      <c r="H94" s="213">
        <v>157977</v>
      </c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157977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/>
      <c r="F95" s="243"/>
      <c r="G95" s="243"/>
      <c r="H95" s="243">
        <v>125.93221153846152</v>
      </c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125.93221153846152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1365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1369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/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1370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1371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1372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/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>
        <v>1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2604</v>
      </c>
      <c r="D128" s="220">
        <v>41663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>
        <v>442</v>
      </c>
      <c r="D130" s="220">
        <v>7610</v>
      </c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145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>
        <v>12</v>
      </c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157</v>
      </c>
    </row>
    <row r="145" spans="1:6" x14ac:dyDescent="0.35">
      <c r="A145" s="20" t="s">
        <v>325</v>
      </c>
      <c r="B145" s="46" t="s">
        <v>284</v>
      </c>
      <c r="C145" s="47">
        <v>157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428</v>
      </c>
      <c r="C155" s="50">
        <v>1533</v>
      </c>
      <c r="D155" s="50">
        <v>643</v>
      </c>
      <c r="E155" s="32">
        <f>SUM(B155:D155)</f>
        <v>2604</v>
      </c>
    </row>
    <row r="156" spans="1:6" x14ac:dyDescent="0.35">
      <c r="A156" s="20" t="s">
        <v>227</v>
      </c>
      <c r="B156" s="50">
        <v>9190</v>
      </c>
      <c r="C156" s="50">
        <v>24436</v>
      </c>
      <c r="D156" s="50">
        <v>8037</v>
      </c>
      <c r="E156" s="32">
        <f>SUM(B156:D156)</f>
        <v>41663</v>
      </c>
    </row>
    <row r="157" spans="1:6" x14ac:dyDescent="0.35">
      <c r="A157" s="20" t="s">
        <v>332</v>
      </c>
      <c r="B157" s="50">
        <v>567</v>
      </c>
      <c r="C157" s="50">
        <v>651</v>
      </c>
      <c r="D157" s="50">
        <v>6392</v>
      </c>
      <c r="E157" s="32">
        <f>SUM(B157:D157)</f>
        <v>7610</v>
      </c>
    </row>
    <row r="158" spans="1:6" x14ac:dyDescent="0.35">
      <c r="A158" s="20" t="s">
        <v>272</v>
      </c>
      <c r="B158" s="50">
        <v>25732000</v>
      </c>
      <c r="C158" s="50">
        <v>68404000</v>
      </c>
      <c r="D158" s="50">
        <v>29404802</v>
      </c>
      <c r="E158" s="32">
        <f>SUM(B158:D158)</f>
        <v>123540802</v>
      </c>
      <c r="F158" s="18"/>
    </row>
    <row r="159" spans="1:6" x14ac:dyDescent="0.35">
      <c r="A159" s="20" t="s">
        <v>273</v>
      </c>
      <c r="B159" s="50">
        <v>252925</v>
      </c>
      <c r="C159" s="50">
        <v>320625</v>
      </c>
      <c r="D159" s="50">
        <v>3517410</v>
      </c>
      <c r="E159" s="32">
        <f>SUM(B159:D159)</f>
        <v>4090960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1851536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100793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768488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1622775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82907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341473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-415962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4352010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135127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99396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234523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438340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7587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445927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144114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885290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1029404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/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0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4313939.9000000004</v>
      </c>
      <c r="C212" s="216"/>
      <c r="D212" s="220"/>
      <c r="E212" s="32">
        <f t="shared" ref="E212:E220" si="16">SUM(B212:C212)-D212</f>
        <v>4313939.9000000004</v>
      </c>
    </row>
    <row r="213" spans="1:5" x14ac:dyDescent="0.35">
      <c r="A213" s="20" t="s">
        <v>367</v>
      </c>
      <c r="B213" s="220">
        <v>2024521.67</v>
      </c>
      <c r="C213" s="216"/>
      <c r="D213" s="220"/>
      <c r="E213" s="32">
        <f t="shared" si="16"/>
        <v>2024521.67</v>
      </c>
    </row>
    <row r="214" spans="1:5" x14ac:dyDescent="0.35">
      <c r="A214" s="20" t="s">
        <v>368</v>
      </c>
      <c r="B214" s="220">
        <v>20055050.98</v>
      </c>
      <c r="C214" s="216"/>
      <c r="D214" s="220"/>
      <c r="E214" s="32">
        <f t="shared" si="16"/>
        <v>20055050.98</v>
      </c>
    </row>
    <row r="215" spans="1:5" x14ac:dyDescent="0.35">
      <c r="A215" s="20" t="s">
        <v>369</v>
      </c>
      <c r="B215" s="220">
        <v>1036429.48</v>
      </c>
      <c r="C215" s="216">
        <v>40296.6</v>
      </c>
      <c r="D215" s="220"/>
      <c r="E215" s="32">
        <f t="shared" si="16"/>
        <v>1076726.08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4300289.51</v>
      </c>
      <c r="C217" s="216">
        <v>170754.83000000002</v>
      </c>
      <c r="D217" s="220">
        <v>10174.780000000001</v>
      </c>
      <c r="E217" s="32">
        <f t="shared" si="16"/>
        <v>4460869.5599999996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401094.69</v>
      </c>
      <c r="C219" s="216"/>
      <c r="D219" s="220"/>
      <c r="E219" s="32">
        <f t="shared" si="16"/>
        <v>401094.69</v>
      </c>
    </row>
    <row r="220" spans="1:5" x14ac:dyDescent="0.35">
      <c r="A220" s="20" t="s">
        <v>374</v>
      </c>
      <c r="B220" s="220">
        <v>239694.35</v>
      </c>
      <c r="C220" s="216">
        <v>772613.69</v>
      </c>
      <c r="D220" s="220"/>
      <c r="E220" s="32">
        <f t="shared" si="16"/>
        <v>1012308.0399999999</v>
      </c>
    </row>
    <row r="221" spans="1:5" x14ac:dyDescent="0.35">
      <c r="A221" s="20" t="s">
        <v>215</v>
      </c>
      <c r="B221" s="32">
        <f>SUM(B212:B220)</f>
        <v>32371020.580000002</v>
      </c>
      <c r="C221" s="266">
        <f>SUM(C212:C220)</f>
        <v>983665.12</v>
      </c>
      <c r="D221" s="32">
        <f>SUM(D212:D220)</f>
        <v>10174.780000000001</v>
      </c>
      <c r="E221" s="32">
        <f>SUM(E212:E220)</f>
        <v>33344510.920000002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1087239.67</v>
      </c>
      <c r="C226" s="216">
        <v>114199.91</v>
      </c>
      <c r="D226" s="220"/>
      <c r="E226" s="32">
        <f t="shared" ref="E226:E233" si="17">SUM(B226:C226)-D226</f>
        <v>1201439.5799999998</v>
      </c>
    </row>
    <row r="227" spans="1:5" x14ac:dyDescent="0.35">
      <c r="A227" s="20" t="s">
        <v>368</v>
      </c>
      <c r="B227" s="220">
        <v>5190080.82</v>
      </c>
      <c r="C227" s="216">
        <v>679091.38</v>
      </c>
      <c r="D227" s="220"/>
      <c r="E227" s="32">
        <f t="shared" si="17"/>
        <v>5869172.2000000002</v>
      </c>
    </row>
    <row r="228" spans="1:5" x14ac:dyDescent="0.35">
      <c r="A228" s="20" t="s">
        <v>369</v>
      </c>
      <c r="B228" s="220">
        <v>445118.41</v>
      </c>
      <c r="C228" s="216">
        <v>73872.72</v>
      </c>
      <c r="D228" s="220"/>
      <c r="E228" s="32">
        <f t="shared" si="17"/>
        <v>518991.13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3179730.09</v>
      </c>
      <c r="C230" s="216">
        <v>326781.93</v>
      </c>
      <c r="D230" s="220">
        <v>10174.780000000001</v>
      </c>
      <c r="E230" s="32">
        <f t="shared" si="17"/>
        <v>3496337.24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340708.95</v>
      </c>
      <c r="C232" s="216">
        <v>47766.23</v>
      </c>
      <c r="D232" s="220"/>
      <c r="E232" s="32">
        <f t="shared" si="17"/>
        <v>388475.18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10242877.939999999</v>
      </c>
      <c r="C234" s="266">
        <f>SUM(C225:C233)</f>
        <v>1241712.17</v>
      </c>
      <c r="D234" s="32">
        <f>SUM(D225:D233)</f>
        <v>10174.780000000001</v>
      </c>
      <c r="E234" s="32">
        <f>SUM(E225:E233)</f>
        <v>11474415.33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52" t="s">
        <v>377</v>
      </c>
      <c r="C237" s="352"/>
      <c r="D237" s="38"/>
      <c r="E237" s="38"/>
    </row>
    <row r="238" spans="1:5" x14ac:dyDescent="0.35">
      <c r="A238" s="56" t="s">
        <v>377</v>
      </c>
      <c r="B238" s="38"/>
      <c r="C238" s="216">
        <v>737646</v>
      </c>
      <c r="D238" s="40">
        <f>C238</f>
        <v>737646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11170632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48998769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1482334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11988568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73640303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167229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13174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180403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15017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6113777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6128794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80687146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-376900.93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9724790.0500000007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1858686.32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-36531.760000000002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261017.95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233732.15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224899.62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8172320.7600000007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4313939.9000000004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2024521.67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20055050.98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1076726.08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4460869.5600000005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401094.69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1012308.0399999999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33344510.920000006</v>
      </c>
      <c r="E292" s="20"/>
    </row>
    <row r="293" spans="1:5" x14ac:dyDescent="0.35">
      <c r="A293" s="20" t="s">
        <v>416</v>
      </c>
      <c r="B293" s="46" t="s">
        <v>284</v>
      </c>
      <c r="C293" s="47">
        <v>11474415.33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21870095.590000004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1119768.99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1119768.99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56670018.130000003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56670018.130000003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87832203.469999999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689050.15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3330216.35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>
        <v>466603.85</v>
      </c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4485870.3499999996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-22351516.32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-22351516.32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-22351516.32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105697849.44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87832203.469999999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87832203.469999999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123540802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4090960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127631762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737646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73640303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180403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6128794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80687146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46944616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240025</v>
      </c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240025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240025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47184641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23252756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4352010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6552872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2009846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294670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3067077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1245348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234522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445927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1029404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/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12845977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12845977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55330409</v>
      </c>
      <c r="E417" s="32"/>
      <c r="F417" s="12">
        <v>55330408</v>
      </c>
    </row>
    <row r="418" spans="1:13" x14ac:dyDescent="0.35">
      <c r="A418" s="32" t="s">
        <v>507</v>
      </c>
      <c r="B418" s="20"/>
      <c r="C418" s="27"/>
      <c r="D418" s="32">
        <f>D385-D417</f>
        <v>-8145768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-8145768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-8145768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82513</v>
      </c>
      <c r="E613" s="258">
        <f>SUM(C625:D648)+SUM(C669:D714)</f>
        <v>38601835.276174664</v>
      </c>
      <c r="F613" s="258">
        <f>CE65-(AX65+BD65+BE65+BG65+BJ65+BN65+BP65+BQ65+CB65+CC65+CD65)</f>
        <v>1842931</v>
      </c>
      <c r="G613" s="256">
        <f>CE92-(AX92+AY92+BD92+BE92+BG92+BJ92+BN92+BP92+BQ92+CB92+CC92+CD92)</f>
        <v>124989</v>
      </c>
      <c r="H613" s="261">
        <f>CE61-(AX61+AY61+AZ61+BD61+BE61+BG61+BJ61+BN61+BO61+BP61+BQ61+BR61+CB61+CC61+CD61)</f>
        <v>233.34471153846152</v>
      </c>
      <c r="I613" s="256">
        <f>CE93-(AX93+AY93+AZ93+BD93+BE93+BF93+BG93+BJ93+BN93+BO93+BP93+BQ93+BR93+CB93+CC93+CD93)</f>
        <v>16640</v>
      </c>
      <c r="J613" s="256">
        <f>CE94-(AX94+AY94+AZ94+BA94+BD94+BE94+BF94+BG94+BJ94+BN94+BO94+BP94+BQ94+BR94+CB94+CC94+CD94)</f>
        <v>157977</v>
      </c>
      <c r="K613" s="256">
        <f>CE90-(AW90+AX90+AY90+AZ90+BA90+BB90+BC90+BD90+BE90+BF90+BG90+BH90+BI90+BJ90+BK90+BL90+BM90+BN90+BO90+BP90+BQ90+BR90+BS90+BT90+BU90+BV90+BW90+BX90+CB90+CC90+CD90)</f>
        <v>127631762</v>
      </c>
      <c r="L613" s="262">
        <f>CE95-(AW95+AX95+AY95+AZ95+BA95+BB95+BC95+BD95+BE95+BF95+BG95+BH95+BI95+BJ95+BK95+BL95+BM95+BN95+BO95+BP95+BQ95+BR95+BS95+BT95+BU95+BV95+BW95+BX95+BY95+BZ95+CA95+CB95+CC95+CD95)</f>
        <v>125.93221153846152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1242754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1242754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455880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354032</v>
      </c>
      <c r="D619" s="256">
        <f>(D616/D613)*BG91</f>
        <v>1445.8859088870845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1401655</v>
      </c>
      <c r="D620" s="256">
        <f>(D616/D613)*BN91</f>
        <v>303831.83791644953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14211728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16728572.723825337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0</v>
      </c>
      <c r="D625" s="256">
        <f>(D616/D613)*BD91</f>
        <v>0</v>
      </c>
      <c r="E625" s="258">
        <f>(E624/E613)*SUM(C625:D625)</f>
        <v>0</v>
      </c>
      <c r="F625" s="258">
        <f>SUM(C625:E625)</f>
        <v>0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1590734</v>
      </c>
      <c r="D626" s="256">
        <f>(D616/D613)*AY91</f>
        <v>58980.096033352318</v>
      </c>
      <c r="E626" s="258">
        <f>(E624/E613)*SUM(C626:D626)</f>
        <v>714923.57893270964</v>
      </c>
      <c r="F626" s="258">
        <f>(F625/F613)*AY65</f>
        <v>0</v>
      </c>
      <c r="G626" s="256">
        <f>SUM(C626:F626)</f>
        <v>2364637.674966062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447189</v>
      </c>
      <c r="D627" s="256">
        <f>(D616/D613)*BR91</f>
        <v>2906.8331293250758</v>
      </c>
      <c r="E627" s="258">
        <f>(E624/E613)*SUM(C627:D627)</f>
        <v>195054.47923202516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23182</v>
      </c>
      <c r="D629" s="256">
        <f>(D616/D613)*AZ91</f>
        <v>23134.174542193352</v>
      </c>
      <c r="E629" s="258">
        <f>(E624/E613)*SUM(C629:D629)</f>
        <v>20071.675053146595</v>
      </c>
      <c r="F629" s="258">
        <f>(F625/F613)*AZ65</f>
        <v>0</v>
      </c>
      <c r="G629" s="256">
        <f>(G626/G613)*AZ92</f>
        <v>0</v>
      </c>
      <c r="H629" s="258">
        <f>SUM(C627:G629)</f>
        <v>711538.16195669014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841808</v>
      </c>
      <c r="D630" s="256">
        <f>(D616/D613)*BF91</f>
        <v>0</v>
      </c>
      <c r="E630" s="258">
        <f>(E624/E613)*SUM(C630:D630)</f>
        <v>364807.68975742522</v>
      </c>
      <c r="F630" s="258">
        <f>(F625/F613)*BF65</f>
        <v>0</v>
      </c>
      <c r="G630" s="256">
        <f>(G626/G613)*BF92</f>
        <v>0</v>
      </c>
      <c r="H630" s="258">
        <f>(H629/H613)*BF61</f>
        <v>24643.626243140541</v>
      </c>
      <c r="I630" s="256">
        <f>SUM(C630:H630)</f>
        <v>1231259.3160005659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151549</v>
      </c>
      <c r="D631" s="256">
        <f>(D616/D613)*BA91</f>
        <v>7711.3915140644503</v>
      </c>
      <c r="E631" s="258">
        <f>(E624/E613)*SUM(C631:D631)</f>
        <v>69017.419052929996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228277.81056699445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221347</v>
      </c>
      <c r="D633" s="256">
        <f>(D616/D613)*BB91</f>
        <v>0</v>
      </c>
      <c r="E633" s="258">
        <f>(E624/E613)*SUM(C633:D633)</f>
        <v>95923.402610496458</v>
      </c>
      <c r="F633" s="258">
        <f>(F625/F613)*BB65</f>
        <v>0</v>
      </c>
      <c r="G633" s="256">
        <f>(G626/G613)*BB92</f>
        <v>0</v>
      </c>
      <c r="H633" s="258">
        <f>(H629/H613)*BB61</f>
        <v>6020.9026163342178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106583</v>
      </c>
      <c r="D634" s="256">
        <f>(D616/D613)*BC91</f>
        <v>0</v>
      </c>
      <c r="E634" s="258">
        <f>(E624/E613)*SUM(C634:D634)</f>
        <v>46189.033600792165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1887512</v>
      </c>
      <c r="D635" s="256">
        <f>(D616/D613)*BI91</f>
        <v>0</v>
      </c>
      <c r="E635" s="258">
        <f>(E624/E613)*SUM(C635:D635)</f>
        <v>817976.17997146281</v>
      </c>
      <c r="F635" s="258">
        <f>(F625/F613)*BI65</f>
        <v>0</v>
      </c>
      <c r="G635" s="256">
        <f>(G626/G613)*BI92</f>
        <v>0</v>
      </c>
      <c r="H635" s="258">
        <f>(H629/H613)*BI61</f>
        <v>42874.925229440109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602725</v>
      </c>
      <c r="D636" s="256">
        <f>(D616/D613)*BK91</f>
        <v>0</v>
      </c>
      <c r="E636" s="258">
        <f>(E624/E613)*SUM(C636:D636)</f>
        <v>261198.17679214751</v>
      </c>
      <c r="F636" s="258">
        <f>(F625/F613)*BK65</f>
        <v>0</v>
      </c>
      <c r="G636" s="256">
        <f>(G626/G613)*BK92</f>
        <v>0</v>
      </c>
      <c r="H636" s="258">
        <f>(H629/H613)*BK61</f>
        <v>15003.145209536009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145</v>
      </c>
      <c r="D637" s="256">
        <f>(D616/D613)*BH91</f>
        <v>0</v>
      </c>
      <c r="E637" s="258">
        <f>(E624/E613)*SUM(C637:D637)</f>
        <v>62.837505719625682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1167025</v>
      </c>
      <c r="D638" s="256">
        <f>(D616/D613)*BL91</f>
        <v>0</v>
      </c>
      <c r="E638" s="258">
        <f>(E624/E613)*SUM(C638:D638)</f>
        <v>505744.41456859419</v>
      </c>
      <c r="F638" s="258">
        <f>(F625/F613)*BL65</f>
        <v>0</v>
      </c>
      <c r="G638" s="256">
        <f>(G626/G613)*BL92</f>
        <v>0</v>
      </c>
      <c r="H638" s="258">
        <f>(H629/H613)*BL61</f>
        <v>35024.442270961968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8452</v>
      </c>
      <c r="D642" s="256">
        <f>(D616/D613)*BU91</f>
        <v>8434.3344685079919</v>
      </c>
      <c r="E642" s="258">
        <f>(E624/E613)*SUM(C642:D642)</f>
        <v>7317.8975086095406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695756</v>
      </c>
      <c r="D643" s="256">
        <f>(D616/D613)*BV91</f>
        <v>10121.201362209591</v>
      </c>
      <c r="E643" s="258">
        <f>(E624/E613)*SUM(C643:D643)</f>
        <v>305900.43226173252</v>
      </c>
      <c r="F643" s="258">
        <f>(F625/F613)*BV65</f>
        <v>0</v>
      </c>
      <c r="G643" s="256">
        <f>(G626/G613)*BV92</f>
        <v>0</v>
      </c>
      <c r="H643" s="258">
        <f>(H629/H613)*BV61</f>
        <v>14567.740272343102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6268901</v>
      </c>
      <c r="D644" s="256">
        <f>(D616/D613)*BW91</f>
        <v>0</v>
      </c>
      <c r="E644" s="258">
        <f>(E624/E613)*SUM(C644:D644)</f>
        <v>2716704.154781153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560895</v>
      </c>
      <c r="D645" s="256">
        <f>(D616/D613)*BX91</f>
        <v>0</v>
      </c>
      <c r="E645" s="258">
        <f>(E624/E613)*SUM(C645:D645)</f>
        <v>243070.63979730653</v>
      </c>
      <c r="F645" s="258">
        <f>(F625/F613)*BX65</f>
        <v>0</v>
      </c>
      <c r="G645" s="256">
        <f>(G626/G613)*BX92</f>
        <v>0</v>
      </c>
      <c r="H645" s="258">
        <f>(H629/H613)*BX61</f>
        <v>15904.741291602126</v>
      </c>
      <c r="I645" s="256">
        <f>(I630/I613)*BX93</f>
        <v>0</v>
      </c>
      <c r="J645" s="256">
        <f>(J631/J613)*BX94</f>
        <v>0</v>
      </c>
      <c r="K645" s="258">
        <f>SUM(C632:J645)</f>
        <v>16667379.602118947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2851986</v>
      </c>
      <c r="D646" s="256">
        <f>(D616/D613)*BY91</f>
        <v>1445.8859088870845</v>
      </c>
      <c r="E646" s="258">
        <f>(E624/E613)*SUM(C646:D646)</f>
        <v>1236569.2582852552</v>
      </c>
      <c r="F646" s="258">
        <f>(F625/F613)*BY65</f>
        <v>0</v>
      </c>
      <c r="G646" s="256">
        <f>(G626/G613)*BY92</f>
        <v>0</v>
      </c>
      <c r="H646" s="258">
        <f>(H629/H613)*BY61</f>
        <v>42646.227686672115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693806</v>
      </c>
      <c r="D648" s="256">
        <f>(D616/D613)*CA91</f>
        <v>0</v>
      </c>
      <c r="E648" s="258">
        <f>(E624/E613)*SUM(C648:D648)</f>
        <v>300669.23098834907</v>
      </c>
      <c r="F648" s="258">
        <f>(F625/F613)*CA65</f>
        <v>0</v>
      </c>
      <c r="G648" s="256">
        <f>(G626/G613)*CA92</f>
        <v>0</v>
      </c>
      <c r="H648" s="258">
        <f>(H629/H613)*CA61</f>
        <v>24104.134603790408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5151226.7374729533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35785644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0</v>
      </c>
      <c r="D671" s="256">
        <f>(D616/D613)*E91</f>
        <v>0</v>
      </c>
      <c r="E671" s="258">
        <f>(E624/E613)*SUM(C671:D671)</f>
        <v>0</v>
      </c>
      <c r="F671" s="258">
        <f>(F625/F613)*E65</f>
        <v>0</v>
      </c>
      <c r="G671" s="256">
        <f>(G626/G613)*E92</f>
        <v>0</v>
      </c>
      <c r="H671" s="258">
        <f>(H629/H613)*E61</f>
        <v>0</v>
      </c>
      <c r="I671" s="256">
        <f>(I630/I613)*E93</f>
        <v>0</v>
      </c>
      <c r="J671" s="256">
        <f>(J631/J613)*E94</f>
        <v>0</v>
      </c>
      <c r="K671" s="256">
        <f>(K645/K613)*E90</f>
        <v>0</v>
      </c>
      <c r="L671" s="256">
        <f>(L648/L613)*E95</f>
        <v>0</v>
      </c>
      <c r="M671" s="231">
        <f t="shared" si="18"/>
        <v>0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14638258</v>
      </c>
      <c r="D674" s="256">
        <f>(D616/D613)*H91</f>
        <v>741362.93847030168</v>
      </c>
      <c r="E674" s="258">
        <f>(E624/E613)*SUM(C674:D674)</f>
        <v>6664944.9564607069</v>
      </c>
      <c r="F674" s="258">
        <f>(F625/F613)*H65</f>
        <v>0</v>
      </c>
      <c r="G674" s="256">
        <f>(G626/G613)*H92</f>
        <v>2364637.674966062</v>
      </c>
      <c r="H674" s="258">
        <f>(H629/H613)*H61</f>
        <v>384005.16445579944</v>
      </c>
      <c r="I674" s="256">
        <f>(I630/I613)*H93</f>
        <v>1231259.3160005659</v>
      </c>
      <c r="J674" s="256">
        <f>(J631/J613)*H94</f>
        <v>228277.81056699445</v>
      </c>
      <c r="K674" s="256">
        <f>(K645/K613)*H90</f>
        <v>16133142.808795631</v>
      </c>
      <c r="L674" s="256">
        <f>(L648/L613)*H95</f>
        <v>5151226.7374729533</v>
      </c>
      <c r="M674" s="231">
        <f t="shared" si="18"/>
        <v>32898857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0</v>
      </c>
      <c r="D682" s="256">
        <f>(D616/D613)*P91</f>
        <v>0</v>
      </c>
      <c r="E682" s="258">
        <f>(E624/E613)*SUM(C682:D682)</f>
        <v>0</v>
      </c>
      <c r="F682" s="258">
        <f>(F625/F613)*P65</f>
        <v>0</v>
      </c>
      <c r="G682" s="256">
        <f>(G626/G613)*P92</f>
        <v>0</v>
      </c>
      <c r="H682" s="258">
        <f>(H629/H613)*P61</f>
        <v>0</v>
      </c>
      <c r="I682" s="256">
        <f>(I630/I613)*P93</f>
        <v>0</v>
      </c>
      <c r="J682" s="256">
        <f>(J631/J613)*P94</f>
        <v>0</v>
      </c>
      <c r="K682" s="256">
        <f>(K645/K613)*P90</f>
        <v>0</v>
      </c>
      <c r="L682" s="256">
        <f>(L648/L613)*P95</f>
        <v>0</v>
      </c>
      <c r="M682" s="231">
        <f t="shared" si="18"/>
        <v>0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0</v>
      </c>
      <c r="D684" s="256">
        <f>(D616/D613)*R91</f>
        <v>0</v>
      </c>
      <c r="E684" s="258">
        <f>(E624/E613)*SUM(C684:D684)</f>
        <v>0</v>
      </c>
      <c r="F684" s="258">
        <f>(F625/F613)*R65</f>
        <v>0</v>
      </c>
      <c r="G684" s="256">
        <f>(G626/G613)*R92</f>
        <v>0</v>
      </c>
      <c r="H684" s="258">
        <f>(H629/H613)*R61</f>
        <v>0</v>
      </c>
      <c r="I684" s="256">
        <f>(I630/I613)*R93</f>
        <v>0</v>
      </c>
      <c r="J684" s="256">
        <f>(J631/J613)*R94</f>
        <v>0</v>
      </c>
      <c r="K684" s="256">
        <f>(K645/K613)*R90</f>
        <v>0</v>
      </c>
      <c r="L684" s="256">
        <f>(L648/L613)*R95</f>
        <v>0</v>
      </c>
      <c r="M684" s="231">
        <f t="shared" si="18"/>
        <v>0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0</v>
      </c>
      <c r="D685" s="256">
        <f>(D616/D613)*S91</f>
        <v>0</v>
      </c>
      <c r="E685" s="258">
        <f>(E624/E613)*SUM(C685:D685)</f>
        <v>0</v>
      </c>
      <c r="F685" s="258">
        <f>(F625/F613)*S65</f>
        <v>0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0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116710</v>
      </c>
      <c r="D687" s="256">
        <f>(D616/D613)*U91</f>
        <v>0</v>
      </c>
      <c r="E687" s="258">
        <f>(E624/E613)*SUM(C687:D687)</f>
        <v>50577.691672672503</v>
      </c>
      <c r="F687" s="258">
        <f>(F625/F613)*U65</f>
        <v>0</v>
      </c>
      <c r="G687" s="256">
        <f>(G626/G613)*U92</f>
        <v>0</v>
      </c>
      <c r="H687" s="258">
        <f>(H629/H613)*U61</f>
        <v>0</v>
      </c>
      <c r="I687" s="256">
        <f>(I630/I613)*U93</f>
        <v>0</v>
      </c>
      <c r="J687" s="256">
        <f>(J631/J613)*U94</f>
        <v>0</v>
      </c>
      <c r="K687" s="256">
        <f>(K645/K613)*U90</f>
        <v>0</v>
      </c>
      <c r="L687" s="256">
        <f>(L648/L613)*U95</f>
        <v>0</v>
      </c>
      <c r="M687" s="231">
        <f t="shared" si="18"/>
        <v>50578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24977</v>
      </c>
      <c r="D688" s="256">
        <f>(D616/D613)*V91</f>
        <v>0</v>
      </c>
      <c r="E688" s="258">
        <f>(E624/E613)*SUM(C688:D688)</f>
        <v>10824.085381786832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0</v>
      </c>
      <c r="L688" s="256">
        <f>(L648/L613)*V95</f>
        <v>0</v>
      </c>
      <c r="M688" s="231">
        <f t="shared" si="18"/>
        <v>10824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0</v>
      </c>
      <c r="L689" s="256">
        <f>(L648/L613)*W95</f>
        <v>0</v>
      </c>
      <c r="M689" s="231">
        <f t="shared" si="18"/>
        <v>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0</v>
      </c>
      <c r="L690" s="256">
        <f>(L648/L613)*X95</f>
        <v>0</v>
      </c>
      <c r="M690" s="231">
        <f t="shared" si="18"/>
        <v>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40450</v>
      </c>
      <c r="D691" s="256">
        <f>(D616/D613)*Y91</f>
        <v>0</v>
      </c>
      <c r="E691" s="258">
        <f>(E624/E613)*SUM(C691:D691)</f>
        <v>17529.497285233509</v>
      </c>
      <c r="F691" s="258">
        <f>(F625/F613)*Y65</f>
        <v>0</v>
      </c>
      <c r="G691" s="256">
        <f>(G626/G613)*Y92</f>
        <v>0</v>
      </c>
      <c r="H691" s="258">
        <f>(H629/H613)*Y61</f>
        <v>0</v>
      </c>
      <c r="I691" s="256">
        <f>(I630/I613)*Y93</f>
        <v>0</v>
      </c>
      <c r="J691" s="256">
        <f>(J631/J613)*Y94</f>
        <v>0</v>
      </c>
      <c r="K691" s="256">
        <f>(K645/K613)*Y90</f>
        <v>0</v>
      </c>
      <c r="L691" s="256">
        <f>(L648/L613)*Y95</f>
        <v>0</v>
      </c>
      <c r="M691" s="231">
        <f t="shared" si="18"/>
        <v>17529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0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1077048</v>
      </c>
      <c r="D694" s="256">
        <f>(D616/D613)*AB91</f>
        <v>3373.7337874031969</v>
      </c>
      <c r="E694" s="258">
        <f>(E624/E613)*SUM(C694:D694)</f>
        <v>468213.84052740579</v>
      </c>
      <c r="F694" s="258">
        <f>(F625/F613)*AB65</f>
        <v>0</v>
      </c>
      <c r="G694" s="256">
        <f>(G626/G613)*AB92</f>
        <v>0</v>
      </c>
      <c r="H694" s="258">
        <f>(H629/H613)*AB61</f>
        <v>10322.175632239889</v>
      </c>
      <c r="I694" s="256">
        <f>(I630/I613)*AB93</f>
        <v>0</v>
      </c>
      <c r="J694" s="256">
        <f>(J631/J613)*AB94</f>
        <v>0</v>
      </c>
      <c r="K694" s="256">
        <f>(K645/K613)*AB90</f>
        <v>0</v>
      </c>
      <c r="L694" s="256">
        <f>(L648/L613)*AB95</f>
        <v>0</v>
      </c>
      <c r="M694" s="231">
        <f t="shared" si="18"/>
        <v>481910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0</v>
      </c>
      <c r="D695" s="256">
        <f>(D616/D613)*AC91</f>
        <v>0</v>
      </c>
      <c r="E695" s="258">
        <f>(E624/E613)*SUM(C695:D695)</f>
        <v>0</v>
      </c>
      <c r="F695" s="258">
        <f>(F625/F613)*AC65</f>
        <v>0</v>
      </c>
      <c r="G695" s="256">
        <f>(G626/G613)*AC92</f>
        <v>0</v>
      </c>
      <c r="H695" s="258">
        <f>(H629/H613)*AC61</f>
        <v>0</v>
      </c>
      <c r="I695" s="256">
        <f>(I630/I613)*AC93</f>
        <v>0</v>
      </c>
      <c r="J695" s="256">
        <f>(J631/J613)*AC94</f>
        <v>0</v>
      </c>
      <c r="K695" s="256">
        <f>(K645/K613)*AC90</f>
        <v>0</v>
      </c>
      <c r="L695" s="256">
        <f>(L648/L613)*AC95</f>
        <v>0</v>
      </c>
      <c r="M695" s="231">
        <f t="shared" si="18"/>
        <v>0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0</v>
      </c>
      <c r="D697" s="256">
        <f>(D616/D613)*AE91</f>
        <v>0</v>
      </c>
      <c r="E697" s="258">
        <f>(E624/E613)*SUM(C697:D697)</f>
        <v>0</v>
      </c>
      <c r="F697" s="258">
        <f>(F625/F613)*AE65</f>
        <v>0</v>
      </c>
      <c r="G697" s="256">
        <f>(G626/G613)*AE92</f>
        <v>0</v>
      </c>
      <c r="H697" s="258">
        <f>(H629/H613)*AE61</f>
        <v>0</v>
      </c>
      <c r="I697" s="256">
        <f>(I630/I613)*AE93</f>
        <v>0</v>
      </c>
      <c r="J697" s="256">
        <f>(J631/J613)*AE94</f>
        <v>0</v>
      </c>
      <c r="K697" s="256">
        <f>(K645/K613)*AE90</f>
        <v>0</v>
      </c>
      <c r="L697" s="256">
        <f>(L648/L613)*AE95</f>
        <v>0</v>
      </c>
      <c r="M697" s="231">
        <f t="shared" si="18"/>
        <v>0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37433</v>
      </c>
      <c r="D699" s="256">
        <f>(D616/D613)*AG91</f>
        <v>0</v>
      </c>
      <c r="E699" s="258">
        <f>(E624/E613)*SUM(C699:D699)</f>
        <v>16222.043804156883</v>
      </c>
      <c r="F699" s="258">
        <f>(F625/F613)*AG65</f>
        <v>0</v>
      </c>
      <c r="G699" s="256">
        <f>(G626/G613)*AG92</f>
        <v>0</v>
      </c>
      <c r="H699" s="258">
        <f>(H629/H613)*AG61</f>
        <v>0</v>
      </c>
      <c r="I699" s="256">
        <f>(I630/I613)*AG93</f>
        <v>0</v>
      </c>
      <c r="J699" s="256">
        <f>(J631/J613)*AG94</f>
        <v>0</v>
      </c>
      <c r="K699" s="256">
        <f>(K645/K613)*AG90</f>
        <v>0</v>
      </c>
      <c r="L699" s="256">
        <f>(L648/L613)*AG95</f>
        <v>0</v>
      </c>
      <c r="M699" s="231">
        <f t="shared" si="18"/>
        <v>16222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0</v>
      </c>
      <c r="D702" s="256">
        <f>(D616/D613)*AJ91</f>
        <v>0</v>
      </c>
      <c r="E702" s="258">
        <f>(E624/E613)*SUM(C702:D702)</f>
        <v>0</v>
      </c>
      <c r="F702" s="258">
        <f>(F625/F613)*AJ65</f>
        <v>0</v>
      </c>
      <c r="G702" s="256">
        <f>(G626/G613)*AJ92</f>
        <v>0</v>
      </c>
      <c r="H702" s="258">
        <f>(H629/H613)*AJ61</f>
        <v>0</v>
      </c>
      <c r="I702" s="256">
        <f>(I630/I613)*AJ93</f>
        <v>0</v>
      </c>
      <c r="J702" s="256">
        <f>(J631/J613)*AJ94</f>
        <v>0</v>
      </c>
      <c r="K702" s="256">
        <f>(K645/K613)*AJ90</f>
        <v>0</v>
      </c>
      <c r="L702" s="256">
        <f>(L648/L613)*AJ95</f>
        <v>0</v>
      </c>
      <c r="M702" s="231">
        <f t="shared" si="18"/>
        <v>0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539015</v>
      </c>
      <c r="D705" s="256">
        <f>(D616/D613)*AM91</f>
        <v>0</v>
      </c>
      <c r="E705" s="258">
        <f>(E624/E613)*SUM(C705:D705)</f>
        <v>233588.67686526923</v>
      </c>
      <c r="F705" s="258">
        <f>(F625/F613)*AM65</f>
        <v>0</v>
      </c>
      <c r="G705" s="256">
        <f>(G626/G613)*AM92</f>
        <v>0</v>
      </c>
      <c r="H705" s="258">
        <f>(H629/H613)*AM61</f>
        <v>16470.621108963947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250059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1495847</v>
      </c>
      <c r="D713" s="256">
        <f>(D616/D613)*AU91</f>
        <v>80005.686958418679</v>
      </c>
      <c r="E713" s="258">
        <f>(E624/E613)*SUM(C713:D713)</f>
        <v>682914.84296577331</v>
      </c>
      <c r="F713" s="258">
        <f>(F625/F613)*AU65</f>
        <v>0</v>
      </c>
      <c r="G713" s="256">
        <f>(G626/G613)*AU92</f>
        <v>0</v>
      </c>
      <c r="H713" s="258">
        <f>(H629/H613)*AU61</f>
        <v>29211.713058942201</v>
      </c>
      <c r="I713" s="256">
        <f>(I630/I613)*AU93</f>
        <v>0</v>
      </c>
      <c r="J713" s="256">
        <f>(J631/J613)*AU94</f>
        <v>0</v>
      </c>
      <c r="K713" s="256">
        <f>(K645/K613)*AU90</f>
        <v>534236.79332331498</v>
      </c>
      <c r="L713" s="256">
        <f>(L648/L613)*AU95</f>
        <v>0</v>
      </c>
      <c r="M713" s="231">
        <f t="shared" si="18"/>
        <v>1326369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1575026</v>
      </c>
      <c r="D714" s="256">
        <f>(D616/D613)*AV91</f>
        <v>0</v>
      </c>
      <c r="E714" s="258">
        <f>(E624/E613)*SUM(C714:D714)</f>
        <v>682556.5881624769</v>
      </c>
      <c r="F714" s="258">
        <f>(F625/F613)*AV65</f>
        <v>0</v>
      </c>
      <c r="G714" s="256">
        <f>(G626/G613)*AV92</f>
        <v>0</v>
      </c>
      <c r="H714" s="258">
        <f>(H629/H613)*AV61</f>
        <v>50738.602276924095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0</v>
      </c>
      <c r="M714" s="231">
        <f t="shared" si="18"/>
        <v>733295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55330408</v>
      </c>
      <c r="D716" s="231">
        <f>SUM(D617:D648)+SUM(D669:D714)</f>
        <v>1242754</v>
      </c>
      <c r="E716" s="231">
        <f>SUM(E625:E648)+SUM(E669:E714)</f>
        <v>16728572.723825336</v>
      </c>
      <c r="F716" s="231">
        <f>SUM(F626:F649)+SUM(F669:F714)</f>
        <v>0</v>
      </c>
      <c r="G716" s="231">
        <f>SUM(G627:G648)+SUM(G669:G714)</f>
        <v>2364637.674966062</v>
      </c>
      <c r="H716" s="231">
        <f>SUM(H630:H648)+SUM(H669:H714)</f>
        <v>711538.16195669014</v>
      </c>
      <c r="I716" s="231">
        <f>SUM(I631:I648)+SUM(I669:I714)</f>
        <v>1231259.3160005659</v>
      </c>
      <c r="J716" s="231">
        <f>SUM(J632:J648)+SUM(J669:J714)</f>
        <v>228277.81056699445</v>
      </c>
      <c r="K716" s="231">
        <f>SUM(K669:K714)</f>
        <v>16667379.602118947</v>
      </c>
      <c r="L716" s="231">
        <f>SUM(L669:L714)</f>
        <v>5151226.7374729533</v>
      </c>
      <c r="M716" s="231">
        <f>SUM(M669:M714)</f>
        <v>35785643</v>
      </c>
      <c r="N716" s="250" t="s">
        <v>669</v>
      </c>
    </row>
    <row r="717" spans="1:14" s="231" customFormat="1" ht="12.65" customHeight="1" x14ac:dyDescent="0.3">
      <c r="C717" s="253">
        <f>CE86</f>
        <v>55330408</v>
      </c>
      <c r="D717" s="231">
        <f>D616</f>
        <v>1242754</v>
      </c>
      <c r="E717" s="231">
        <f>E624</f>
        <v>16728572.723825337</v>
      </c>
      <c r="F717" s="231">
        <f>F625</f>
        <v>0</v>
      </c>
      <c r="G717" s="231">
        <f>G626</f>
        <v>2364637.674966062</v>
      </c>
      <c r="H717" s="231">
        <f>H629</f>
        <v>711538.16195669014</v>
      </c>
      <c r="I717" s="231">
        <f>I630</f>
        <v>1231259.3160005659</v>
      </c>
      <c r="J717" s="231">
        <f>J631</f>
        <v>228277.81056699445</v>
      </c>
      <c r="K717" s="231">
        <f>K645</f>
        <v>16667379.602118947</v>
      </c>
      <c r="L717" s="231">
        <f>L648</f>
        <v>5151226.7374729533</v>
      </c>
      <c r="M717" s="231">
        <f>C649</f>
        <v>35785644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30" orientation="landscape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904</v>
      </c>
      <c r="C2" s="12" t="str">
        <f>SUBSTITUTE(LEFT(data!C98,49),",","")</f>
        <v>BHC Fairfax Hospital Inc</v>
      </c>
      <c r="D2" s="12" t="str">
        <f>LEFT(data!C99,49)</f>
        <v>10200 NE 132nd St</v>
      </c>
      <c r="E2" s="12" t="str">
        <f>RIGHT(data!C100,100)</f>
        <v>Kirkland</v>
      </c>
      <c r="F2" s="12" t="str">
        <f>RIGHT(data!C101,100)</f>
        <v>WA</v>
      </c>
      <c r="G2" s="12" t="str">
        <f>RIGHT(data!C102,100)</f>
        <v/>
      </c>
      <c r="H2" s="12" t="str">
        <f>RIGHT(data!C103,100)</f>
        <v>King</v>
      </c>
      <c r="I2" s="12" t="str">
        <f>LEFT(data!C104,49)</f>
        <v>Christopher West</v>
      </c>
      <c r="J2" s="12" t="str">
        <f>LEFT(data!C105,49)</f>
        <v>Brady Gustafson</v>
      </c>
      <c r="K2" s="12" t="str">
        <f>LEFT(data!C107,49)</f>
        <v>425-821-2000</v>
      </c>
      <c r="L2" s="12" t="str">
        <f>LEFT(data!C107,49)</f>
        <v>425-821-2000</v>
      </c>
      <c r="M2" s="12" t="str">
        <f>LEFT(data!C109,49)</f>
        <v>Nicole Bryan</v>
      </c>
      <c r="N2" s="12" t="str">
        <f>LEFT(data!C110,49)</f>
        <v>nicole.bryan@uhsinc.com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904</v>
      </c>
      <c r="B2" s="224" t="str">
        <f>RIGHT(data!C96,4)</f>
        <v>2022</v>
      </c>
      <c r="C2" s="16" t="s">
        <v>1123</v>
      </c>
      <c r="D2" s="223">
        <f>ROUND(data!C181,0)</f>
        <v>2188194</v>
      </c>
      <c r="E2" s="223">
        <f>ROUND(data!C182,0)</f>
        <v>116966</v>
      </c>
      <c r="F2" s="223">
        <f>ROUND(data!C183,0)</f>
        <v>842598</v>
      </c>
      <c r="G2" s="223">
        <f>ROUND(data!C184,0)</f>
        <v>1630326</v>
      </c>
      <c r="H2" s="223">
        <f>ROUND(data!C185,0)</f>
        <v>88684</v>
      </c>
      <c r="I2" s="223">
        <f>ROUND(data!C186,0)</f>
        <v>404229</v>
      </c>
      <c r="J2" s="223">
        <f>ROUND(data!C187+data!C188,0)</f>
        <v>-464228</v>
      </c>
      <c r="K2" s="223">
        <f>ROUND(data!C191,0)</f>
        <v>135300</v>
      </c>
      <c r="L2" s="223">
        <f>ROUND(data!C192,0)</f>
        <v>120910</v>
      </c>
      <c r="M2" s="223">
        <f>ROUND(data!C195,0)</f>
        <v>339135</v>
      </c>
      <c r="N2" s="223">
        <f>ROUND(data!C196,0)</f>
        <v>172815</v>
      </c>
      <c r="O2" s="223">
        <f>ROUND(data!C199,0)</f>
        <v>195452</v>
      </c>
      <c r="P2" s="223">
        <f>ROUND(data!C200,0)</f>
        <v>975761</v>
      </c>
      <c r="Q2" s="223">
        <f>ROUND(data!C201,0)</f>
        <v>0</v>
      </c>
      <c r="R2" s="223">
        <f>ROUND(data!C204,0)</f>
        <v>0</v>
      </c>
      <c r="S2" s="223">
        <f>ROUND(data!C205,0)</f>
        <v>0</v>
      </c>
      <c r="T2" s="223">
        <f>ROUND(data!B211,0)</f>
        <v>4313940</v>
      </c>
      <c r="U2" s="223">
        <f>ROUND(data!C211,0)</f>
        <v>0</v>
      </c>
      <c r="V2" s="223">
        <f>ROUND(data!D211,0)</f>
        <v>0</v>
      </c>
      <c r="W2" s="223">
        <f>ROUND(data!B212,0)</f>
        <v>2024522</v>
      </c>
      <c r="X2" s="223">
        <f>ROUND(data!C212,0)</f>
        <v>0</v>
      </c>
      <c r="Y2" s="223">
        <f>ROUND(data!D212,0)</f>
        <v>0</v>
      </c>
      <c r="Z2" s="223">
        <f>ROUND(data!B213,0)</f>
        <v>1076726</v>
      </c>
      <c r="AA2" s="223">
        <f>ROUND(data!C213,0)</f>
        <v>898417</v>
      </c>
      <c r="AB2" s="223">
        <f>ROUND(data!D213,0)</f>
        <v>0</v>
      </c>
      <c r="AC2" s="223">
        <f>ROUND(data!B214,0)</f>
        <v>20055051</v>
      </c>
      <c r="AD2" s="223">
        <f>ROUND(data!C214,0)</f>
        <v>119945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4460870</v>
      </c>
      <c r="AJ2" s="223">
        <f>ROUND(data!C216,0)</f>
        <v>894499</v>
      </c>
      <c r="AK2" s="223">
        <f>ROUND(data!D216,0)</f>
        <v>480228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401095</v>
      </c>
      <c r="AP2" s="223">
        <f>ROUND(data!C218,0)</f>
        <v>0</v>
      </c>
      <c r="AQ2" s="223">
        <f>ROUND(data!D218,0)</f>
        <v>0</v>
      </c>
      <c r="AR2" s="223">
        <f>ROUND(data!B219,0)</f>
        <v>1012308</v>
      </c>
      <c r="AS2" s="223">
        <f>ROUND(data!C219,0)</f>
        <v>905229</v>
      </c>
      <c r="AT2" s="223">
        <f>ROUND(data!D219,0)</f>
        <v>1012308</v>
      </c>
      <c r="AU2" s="223">
        <v>0</v>
      </c>
      <c r="AV2" s="223">
        <v>0</v>
      </c>
      <c r="AW2" s="223">
        <v>0</v>
      </c>
      <c r="AX2" s="223">
        <f>ROUND(data!B225,0)</f>
        <v>1201440</v>
      </c>
      <c r="AY2" s="223">
        <f>ROUND(data!C225,0)</f>
        <v>114200</v>
      </c>
      <c r="AZ2" s="223">
        <f>ROUND(data!D225,0)</f>
        <v>0</v>
      </c>
      <c r="BA2" s="223">
        <f>ROUND(data!B226,0)</f>
        <v>518991</v>
      </c>
      <c r="BB2" s="223">
        <f>ROUND(data!C226,0)</f>
        <v>90604</v>
      </c>
      <c r="BC2" s="223">
        <f>ROUND(data!D226,0)</f>
        <v>0</v>
      </c>
      <c r="BD2" s="223">
        <f>ROUND(data!B227,0)</f>
        <v>5869172</v>
      </c>
      <c r="BE2" s="223">
        <f>ROUND(data!C227,0)</f>
        <v>663093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3884812</v>
      </c>
      <c r="BK2" s="223">
        <f>ROUND(data!C229,0)</f>
        <v>346218</v>
      </c>
      <c r="BL2" s="223">
        <f>ROUND(data!D229,0)</f>
        <v>432290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15742794</v>
      </c>
      <c r="BW2" s="223">
        <f>ROUND(data!C240,0)</f>
        <v>46738845</v>
      </c>
      <c r="BX2" s="223">
        <f>ROUND(data!C241,0)</f>
        <v>0</v>
      </c>
      <c r="BY2" s="223">
        <f>ROUND(data!C242,0)</f>
        <v>514636</v>
      </c>
      <c r="BZ2" s="223">
        <f>ROUND(data!C243,0)</f>
        <v>9894186</v>
      </c>
      <c r="CA2" s="223">
        <f>ROUND(data!C244,0)</f>
        <v>0</v>
      </c>
      <c r="CB2" s="223">
        <f>ROUND(data!C247,0)</f>
        <v>0</v>
      </c>
      <c r="CC2" s="223">
        <f>ROUND(data!C249,0)</f>
        <v>349534</v>
      </c>
      <c r="CD2" s="223">
        <f>ROUND(data!C250,0)</f>
        <v>47589</v>
      </c>
      <c r="CE2" s="223">
        <f>ROUND(data!C254+data!C255,0)</f>
        <v>4654729</v>
      </c>
      <c r="CF2" s="223">
        <f>data!D237</f>
        <v>798782.39999999991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904</v>
      </c>
      <c r="B2" s="16" t="str">
        <f>RIGHT(data!C96,4)</f>
        <v>2022</v>
      </c>
      <c r="C2" s="16" t="s">
        <v>1123</v>
      </c>
      <c r="D2" s="222">
        <f>ROUND(data!C127,0)</f>
        <v>2673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40543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157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157</v>
      </c>
      <c r="X2" s="222">
        <f>ROUND(data!C145,0)</f>
        <v>0</v>
      </c>
      <c r="Y2" s="222">
        <f>ROUND(data!B154,0)</f>
        <v>553</v>
      </c>
      <c r="Z2" s="222">
        <f>ROUND(data!B155,0)</f>
        <v>11260</v>
      </c>
      <c r="AA2" s="222">
        <f>ROUND(data!B156,0)</f>
        <v>1070</v>
      </c>
      <c r="AB2" s="222">
        <f>ROUND(data!B157,0)</f>
        <v>31866800</v>
      </c>
      <c r="AC2" s="222">
        <f>ROUND(data!B158,0)</f>
        <v>696625</v>
      </c>
      <c r="AD2" s="222">
        <f>ROUND(data!C154,0)</f>
        <v>1565</v>
      </c>
      <c r="AE2" s="222">
        <f>ROUND(data!C155,0)</f>
        <v>23272</v>
      </c>
      <c r="AF2" s="222">
        <f>ROUND(data!C156,0)</f>
        <v>1425</v>
      </c>
      <c r="AG2" s="222">
        <f>ROUND(data!C157,0)</f>
        <v>64845200</v>
      </c>
      <c r="AH2" s="222">
        <f>ROUND(data!C158,0)</f>
        <v>430605</v>
      </c>
      <c r="AI2" s="222">
        <f>ROUND(data!D154,0)</f>
        <v>555</v>
      </c>
      <c r="AJ2" s="222">
        <f>ROUND(data!D155,0)</f>
        <v>6011</v>
      </c>
      <c r="AK2" s="222">
        <f>ROUND(data!D156,0)</f>
        <v>7794</v>
      </c>
      <c r="AL2" s="222">
        <f>ROUND(data!D157,0)</f>
        <v>24274111</v>
      </c>
      <c r="AM2" s="222">
        <f>ROUND(data!D158,0)</f>
        <v>5858977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904</v>
      </c>
      <c r="B2" s="224" t="str">
        <f>RIGHT(data!C96,4)</f>
        <v>2022</v>
      </c>
      <c r="C2" s="16" t="s">
        <v>1123</v>
      </c>
      <c r="D2" s="222">
        <f>ROUND(data!C266,0)</f>
        <v>-744709</v>
      </c>
      <c r="E2" s="222">
        <f>ROUND(data!C267,0)</f>
        <v>0</v>
      </c>
      <c r="F2" s="222">
        <f>ROUND(data!C268,0)</f>
        <v>13114879</v>
      </c>
      <c r="G2" s="222">
        <f>ROUND(data!C269,0)</f>
        <v>2515139</v>
      </c>
      <c r="H2" s="222">
        <f>ROUND(data!C270,0)</f>
        <v>139658</v>
      </c>
      <c r="I2" s="222">
        <f>ROUND(data!C271,0)</f>
        <v>1730253</v>
      </c>
      <c r="J2" s="222">
        <f>ROUND(data!C272,0)</f>
        <v>0</v>
      </c>
      <c r="K2" s="222">
        <f>ROUND(data!C273,0)</f>
        <v>322898</v>
      </c>
      <c r="L2" s="222">
        <f>ROUND(data!C274,0)</f>
        <v>266291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4313940</v>
      </c>
      <c r="R2" s="222">
        <f>ROUND(data!C284,0)</f>
        <v>2024522</v>
      </c>
      <c r="S2" s="222">
        <f>ROUND(data!C285,0)</f>
        <v>1975143</v>
      </c>
      <c r="T2" s="222">
        <f>ROUND(data!C286,0)</f>
        <v>20174996</v>
      </c>
      <c r="U2" s="222">
        <f>ROUND(data!C287,0)</f>
        <v>0</v>
      </c>
      <c r="V2" s="222">
        <f>ROUND(data!C288,0)</f>
        <v>4875141</v>
      </c>
      <c r="W2" s="222">
        <f>ROUND(data!C289,0)</f>
        <v>401095</v>
      </c>
      <c r="X2" s="222">
        <f>ROUND(data!C290,0)</f>
        <v>905229</v>
      </c>
      <c r="Y2" s="222">
        <f>ROUND(data!C291,0)</f>
        <v>0</v>
      </c>
      <c r="Z2" s="222">
        <f>ROUND(data!C292,0)</f>
        <v>12256241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1117408</v>
      </c>
      <c r="AE2" s="222">
        <f>ROUND(data!C302,0)</f>
        <v>56670018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438877</v>
      </c>
      <c r="AK2" s="222">
        <f>ROUND(data!C316,0)</f>
        <v>3557021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243320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-17679400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105955562</v>
      </c>
      <c r="BJ2" s="222">
        <f>ROUND(data!C349,0)</f>
        <v>0</v>
      </c>
      <c r="BK2" s="222">
        <f>ROUND(data!CE60,2)</f>
        <v>274.3</v>
      </c>
      <c r="BL2" s="222">
        <f>ROUND(data!C358,0)</f>
        <v>120986111</v>
      </c>
      <c r="BM2" s="222">
        <f>ROUND(data!C359,0)</f>
        <v>6986207</v>
      </c>
      <c r="BN2" s="222">
        <f>ROUND(data!C363,0)</f>
        <v>72890461</v>
      </c>
      <c r="BO2" s="222">
        <f>ROUND(data!C364,0)</f>
        <v>397123</v>
      </c>
      <c r="BP2" s="222">
        <f>ROUND(data!C365,0)</f>
        <v>4654729</v>
      </c>
      <c r="BQ2" s="222">
        <f>ROUND(data!D381,0)</f>
        <v>125306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125306</v>
      </c>
      <c r="CC2" s="222">
        <f>ROUND(data!C382,0)</f>
        <v>0</v>
      </c>
      <c r="CD2" s="222">
        <f>ROUND(data!C389,0)</f>
        <v>26782955</v>
      </c>
      <c r="CE2" s="222">
        <f>ROUND(data!C390,0)</f>
        <v>4806770</v>
      </c>
      <c r="CF2" s="222">
        <f>ROUND(data!C391,0)</f>
        <v>6149138</v>
      </c>
      <c r="CG2" s="222">
        <f>ROUND(data!C392,0)</f>
        <v>1897043</v>
      </c>
      <c r="CH2" s="222">
        <f>ROUND(data!C393,0)</f>
        <v>306666</v>
      </c>
      <c r="CI2" s="222">
        <f>ROUND(data!C394,0)</f>
        <v>2882714</v>
      </c>
      <c r="CJ2" s="222">
        <f>ROUND(data!C395,0)</f>
        <v>1215878</v>
      </c>
      <c r="CK2" s="222">
        <f>ROUND(data!C396,0)</f>
        <v>256210</v>
      </c>
      <c r="CL2" s="222">
        <f>ROUND(data!C397,0)</f>
        <v>511950</v>
      </c>
      <c r="CM2" s="222">
        <f>ROUND(data!C398,0)</f>
        <v>1171213</v>
      </c>
      <c r="CN2" s="222">
        <f>ROUND(data!C399,0)</f>
        <v>0</v>
      </c>
      <c r="CO2" s="222">
        <f>ROUND(data!C362,0)</f>
        <v>798782</v>
      </c>
      <c r="CP2" s="222">
        <f>ROUND(data!D415,0)</f>
        <v>14220454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14220454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904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904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904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0</v>
      </c>
      <c r="F4" s="212">
        <f>ROUND(data!E60,2)</f>
        <v>0</v>
      </c>
      <c r="G4" s="222">
        <f>ROUND(data!E61,0)</f>
        <v>0</v>
      </c>
      <c r="H4" s="222">
        <f>ROUND(data!E62,0)</f>
        <v>0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0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0</v>
      </c>
      <c r="AF4" s="222">
        <f>ROUND(data!E87,0)</f>
        <v>0</v>
      </c>
      <c r="AG4" s="222">
        <f>IF(data!E90&gt;0,ROUND(data!E90,0),0)</f>
        <v>0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0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904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904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904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40543</v>
      </c>
      <c r="F7" s="212">
        <f>ROUND(data!H60,2)</f>
        <v>121.64</v>
      </c>
      <c r="G7" s="222">
        <f>ROUND(data!H61,0)</f>
        <v>14003425</v>
      </c>
      <c r="H7" s="222">
        <f>ROUND(data!H62,0)</f>
        <v>2513212</v>
      </c>
      <c r="I7" s="222">
        <f>ROUND(data!H63,0)</f>
        <v>0</v>
      </c>
      <c r="J7" s="222">
        <f>ROUND(data!H64,0)</f>
        <v>1020</v>
      </c>
      <c r="K7" s="222">
        <f>ROUND(data!H65,0)</f>
        <v>0</v>
      </c>
      <c r="L7" s="222">
        <f>ROUND(data!H66,0)</f>
        <v>99704</v>
      </c>
      <c r="M7" s="66">
        <f>ROUND(data!H67,0)</f>
        <v>725330</v>
      </c>
      <c r="N7" s="222">
        <f>ROUND(data!H68,0)</f>
        <v>0</v>
      </c>
      <c r="O7" s="222">
        <f>ROUND(data!H69,0)</f>
        <v>7436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7436</v>
      </c>
      <c r="AD7" s="222">
        <f>ROUND(data!H84,0)</f>
        <v>0</v>
      </c>
      <c r="AE7" s="222">
        <f>ROUND(data!H89,0)</f>
        <v>120986111</v>
      </c>
      <c r="AF7" s="222">
        <f>ROUND(data!H87,0)</f>
        <v>120986111</v>
      </c>
      <c r="AG7" s="222">
        <f>IF(data!H90&gt;0,ROUND(data!H90,0),0)</f>
        <v>49223</v>
      </c>
      <c r="AH7" s="222">
        <f>IF(data!H91&gt;0,ROUND(data!H91,0),0)</f>
        <v>121629</v>
      </c>
      <c r="AI7" s="222">
        <f>IF(data!H92&gt;0,ROUND(data!H92,0),0)</f>
        <v>23429</v>
      </c>
      <c r="AJ7" s="222">
        <f>IF(data!H93&gt;0,ROUND(data!H93,0),0)</f>
        <v>132556</v>
      </c>
      <c r="AK7" s="212">
        <f>IF(data!H94&gt;0,ROUND(data!H94,2),0)</f>
        <v>121.63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904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904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904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904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904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904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904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904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904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904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904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904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904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0</v>
      </c>
      <c r="G20" s="222">
        <f>ROUND(data!U61,0)</f>
        <v>0</v>
      </c>
      <c r="H20" s="222">
        <f>ROUND(data!U62,0)</f>
        <v>0</v>
      </c>
      <c r="I20" s="222">
        <f>ROUND(data!U63,0)</f>
        <v>0</v>
      </c>
      <c r="J20" s="222">
        <f>ROUND(data!U64,0)</f>
        <v>0</v>
      </c>
      <c r="K20" s="222">
        <f>ROUND(data!U65,0)</f>
        <v>0</v>
      </c>
      <c r="L20" s="222">
        <f>ROUND(data!U66,0)</f>
        <v>107247</v>
      </c>
      <c r="M20" s="66">
        <f>ROUND(data!U67,0)</f>
        <v>0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0</v>
      </c>
      <c r="AF20" s="222">
        <f>ROUND(data!U87,0)</f>
        <v>0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904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11187</v>
      </c>
      <c r="H21" s="222">
        <f>ROUND(data!V62,0)</f>
        <v>2008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904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904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904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0</v>
      </c>
      <c r="G24" s="222">
        <f>ROUND(data!Y61,0)</f>
        <v>0</v>
      </c>
      <c r="H24" s="222">
        <f>ROUND(data!Y62,0)</f>
        <v>0</v>
      </c>
      <c r="I24" s="222">
        <f>ROUND(data!Y63,0)</f>
        <v>0</v>
      </c>
      <c r="J24" s="222">
        <f>ROUND(data!Y64,0)</f>
        <v>0</v>
      </c>
      <c r="K24" s="222">
        <f>ROUND(data!Y65,0)</f>
        <v>0</v>
      </c>
      <c r="L24" s="222">
        <f>ROUND(data!Y66,0)</f>
        <v>19210</v>
      </c>
      <c r="M24" s="66">
        <f>ROUND(data!Y67,0)</f>
        <v>0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0</v>
      </c>
      <c r="AF24" s="222">
        <f>ROUND(data!Y87,0)</f>
        <v>0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904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904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904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3.58</v>
      </c>
      <c r="G27" s="222">
        <f>ROUND(data!AB61,0)</f>
        <v>521818</v>
      </c>
      <c r="H27" s="222">
        <f>ROUND(data!AB62,0)</f>
        <v>93651</v>
      </c>
      <c r="I27" s="222">
        <f>ROUND(data!AB63,0)</f>
        <v>0</v>
      </c>
      <c r="J27" s="222">
        <f>ROUND(data!AB64,0)</f>
        <v>425483</v>
      </c>
      <c r="K27" s="222">
        <f>ROUND(data!AB65,0)</f>
        <v>0</v>
      </c>
      <c r="L27" s="222">
        <f>ROUND(data!AB66,0)</f>
        <v>83264</v>
      </c>
      <c r="M27" s="66">
        <f>ROUND(data!AB67,0)</f>
        <v>3301</v>
      </c>
      <c r="N27" s="222">
        <f>ROUND(data!AB68,0)</f>
        <v>1020</v>
      </c>
      <c r="O27" s="222">
        <f>ROUND(data!AB69,0)</f>
        <v>2733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2733</v>
      </c>
      <c r="AD27" s="222">
        <f>ROUND(data!AB84,0)</f>
        <v>0</v>
      </c>
      <c r="AE27" s="222">
        <f>ROUND(data!AB89,0)</f>
        <v>0</v>
      </c>
      <c r="AF27" s="222">
        <f>ROUND(data!AB87,0)</f>
        <v>0</v>
      </c>
      <c r="AG27" s="222">
        <f>IF(data!AB90&gt;0,ROUND(data!AB90,0),0)</f>
        <v>224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904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904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904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0</v>
      </c>
      <c r="AF30" s="222">
        <f>ROUND(data!AE87,0)</f>
        <v>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904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904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0</v>
      </c>
      <c r="G32" s="222">
        <f>ROUND(data!AG61,0)</f>
        <v>0</v>
      </c>
      <c r="H32" s="222">
        <f>ROUND(data!AG62,0)</f>
        <v>0</v>
      </c>
      <c r="I32" s="222">
        <f>ROUND(data!AG63,0)</f>
        <v>0</v>
      </c>
      <c r="J32" s="222">
        <f>ROUND(data!AG64,0)</f>
        <v>0</v>
      </c>
      <c r="K32" s="222">
        <f>ROUND(data!AG65,0)</f>
        <v>0</v>
      </c>
      <c r="L32" s="222">
        <f>ROUND(data!AG66,0)</f>
        <v>33265</v>
      </c>
      <c r="M32" s="66">
        <f>ROUND(data!AG67,0)</f>
        <v>0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904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904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904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904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904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904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3.69</v>
      </c>
      <c r="G38" s="222">
        <f>ROUND(data!AM61,0)</f>
        <v>251130</v>
      </c>
      <c r="H38" s="222">
        <f>ROUND(data!AM62,0)</f>
        <v>45071</v>
      </c>
      <c r="I38" s="222">
        <f>ROUND(data!AM63,0)</f>
        <v>0</v>
      </c>
      <c r="J38" s="222">
        <f>ROUND(data!AM64,0)</f>
        <v>27929</v>
      </c>
      <c r="K38" s="222">
        <f>ROUND(data!AM65,0)</f>
        <v>0</v>
      </c>
      <c r="L38" s="222">
        <f>ROUND(data!AM66,0)</f>
        <v>102764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904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904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904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904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904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904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904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904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10289</v>
      </c>
      <c r="F46" s="212">
        <f>ROUND(data!AU60,2)</f>
        <v>16.47</v>
      </c>
      <c r="G46" s="222">
        <f>ROUND(data!AU61,0)</f>
        <v>1390576</v>
      </c>
      <c r="H46" s="222">
        <f>ROUND(data!AU62,0)</f>
        <v>249568</v>
      </c>
      <c r="I46" s="222">
        <f>ROUND(data!AU63,0)</f>
        <v>148633</v>
      </c>
      <c r="J46" s="222">
        <f>ROUND(data!AU64,0)</f>
        <v>8946</v>
      </c>
      <c r="K46" s="222">
        <f>ROUND(data!AU65,0)</f>
        <v>0</v>
      </c>
      <c r="L46" s="222">
        <f>ROUND(data!AU66,0)</f>
        <v>6751</v>
      </c>
      <c r="M46" s="66">
        <f>ROUND(data!AU67,0)</f>
        <v>78275</v>
      </c>
      <c r="N46" s="222">
        <f>ROUND(data!AU68,0)</f>
        <v>67650</v>
      </c>
      <c r="O46" s="222">
        <f>ROUND(data!AU69,0)</f>
        <v>2001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2001</v>
      </c>
      <c r="AD46" s="222">
        <f>ROUND(data!AU84,0)</f>
        <v>0</v>
      </c>
      <c r="AE46" s="222">
        <f>ROUND(data!AU89,0)</f>
        <v>6986207</v>
      </c>
      <c r="AF46" s="222">
        <f>ROUND(data!AU87,0)</f>
        <v>0</v>
      </c>
      <c r="AG46" s="222">
        <f>IF(data!AU90&gt;0,ROUND(data!AU90,0),0)</f>
        <v>5312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904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19.649999999999999</v>
      </c>
      <c r="G47" s="222">
        <f>ROUND(data!AV61,0)</f>
        <v>1565024</v>
      </c>
      <c r="H47" s="222">
        <f>ROUND(data!AV62,0)</f>
        <v>280877</v>
      </c>
      <c r="I47" s="222">
        <f>ROUND(data!AV63,0)</f>
        <v>0</v>
      </c>
      <c r="J47" s="222">
        <f>ROUND(data!AV64,0)</f>
        <v>4125</v>
      </c>
      <c r="K47" s="222">
        <f>ROUND(data!AV65,0)</f>
        <v>0</v>
      </c>
      <c r="L47" s="222">
        <f>ROUND(data!AV66,0)</f>
        <v>52606</v>
      </c>
      <c r="M47" s="66">
        <f>ROUND(data!AV67,0)</f>
        <v>0</v>
      </c>
      <c r="N47" s="222">
        <f>ROUND(data!AV68,0)</f>
        <v>0</v>
      </c>
      <c r="O47" s="222">
        <f>ROUND(data!AV69,0)</f>
        <v>2427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2427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904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904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904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121629</v>
      </c>
      <c r="F50" s="212">
        <f>ROUND(data!AY60,2)</f>
        <v>9.65</v>
      </c>
      <c r="G50" s="222">
        <f>ROUND(data!AY61,0)</f>
        <v>569077</v>
      </c>
      <c r="H50" s="222">
        <f>ROUND(data!AY62,0)</f>
        <v>102133</v>
      </c>
      <c r="I50" s="222">
        <f>ROUND(data!AY63,0)</f>
        <v>0</v>
      </c>
      <c r="J50" s="222">
        <f>ROUND(data!AY64,0)</f>
        <v>974149</v>
      </c>
      <c r="K50" s="222">
        <f>ROUND(data!AY65,0)</f>
        <v>0</v>
      </c>
      <c r="L50" s="222">
        <f>ROUND(data!AY66,0)</f>
        <v>44853</v>
      </c>
      <c r="M50" s="66">
        <f>ROUND(data!AY67,0)</f>
        <v>57705</v>
      </c>
      <c r="N50" s="222">
        <f>ROUND(data!AY68,0)</f>
        <v>0</v>
      </c>
      <c r="O50" s="222">
        <f>ROUND(data!AY69,0)</f>
        <v>1200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1200</v>
      </c>
      <c r="AD50" s="222">
        <f>ROUND(data!AY84,0)</f>
        <v>0</v>
      </c>
      <c r="AE50" s="222"/>
      <c r="AF50" s="222"/>
      <c r="AG50" s="222">
        <f>IF(data!AY90&gt;0,ROUND(data!AY90,0),0)</f>
        <v>3916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904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22634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1536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904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164370</v>
      </c>
      <c r="M52" s="66">
        <f>ROUND(data!BA67,0)</f>
        <v>7545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512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904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1469</v>
      </c>
      <c r="H53" s="222">
        <f>ROUND(data!BB62,0)</f>
        <v>264</v>
      </c>
      <c r="I53" s="222">
        <f>ROUND(data!BB63,0)</f>
        <v>0</v>
      </c>
      <c r="J53" s="222">
        <f>ROUND(data!BB64,0)</f>
        <v>199</v>
      </c>
      <c r="K53" s="222">
        <f>ROUND(data!BB65,0)</f>
        <v>0</v>
      </c>
      <c r="L53" s="222">
        <f>ROUND(data!BB66,0)</f>
        <v>19483</v>
      </c>
      <c r="M53" s="66">
        <f>ROUND(data!BB67,0)</f>
        <v>0</v>
      </c>
      <c r="N53" s="222">
        <f>ROUND(data!BB68,0)</f>
        <v>0</v>
      </c>
      <c r="O53" s="222">
        <f>ROUND(data!BB69,0)</f>
        <v>3912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3912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904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124930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124930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904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904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82513</v>
      </c>
      <c r="F56" s="212">
        <f>ROUND(data!BE60,2)</f>
        <v>3.73</v>
      </c>
      <c r="G56" s="222">
        <f>ROUND(data!BE61,0)</f>
        <v>335316</v>
      </c>
      <c r="H56" s="222">
        <f>ROUND(data!BE62,0)</f>
        <v>60180</v>
      </c>
      <c r="I56" s="222">
        <f>ROUND(data!BE63,0)</f>
        <v>0</v>
      </c>
      <c r="J56" s="222">
        <f>ROUND(data!BE64,0)</f>
        <v>61960</v>
      </c>
      <c r="K56" s="222">
        <f>ROUND(data!BE65,0)</f>
        <v>306666</v>
      </c>
      <c r="L56" s="222">
        <f>ROUND(data!BE66,0)</f>
        <v>107710</v>
      </c>
      <c r="M56" s="66">
        <f>ROUND(data!BE67,0)</f>
        <v>0</v>
      </c>
      <c r="N56" s="222">
        <f>ROUND(data!BE68,0)</f>
        <v>52461</v>
      </c>
      <c r="O56" s="222">
        <f>ROUND(data!BE69,0)</f>
        <v>799558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799558</v>
      </c>
      <c r="AD56" s="222">
        <f>ROUND(data!BE84,0)</f>
        <v>0</v>
      </c>
      <c r="AE56" s="222"/>
      <c r="AF56" s="222"/>
      <c r="AG56" s="222">
        <f>IF(data!BE90&gt;0,ROUND(data!BE90,0),0)</f>
        <v>0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904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11.26</v>
      </c>
      <c r="G57" s="222">
        <f>ROUND(data!BF61,0)</f>
        <v>136713</v>
      </c>
      <c r="H57" s="222">
        <f>ROUND(data!BF62,0)</f>
        <v>24536</v>
      </c>
      <c r="I57" s="222">
        <f>ROUND(data!BF63,0)</f>
        <v>0</v>
      </c>
      <c r="J57" s="222">
        <f>ROUND(data!BF64,0)</f>
        <v>98047</v>
      </c>
      <c r="K57" s="222">
        <f>ROUND(data!BF65,0)</f>
        <v>0</v>
      </c>
      <c r="L57" s="222">
        <f>ROUND(data!BF66,0)</f>
        <v>820697</v>
      </c>
      <c r="M57" s="66">
        <f>ROUND(data!BF67,0)</f>
        <v>0</v>
      </c>
      <c r="N57" s="222">
        <f>ROUND(data!BF68,0)</f>
        <v>0</v>
      </c>
      <c r="O57" s="222">
        <f>ROUND(data!BF69,0)</f>
        <v>138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138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904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5.15</v>
      </c>
      <c r="G58" s="222">
        <f>ROUND(data!BG61,0)</f>
        <v>281414</v>
      </c>
      <c r="H58" s="222">
        <f>ROUND(data!BG62,0)</f>
        <v>50506</v>
      </c>
      <c r="I58" s="222">
        <f>ROUND(data!BG63,0)</f>
        <v>0</v>
      </c>
      <c r="J58" s="222">
        <f>ROUND(data!BG64,0)</f>
        <v>2682</v>
      </c>
      <c r="K58" s="222">
        <f>ROUND(data!BG65,0)</f>
        <v>0</v>
      </c>
      <c r="L58" s="222">
        <f>ROUND(data!BG66,0)</f>
        <v>283</v>
      </c>
      <c r="M58" s="66">
        <f>ROUND(data!BG67,0)</f>
        <v>1415</v>
      </c>
      <c r="N58" s="222">
        <f>ROUND(data!BG68,0)</f>
        <v>0</v>
      </c>
      <c r="O58" s="222">
        <f>ROUND(data!BG69,0)</f>
        <v>87525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87525</v>
      </c>
      <c r="AD58" s="222">
        <f>ROUND(data!BG84,0)</f>
        <v>0</v>
      </c>
      <c r="AE58" s="222"/>
      <c r="AF58" s="222"/>
      <c r="AG58" s="222">
        <f>IF(data!BG90&gt;0,ROUND(data!BG90,0),0)</f>
        <v>96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904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904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8.9700000000000006</v>
      </c>
      <c r="G60" s="222">
        <f>ROUND(data!BI61,0)</f>
        <v>667178</v>
      </c>
      <c r="H60" s="222">
        <f>ROUND(data!BI62,0)</f>
        <v>119739</v>
      </c>
      <c r="I60" s="222">
        <f>ROUND(data!BI63,0)</f>
        <v>0</v>
      </c>
      <c r="J60" s="222">
        <f>ROUND(data!BI64,0)</f>
        <v>187656</v>
      </c>
      <c r="K60" s="222">
        <f>ROUND(data!BI65,0)</f>
        <v>0</v>
      </c>
      <c r="L60" s="222">
        <f>ROUND(data!BI66,0)</f>
        <v>315036</v>
      </c>
      <c r="M60" s="66">
        <f>ROUND(data!BI67,0)</f>
        <v>0</v>
      </c>
      <c r="N60" s="222">
        <f>ROUND(data!BI68,0)</f>
        <v>0</v>
      </c>
      <c r="O60" s="222">
        <f>ROUND(data!BI69,0)</f>
        <v>7920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7920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904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2.98</v>
      </c>
      <c r="G61" s="222">
        <f>ROUND(data!BJ61,0)</f>
        <v>197192</v>
      </c>
      <c r="H61" s="222">
        <f>ROUND(data!BJ62,0)</f>
        <v>35390</v>
      </c>
      <c r="I61" s="222">
        <f>ROUND(data!BJ63,0)</f>
        <v>0</v>
      </c>
      <c r="J61" s="222">
        <f>ROUND(data!BJ64,0)</f>
        <v>1293</v>
      </c>
      <c r="K61" s="222">
        <f>ROUND(data!BJ65,0)</f>
        <v>0</v>
      </c>
      <c r="L61" s="222">
        <f>ROUND(data!BJ66,0)</f>
        <v>2366</v>
      </c>
      <c r="M61" s="66">
        <f>ROUND(data!BJ67,0)</f>
        <v>0</v>
      </c>
      <c r="N61" s="222">
        <f>ROUND(data!BJ68,0)</f>
        <v>0</v>
      </c>
      <c r="O61" s="222">
        <f>ROUND(data!BJ69,0)</f>
        <v>44846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44846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904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5.04</v>
      </c>
      <c r="G62" s="222">
        <f>ROUND(data!BK61,0)</f>
        <v>350460</v>
      </c>
      <c r="H62" s="222">
        <f>ROUND(data!BK62,0)</f>
        <v>62898</v>
      </c>
      <c r="I62" s="222">
        <f>ROUND(data!BK63,0)</f>
        <v>0</v>
      </c>
      <c r="J62" s="222">
        <f>ROUND(data!BK64,0)</f>
        <v>6580</v>
      </c>
      <c r="K62" s="222">
        <f>ROUND(data!BK65,0)</f>
        <v>0</v>
      </c>
      <c r="L62" s="222">
        <f>ROUND(data!BK66,0)</f>
        <v>124625</v>
      </c>
      <c r="M62" s="66">
        <f>ROUND(data!BK67,0)</f>
        <v>0</v>
      </c>
      <c r="N62" s="222">
        <f>ROUND(data!BK68,0)</f>
        <v>0</v>
      </c>
      <c r="O62" s="222">
        <f>ROUND(data!BK69,0)</f>
        <v>56961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56961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904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14.54</v>
      </c>
      <c r="G63" s="222">
        <f>ROUND(data!BL61,0)</f>
        <v>1340608</v>
      </c>
      <c r="H63" s="222">
        <f>ROUND(data!BL62,0)</f>
        <v>240600</v>
      </c>
      <c r="I63" s="222">
        <f>ROUND(data!BL63,0)</f>
        <v>0</v>
      </c>
      <c r="J63" s="222">
        <f>ROUND(data!BL64,0)</f>
        <v>8371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219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219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904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904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4.13</v>
      </c>
      <c r="G65" s="222">
        <f>ROUND(data!BN61,0)</f>
        <v>797673</v>
      </c>
      <c r="H65" s="222">
        <f>ROUND(data!BN62,0)</f>
        <v>143159</v>
      </c>
      <c r="I65" s="222">
        <f>ROUND(data!BN63,0)</f>
        <v>0</v>
      </c>
      <c r="J65" s="222">
        <f>ROUND(data!BN64,0)</f>
        <v>10854</v>
      </c>
      <c r="K65" s="222">
        <f>ROUND(data!BN65,0)</f>
        <v>0</v>
      </c>
      <c r="L65" s="222">
        <f>ROUND(data!BN66,0)</f>
        <v>197713</v>
      </c>
      <c r="M65" s="66">
        <f>ROUND(data!BN67,0)</f>
        <v>297261</v>
      </c>
      <c r="N65" s="222">
        <f>ROUND(data!BN68,0)</f>
        <v>127786</v>
      </c>
      <c r="O65" s="222">
        <f>ROUND(data!BN69,0)</f>
        <v>301306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301306</v>
      </c>
      <c r="AD65" s="222">
        <f>ROUND(data!BN84,0)</f>
        <v>0</v>
      </c>
      <c r="AE65" s="222"/>
      <c r="AF65" s="222"/>
      <c r="AG65" s="222">
        <f>IF(data!BN90&gt;0,ROUND(data!BN90,0),0)</f>
        <v>20173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904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904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904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904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3.73</v>
      </c>
      <c r="G69" s="222">
        <f>ROUND(data!BR61,0)</f>
        <v>345296</v>
      </c>
      <c r="H69" s="222">
        <f>ROUND(data!BR62,0)</f>
        <v>61971</v>
      </c>
      <c r="I69" s="222">
        <f>ROUND(data!BR63,0)</f>
        <v>0</v>
      </c>
      <c r="J69" s="222">
        <f>ROUND(data!BR64,0)</f>
        <v>14569</v>
      </c>
      <c r="K69" s="222">
        <f>ROUND(data!BR65,0)</f>
        <v>0</v>
      </c>
      <c r="L69" s="222">
        <f>ROUND(data!BR66,0)</f>
        <v>89560</v>
      </c>
      <c r="M69" s="66">
        <f>ROUND(data!BR67,0)</f>
        <v>2844</v>
      </c>
      <c r="N69" s="222">
        <f>ROUND(data!BR68,0)</f>
        <v>5008</v>
      </c>
      <c r="O69" s="222">
        <f>ROUND(data!BR69,0)</f>
        <v>140055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140055</v>
      </c>
      <c r="AD69" s="222">
        <f>ROUND(data!BR84,0)</f>
        <v>0</v>
      </c>
      <c r="AE69" s="222"/>
      <c r="AF69" s="222"/>
      <c r="AG69" s="222">
        <f>IF(data!BR90&gt;0,ROUND(data!BR90,0),0)</f>
        <v>193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904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904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904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8252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560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904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5.37</v>
      </c>
      <c r="G73" s="222">
        <f>ROUND(data!BV61,0)</f>
        <v>307508</v>
      </c>
      <c r="H73" s="222">
        <f>ROUND(data!BV62,0)</f>
        <v>55189</v>
      </c>
      <c r="I73" s="222">
        <f>ROUND(data!BV63,0)</f>
        <v>0</v>
      </c>
      <c r="J73" s="222">
        <f>ROUND(data!BV64,0)</f>
        <v>21957</v>
      </c>
      <c r="K73" s="222">
        <f>ROUND(data!BV65,0)</f>
        <v>0</v>
      </c>
      <c r="L73" s="222">
        <f>ROUND(data!BV66,0)</f>
        <v>236741</v>
      </c>
      <c r="M73" s="66">
        <f>ROUND(data!BV67,0)</f>
        <v>9902</v>
      </c>
      <c r="N73" s="222">
        <f>ROUND(data!BV68,0)</f>
        <v>0</v>
      </c>
      <c r="O73" s="222">
        <f>ROUND(data!BV69,0)</f>
        <v>13706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13706</v>
      </c>
      <c r="AD73" s="222">
        <f>ROUND(data!BV84,0)</f>
        <v>0</v>
      </c>
      <c r="AE73" s="222"/>
      <c r="AF73" s="222"/>
      <c r="AG73" s="222">
        <f>IF(data!BV90&gt;0,ROUND(data!BV90,0),0)</f>
        <v>672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904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6000505</v>
      </c>
      <c r="J74" s="222">
        <f>ROUND(data!BW64,0)</f>
        <v>4962</v>
      </c>
      <c r="K74" s="222">
        <f>ROUND(data!BW65,0)</f>
        <v>0</v>
      </c>
      <c r="L74" s="222">
        <f>ROUND(data!BW66,0)</f>
        <v>114809</v>
      </c>
      <c r="M74" s="66">
        <f>ROUND(data!BW67,0)</f>
        <v>0</v>
      </c>
      <c r="N74" s="222">
        <f>ROUND(data!BW68,0)</f>
        <v>0</v>
      </c>
      <c r="O74" s="222">
        <f>ROUND(data!BW69,0)</f>
        <v>2309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2309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904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6.85</v>
      </c>
      <c r="G75" s="222">
        <f>ROUND(data!BX61,0)</f>
        <v>652649</v>
      </c>
      <c r="H75" s="222">
        <f>ROUND(data!BX62,0)</f>
        <v>117132</v>
      </c>
      <c r="I75" s="222">
        <f>ROUND(data!BX63,0)</f>
        <v>0</v>
      </c>
      <c r="J75" s="222">
        <f>ROUND(data!BX64,0)</f>
        <v>1836</v>
      </c>
      <c r="K75" s="222">
        <f>ROUND(data!BX65,0)</f>
        <v>0</v>
      </c>
      <c r="L75" s="222">
        <f>ROUND(data!BX66,0)</f>
        <v>4</v>
      </c>
      <c r="M75" s="66">
        <f>ROUND(data!BX67,0)</f>
        <v>0</v>
      </c>
      <c r="N75" s="222">
        <f>ROUND(data!BX68,0)</f>
        <v>0</v>
      </c>
      <c r="O75" s="222">
        <f>ROUND(data!BX69,0)</f>
        <v>1957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1957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904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13.47</v>
      </c>
      <c r="G76" s="222">
        <f>ROUND(data!BY61,0)</f>
        <v>1739532</v>
      </c>
      <c r="H76" s="222">
        <f>ROUND(data!BY62,0)</f>
        <v>312196</v>
      </c>
      <c r="I76" s="222">
        <f>ROUND(data!BY63,0)</f>
        <v>0</v>
      </c>
      <c r="J76" s="222">
        <f>ROUND(data!BY64,0)</f>
        <v>19486</v>
      </c>
      <c r="K76" s="222">
        <f>ROUND(data!BY65,0)</f>
        <v>0</v>
      </c>
      <c r="L76" s="222">
        <f>ROUND(data!BY66,0)</f>
        <v>0</v>
      </c>
      <c r="M76" s="66">
        <f>ROUND(data!BY67,0)</f>
        <v>1415</v>
      </c>
      <c r="N76" s="222">
        <f>ROUND(data!BY68,0)</f>
        <v>0</v>
      </c>
      <c r="O76" s="222">
        <f>ROUND(data!BY69,0)</f>
        <v>69903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69903</v>
      </c>
      <c r="AD76" s="222">
        <f>ROUND(data!BY84,0)</f>
        <v>0</v>
      </c>
      <c r="AE76" s="222"/>
      <c r="AF76" s="222"/>
      <c r="AG76" s="222">
        <f>IF(data!BY90&gt;0,ROUND(data!BY90,0),0)</f>
        <v>96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904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904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7.8</v>
      </c>
      <c r="G78" s="222">
        <f>ROUND(data!CA61,0)</f>
        <v>639730</v>
      </c>
      <c r="H78" s="222">
        <f>ROUND(data!CA62,0)</f>
        <v>114813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2286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904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904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6.6</v>
      </c>
      <c r="G80" s="222">
        <f>ROUND(data!CC61,0)</f>
        <v>677981</v>
      </c>
      <c r="H80" s="222">
        <f>ROUND(data!CC62,0)</f>
        <v>121678</v>
      </c>
      <c r="I80" s="222">
        <f>ROUND(data!CC63,0)</f>
        <v>0</v>
      </c>
      <c r="J80" s="222">
        <f>ROUND(data!CC64,0)</f>
        <v>14937</v>
      </c>
      <c r="K80" s="222">
        <f>ROUND(data!CC65,0)</f>
        <v>0</v>
      </c>
      <c r="L80" s="222">
        <f>ROUND(data!CC66,0)</f>
        <v>139654</v>
      </c>
      <c r="M80" s="66">
        <f>ROUND(data!CC67,0)</f>
        <v>0</v>
      </c>
      <c r="N80" s="222">
        <f>ROUND(data!CC68,0)</f>
        <v>0</v>
      </c>
      <c r="O80" s="222">
        <f>ROUND(data!CC69,0)</f>
        <v>14232573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14232573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C4" sqref="C4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BHC Fairfax Hospital Inc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H-904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10200 NE 132nd St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Kirkland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B43" zoomScaleNormal="100" workbookViewId="0">
      <selection activeCell="I70" sqref="I7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904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0</v>
      </c>
      <c r="C17" s="275">
        <f>data!E85</f>
        <v>0</v>
      </c>
      <c r="D17" s="275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14638258</v>
      </c>
      <c r="C20" s="275">
        <f>data!H85</f>
        <v>17350126.93</v>
      </c>
      <c r="D20" s="275">
        <f>'Prior Year'!H60</f>
        <v>41663</v>
      </c>
      <c r="E20" s="1">
        <f>data!H59</f>
        <v>40543</v>
      </c>
      <c r="F20" s="238">
        <f t="shared" si="0"/>
        <v>351.3491107217435</v>
      </c>
      <c r="G20" s="238">
        <f t="shared" si="1"/>
        <v>427.94383568063535</v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0</v>
      </c>
      <c r="C28" s="275">
        <f>data!P85</f>
        <v>0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0</v>
      </c>
      <c r="C31" s="275">
        <f>data!S85</f>
        <v>0</v>
      </c>
      <c r="D31" s="275" t="s">
        <v>725</v>
      </c>
      <c r="E31" s="4" t="s">
        <v>725</v>
      </c>
      <c r="F31" s="238" t="str">
        <f t="shared" si="0"/>
        <v/>
      </c>
      <c r="G31" s="238" t="str">
        <f t="shared" ref="G31:G32" si="4">IFERROR(IF(C31=0,"",IF(E31=0,"",C31/E31)),"")</f>
        <v/>
      </c>
      <c r="H31" s="6" t="str">
        <f t="shared" si="2"/>
        <v/>
      </c>
      <c r="I31" s="275" t="str">
        <f t="shared" si="3"/>
        <v>Please provide explanation for the fluctuation noted here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116710</v>
      </c>
      <c r="C33" s="275">
        <f>data!U85</f>
        <v>107247.21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24977</v>
      </c>
      <c r="C34" s="275">
        <f>data!V85</f>
        <v>13194.75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40450</v>
      </c>
      <c r="C37" s="275">
        <f>data!Y85</f>
        <v>19209.68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5"/>
        <v/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1077048</v>
      </c>
      <c r="C40" s="275">
        <f>data!AB85</f>
        <v>1131268.6300000001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0</v>
      </c>
      <c r="C41" s="275">
        <f>data!AC85</f>
        <v>0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0</v>
      </c>
      <c r="C43" s="275">
        <f>data!AE85</f>
        <v>0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37433</v>
      </c>
      <c r="C45" s="275">
        <f>data!AG85</f>
        <v>33265.199999999997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0</v>
      </c>
      <c r="C48" s="275">
        <f>data!AJ85</f>
        <v>0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539015</v>
      </c>
      <c r="C51" s="275">
        <f>data!AM85</f>
        <v>426894.06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1495847</v>
      </c>
      <c r="C59" s="275">
        <f>data!AU85</f>
        <v>1952400.18</v>
      </c>
      <c r="D59" s="275">
        <f>'Prior Year'!AU60</f>
        <v>7610</v>
      </c>
      <c r="E59" s="1">
        <f>data!AU59</f>
        <v>10289</v>
      </c>
      <c r="F59" s="238">
        <f t="shared" si="0"/>
        <v>196.56333771353482</v>
      </c>
      <c r="G59" s="238">
        <f t="shared" si="5"/>
        <v>189.75606764505781</v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1575026</v>
      </c>
      <c r="C60" s="275">
        <f>data!AV85</f>
        <v>1905058.2800000003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1590734</v>
      </c>
      <c r="C63" s="275">
        <f>data!AY85</f>
        <v>1749117.0899999999</v>
      </c>
      <c r="D63" s="275">
        <f>'Prior Year'!AY60</f>
        <v>124989</v>
      </c>
      <c r="E63" s="1">
        <f>data!AY59</f>
        <v>121629</v>
      </c>
      <c r="F63" s="238">
        <f>IF(B63=0,"",IF(D63=0,"",B63/D63))</f>
        <v>12.726991975293826</v>
      </c>
      <c r="G63" s="238">
        <f t="shared" si="5"/>
        <v>14.380756974076904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23182</v>
      </c>
      <c r="C64" s="275">
        <f>data!AZ85</f>
        <v>22634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151549</v>
      </c>
      <c r="C65" s="275">
        <f>data!BA85</f>
        <v>171915.02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221347</v>
      </c>
      <c r="C66" s="275">
        <f>data!BB85</f>
        <v>25326.83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106583</v>
      </c>
      <c r="C67" s="275">
        <f>data!BC85</f>
        <v>124929.93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0</v>
      </c>
      <c r="C68" s="275">
        <f>data!BD85</f>
        <v>0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1242754</v>
      </c>
      <c r="C69" s="275">
        <f>data!BE85</f>
        <v>1723851.5499999998</v>
      </c>
      <c r="D69" s="275">
        <f>'Prior Year'!BE60</f>
        <v>82513</v>
      </c>
      <c r="E69" s="1">
        <f>data!BE59</f>
        <v>82513</v>
      </c>
      <c r="F69" s="238">
        <f>IF(B69=0,"",IF(D69=0,"",B69/D69))</f>
        <v>15.06131155090713</v>
      </c>
      <c r="G69" s="238">
        <f t="shared" si="5"/>
        <v>20.891878249487956</v>
      </c>
      <c r="H69" s="6">
        <f>IF(B69=0,"",IF(C69=0,"",IF(D69=0,"",IF(E69=0,"",IF(G69/F69-1&lt;-0.25,G69/F69-1,IF(G69/F69-1&gt;0.25,G69/F69-1,""))))))</f>
        <v>0.38712210944402492</v>
      </c>
      <c r="I69" s="275" t="s">
        <v>1377</v>
      </c>
      <c r="M69" s="7"/>
    </row>
    <row r="70" spans="1:13" x14ac:dyDescent="0.35">
      <c r="A70" s="1" t="s">
        <v>764</v>
      </c>
      <c r="B70" s="275">
        <f>'Prior Year'!BF86</f>
        <v>841808</v>
      </c>
      <c r="C70" s="275">
        <f>data!BF85</f>
        <v>1080130.78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354032</v>
      </c>
      <c r="C71" s="275">
        <f>data!BG85</f>
        <v>423825.39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145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1887512</v>
      </c>
      <c r="C73" s="275">
        <f>data!BI85</f>
        <v>1297528.1399999999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455880</v>
      </c>
      <c r="C74" s="275">
        <f>data!BJ85</f>
        <v>281087.23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602725</v>
      </c>
      <c r="C75" s="275">
        <f>data!BK85</f>
        <v>601524.09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1167025</v>
      </c>
      <c r="C76" s="275">
        <f>data!BL85</f>
        <v>1589798.3099999998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1401655</v>
      </c>
      <c r="C78" s="275">
        <f>data!BN85</f>
        <v>1875751.8499999999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447189</v>
      </c>
      <c r="C82" s="275">
        <f>data!BR85</f>
        <v>659303.62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8452</v>
      </c>
      <c r="C85" s="275">
        <f>data!BU85</f>
        <v>8252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695756</v>
      </c>
      <c r="C86" s="275">
        <f>data!BV85</f>
        <v>645002.64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6268901</v>
      </c>
      <c r="C87" s="275">
        <f>data!BW85</f>
        <v>6122584.8200000003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560895</v>
      </c>
      <c r="C88" s="275">
        <f>data!BX85</f>
        <v>773577.96000000008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2851986</v>
      </c>
      <c r="C89" s="275">
        <f>data!BY85</f>
        <v>2142531.9700000002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693806</v>
      </c>
      <c r="C91" s="275">
        <f>data!CA85</f>
        <v>756828.7300000001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14211728</v>
      </c>
      <c r="C93" s="275">
        <f>data!CC85</f>
        <v>15186823.13000001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125305.70000000001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14220454.050000001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H-904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BHC Fairfax Hospital Inc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Christopher West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Brady Gustafson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425-821-2000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425-284-6090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2673</v>
      </c>
      <c r="G23" s="81" t="str">
        <f>data!D127</f>
        <v xml:space="preserve"> 40,543 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157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157</v>
      </c>
      <c r="E36" s="78" t="s">
        <v>325</v>
      </c>
      <c r="F36" s="81"/>
      <c r="G36" s="81">
        <f>data!C144</f>
        <v>157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BHC Fairfax Hospital Inc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553</v>
      </c>
      <c r="C7" s="141">
        <f>data!B155</f>
        <v>11260</v>
      </c>
      <c r="D7" s="141">
        <f>data!B156</f>
        <v>1070</v>
      </c>
      <c r="E7" s="141">
        <f>data!B157</f>
        <v>31866800</v>
      </c>
      <c r="F7" s="141">
        <f>data!B158</f>
        <v>696625</v>
      </c>
      <c r="G7" s="141">
        <f>data!B157+data!B158</f>
        <v>32563425</v>
      </c>
    </row>
    <row r="8" spans="1:7" ht="20.149999999999999" customHeight="1" x14ac:dyDescent="0.35">
      <c r="A8" s="77" t="s">
        <v>331</v>
      </c>
      <c r="B8" s="141">
        <f>data!C154</f>
        <v>1565</v>
      </c>
      <c r="C8" s="141">
        <f>data!C155</f>
        <v>23272</v>
      </c>
      <c r="D8" s="141">
        <f>data!C156</f>
        <v>1425</v>
      </c>
      <c r="E8" s="141">
        <f>data!C157</f>
        <v>64845200</v>
      </c>
      <c r="F8" s="141">
        <f>data!C158</f>
        <v>430605.23</v>
      </c>
      <c r="G8" s="141">
        <f>data!C157+data!C158</f>
        <v>65275805.229999997</v>
      </c>
    </row>
    <row r="9" spans="1:7" ht="20.149999999999999" customHeight="1" x14ac:dyDescent="0.35">
      <c r="A9" s="77" t="s">
        <v>829</v>
      </c>
      <c r="B9" s="141">
        <f>data!D154</f>
        <v>555</v>
      </c>
      <c r="C9" s="141">
        <f>data!D155</f>
        <v>6011</v>
      </c>
      <c r="D9" s="141">
        <f>data!D156</f>
        <v>7794</v>
      </c>
      <c r="E9" s="141">
        <f>data!D157</f>
        <v>24274111</v>
      </c>
      <c r="F9" s="141">
        <f>data!D158</f>
        <v>5858976.7699999996</v>
      </c>
      <c r="G9" s="141">
        <f>data!D157+data!D158</f>
        <v>30133087.77</v>
      </c>
    </row>
    <row r="10" spans="1:7" ht="20.149999999999999" customHeight="1" x14ac:dyDescent="0.35">
      <c r="A10" s="92" t="s">
        <v>215</v>
      </c>
      <c r="B10" s="141">
        <f>data!E154</f>
        <v>2673</v>
      </c>
      <c r="C10" s="141">
        <f>data!E155</f>
        <v>40543</v>
      </c>
      <c r="D10" s="141">
        <f>data!E156</f>
        <v>10289</v>
      </c>
      <c r="E10" s="141">
        <f>data!E157</f>
        <v>120986111</v>
      </c>
      <c r="F10" s="141">
        <f>data!E158</f>
        <v>6986207</v>
      </c>
      <c r="G10" s="141">
        <f>E10+F10</f>
        <v>127972318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BHC Fairfax Hospital Inc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2188193.89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116966.12000000001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842598.28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1630325.83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88684.26999999999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404228.98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-464227.83999999997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4806769.5299999993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135300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120910.27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256210.27000000002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339135.19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172814.83000000002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511950.02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195452.25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975760.94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1171213.19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C13" sqref="C13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BHC Fairfax Hospital Inc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4313939.9000000004</v>
      </c>
      <c r="D7" s="81">
        <f>data!C211</f>
        <v>0</v>
      </c>
      <c r="E7" s="81">
        <f>data!D211</f>
        <v>0</v>
      </c>
      <c r="F7" s="81">
        <f>data!E211</f>
        <v>4313939.9000000004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2024521.67</v>
      </c>
      <c r="D8" s="81">
        <f>data!C212</f>
        <v>0</v>
      </c>
      <c r="E8" s="81">
        <f>data!D212</f>
        <v>0</v>
      </c>
      <c r="F8" s="81">
        <f>data!E212</f>
        <v>2024521.67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1076726.08</v>
      </c>
      <c r="D9" s="81">
        <f>data!C213</f>
        <v>898417.09000000008</v>
      </c>
      <c r="E9" s="81">
        <f>data!D213</f>
        <v>0</v>
      </c>
      <c r="F9" s="81">
        <f>data!E213</f>
        <v>1975143.1700000002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20055050.98</v>
      </c>
      <c r="D10" s="81">
        <f>data!C214</f>
        <v>119944.55</v>
      </c>
      <c r="E10" s="81">
        <f>data!D214</f>
        <v>0</v>
      </c>
      <c r="F10" s="81">
        <f>data!E214</f>
        <v>20174995.530000001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4460869.5600000005</v>
      </c>
      <c r="D12" s="81">
        <f>data!C216</f>
        <v>894498.97</v>
      </c>
      <c r="E12" s="81">
        <f>data!D216</f>
        <v>480227.6999999999</v>
      </c>
      <c r="F12" s="81">
        <f>data!E216</f>
        <v>4875140.83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401094.69</v>
      </c>
      <c r="D14" s="81">
        <f>data!C218</f>
        <v>0</v>
      </c>
      <c r="E14" s="81">
        <f>data!D218</f>
        <v>0</v>
      </c>
      <c r="F14" s="81">
        <f>data!E218</f>
        <v>401094.69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1012308.0399999999</v>
      </c>
      <c r="D15" s="81">
        <f>data!C219</f>
        <v>905229.26</v>
      </c>
      <c r="E15" s="81">
        <f>data!D219</f>
        <v>1012308.0399999999</v>
      </c>
      <c r="F15" s="81">
        <f>data!E219</f>
        <v>905229.25999999989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33344510.920000006</v>
      </c>
      <c r="D16" s="81">
        <f>data!C220</f>
        <v>2818089.87</v>
      </c>
      <c r="E16" s="81">
        <f>data!D220</f>
        <v>1492535.7399999998</v>
      </c>
      <c r="F16" s="81">
        <f>data!E220</f>
        <v>34670065.049999997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1201439.58</v>
      </c>
      <c r="D24" s="81">
        <f>data!C225</f>
        <v>114199.91</v>
      </c>
      <c r="E24" s="81">
        <f>data!D225</f>
        <v>0</v>
      </c>
      <c r="F24" s="81">
        <f>data!E225</f>
        <v>1315639.49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518991.13</v>
      </c>
      <c r="D25" s="81">
        <f>data!C226</f>
        <v>90603.77</v>
      </c>
      <c r="E25" s="81">
        <f>data!D226</f>
        <v>0</v>
      </c>
      <c r="F25" s="81">
        <f>data!E226</f>
        <v>609594.9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5869172.2000000002</v>
      </c>
      <c r="D26" s="81">
        <f>data!C227</f>
        <v>663093.31999999995</v>
      </c>
      <c r="E26" s="81">
        <f>data!D227</f>
        <v>0</v>
      </c>
      <c r="F26" s="81">
        <f>data!E227</f>
        <v>6532265.5200000005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3884812.4200000004</v>
      </c>
      <c r="D28" s="81">
        <f>data!C229</f>
        <v>346218.37</v>
      </c>
      <c r="E28" s="81">
        <f>data!D229</f>
        <v>432289.97999999986</v>
      </c>
      <c r="F28" s="81">
        <f>data!E229</f>
        <v>3798740.81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11474415.33</v>
      </c>
      <c r="D32" s="81">
        <f>data!C233</f>
        <v>1214115.3700000001</v>
      </c>
      <c r="E32" s="81">
        <f>data!D233</f>
        <v>432289.97999999986</v>
      </c>
      <c r="F32" s="81">
        <f>data!E233</f>
        <v>12256240.720000001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BHC Fairfax Hospital Inc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798782.39999999991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15742794.209999999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46738845.469999991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514635.78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9894185.8100000005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0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72890461.269999996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349534.44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47588.57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397123.01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413548.66999999993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4241180.04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4654728.71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2023-04-28T21:54:48Z</cp:lastPrinted>
  <dcterms:created xsi:type="dcterms:W3CDTF">1999-06-02T22:01:56Z</dcterms:created>
  <dcterms:modified xsi:type="dcterms:W3CDTF">2023-05-25T15:41:11Z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