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9BFDD4D8-3A36-4B5B-977C-6655E8B21321}" xr6:coauthVersionLast="47" xr6:coauthVersionMax="47" xr10:uidLastSave="{00000000-0000-0000-0000-000000000000}"/>
  <workbookProtection workbookAlgorithmName="SHA-512" workbookHashValue="mVb3OjIOnUIKgexBVYAZwjE894Ci9P3Zvh3nI2Bhp0yQHrmD1zlWIy4Z2NwdOJtykaC1sHNauuBQxMZJLbxXyw==" workbookSaltValue="bZadMMESq7dktLRjj7NlVQ==" workbookSpinCount="100000" lockStructure="1"/>
  <bookViews>
    <workbookView xWindow="19090" yWindow="-110" windowWidth="19420" windowHeight="10420" xr2:uid="{8B825AD7-7CDF-424A-BDFC-F4538801402F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E7" i="6"/>
  <c r="D7" i="6"/>
  <c r="H20" i="15"/>
  <c r="I15" i="15"/>
  <c r="H15" i="15"/>
  <c r="D420" i="24"/>
  <c r="E414" i="24"/>
  <c r="CE86" i="25" l="1"/>
  <c r="CF91" i="24"/>
  <c r="BE59" i="24" l="1"/>
  <c r="BG70" i="25"/>
  <c r="H49" i="25" l="1"/>
  <c r="H63" i="25" s="1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CP2" i="30" l="1"/>
  <c r="D416" i="24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BK85" i="24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C44" i="32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D44" i="32" s="1"/>
  <c r="S48" i="24"/>
  <c r="S62" i="24" s="1"/>
  <c r="E76" i="32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H74" i="31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H43" i="31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10" i="31"/>
  <c r="H66" i="31"/>
  <c r="D300" i="32"/>
  <c r="O14" i="31"/>
  <c r="H51" i="32"/>
  <c r="O38" i="31"/>
  <c r="D179" i="32"/>
  <c r="O78" i="31"/>
  <c r="I339" i="32"/>
  <c r="F300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D32" i="6"/>
  <c r="D367" i="24"/>
  <c r="AC49" i="25"/>
  <c r="AC63" i="25" s="1"/>
  <c r="E234" i="25"/>
  <c r="CE70" i="25"/>
  <c r="D342" i="25"/>
  <c r="D351" i="25" s="1"/>
  <c r="E332" i="32" l="1"/>
  <c r="H9" i="31"/>
  <c r="D204" i="32"/>
  <c r="H4" i="31"/>
  <c r="E236" i="32"/>
  <c r="C12" i="32"/>
  <c r="I172" i="32"/>
  <c r="D332" i="32"/>
  <c r="G332" i="32"/>
  <c r="H35" i="31"/>
  <c r="I76" i="32"/>
  <c r="I12" i="32"/>
  <c r="H37" i="31"/>
  <c r="C300" i="32"/>
  <c r="D76" i="32"/>
  <c r="H39" i="31"/>
  <c r="AV52" i="24"/>
  <c r="AV67" i="24" s="1"/>
  <c r="H12" i="31"/>
  <c r="H268" i="32"/>
  <c r="G236" i="32"/>
  <c r="H18" i="31"/>
  <c r="C236" i="32"/>
  <c r="H12" i="32"/>
  <c r="BX52" i="24"/>
  <c r="BX67" i="24" s="1"/>
  <c r="X52" i="24"/>
  <c r="X67" i="24" s="1"/>
  <c r="H71" i="31"/>
  <c r="G76" i="32"/>
  <c r="BB86" i="25"/>
  <c r="C633" i="25" s="1"/>
  <c r="Q86" i="25"/>
  <c r="C683" i="25" s="1"/>
  <c r="AI86" i="25"/>
  <c r="B47" i="15" s="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AT53" i="25"/>
  <c r="AT68" i="25" s="1"/>
  <c r="AT86" i="25" s="1"/>
  <c r="AL53" i="25"/>
  <c r="AL68" i="25" s="1"/>
  <c r="AL86" i="25" s="1"/>
  <c r="AD53" i="25"/>
  <c r="AD68" i="25" s="1"/>
  <c r="AD86" i="25" s="1"/>
  <c r="C696" i="25" s="1"/>
  <c r="V53" i="25"/>
  <c r="V68" i="25" s="1"/>
  <c r="V86" i="25" s="1"/>
  <c r="N53" i="25"/>
  <c r="N68" i="25" s="1"/>
  <c r="N86" i="25" s="1"/>
  <c r="F53" i="25"/>
  <c r="F68" i="25" s="1"/>
  <c r="F86" i="25" s="1"/>
  <c r="CC53" i="25"/>
  <c r="CC68" i="25" s="1"/>
  <c r="CC86" i="25" s="1"/>
  <c r="AW53" i="25"/>
  <c r="AW68" i="25" s="1"/>
  <c r="AW86" i="25" s="1"/>
  <c r="Q53" i="25"/>
  <c r="Q68" i="25" s="1"/>
  <c r="BT53" i="25"/>
  <c r="BT68" i="25" s="1"/>
  <c r="BT86" i="25" s="1"/>
  <c r="AN53" i="25"/>
  <c r="AN68" i="25" s="1"/>
  <c r="AN86" i="25" s="1"/>
  <c r="H53" i="25"/>
  <c r="H68" i="25" s="1"/>
  <c r="H86" i="25" s="1"/>
  <c r="CA53" i="25"/>
  <c r="CA68" i="25" s="1"/>
  <c r="CA86" i="25" s="1"/>
  <c r="AU53" i="25"/>
  <c r="AU68" i="25" s="1"/>
  <c r="AU86" i="25" s="1"/>
  <c r="C713" i="25" s="1"/>
  <c r="W53" i="25"/>
  <c r="W68" i="25" s="1"/>
  <c r="W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C711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AG53" i="25"/>
  <c r="AG68" i="25" s="1"/>
  <c r="AG86" i="25" s="1"/>
  <c r="B45" i="15" s="1"/>
  <c r="AV53" i="25"/>
  <c r="AV68" i="25" s="1"/>
  <c r="AV86" i="25" s="1"/>
  <c r="BC53" i="25"/>
  <c r="BC68" i="25" s="1"/>
  <c r="BC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C629" i="25" s="1"/>
  <c r="AR53" i="25"/>
  <c r="AR68" i="25" s="1"/>
  <c r="AR86" i="25" s="1"/>
  <c r="AJ53" i="25"/>
  <c r="AJ68" i="25" s="1"/>
  <c r="AJ86" i="25" s="1"/>
  <c r="C702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M53" i="25"/>
  <c r="BM68" i="25" s="1"/>
  <c r="BM86" i="25" s="1"/>
  <c r="Y53" i="25"/>
  <c r="Y68" i="25" s="1"/>
  <c r="Y86" i="25" s="1"/>
  <c r="BL53" i="25"/>
  <c r="BL68" i="25" s="1"/>
  <c r="BL86" i="25" s="1"/>
  <c r="P53" i="25"/>
  <c r="P68" i="25" s="1"/>
  <c r="P86" i="25" s="1"/>
  <c r="BK53" i="25"/>
  <c r="BK68" i="25" s="1"/>
  <c r="BK86" i="25" s="1"/>
  <c r="C636" i="25" s="1"/>
  <c r="AE53" i="25"/>
  <c r="AE68" i="25" s="1"/>
  <c r="AE86" i="25" s="1"/>
  <c r="C697" i="25" s="1"/>
  <c r="BW53" i="25"/>
  <c r="BW68" i="25" s="1"/>
  <c r="BW86" i="25" s="1"/>
  <c r="C644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E53" i="25"/>
  <c r="BE68" i="25" s="1"/>
  <c r="BE86" i="25" s="1"/>
  <c r="BD53" i="25"/>
  <c r="BD68" i="25" s="1"/>
  <c r="BD86" i="25" s="1"/>
  <c r="X53" i="25"/>
  <c r="X68" i="25" s="1"/>
  <c r="X86" i="25" s="1"/>
  <c r="BS53" i="25"/>
  <c r="BS68" i="25" s="1"/>
  <c r="BS86" i="25" s="1"/>
  <c r="AM53" i="25"/>
  <c r="AM68" i="25" s="1"/>
  <c r="AM86" i="25" s="1"/>
  <c r="O53" i="25"/>
  <c r="O68" i="25" s="1"/>
  <c r="O86" i="25" s="1"/>
  <c r="G53" i="25"/>
  <c r="G68" i="25" s="1"/>
  <c r="G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BU53" i="25"/>
  <c r="BU68" i="25" s="1"/>
  <c r="BU86" i="25" s="1"/>
  <c r="AO53" i="25"/>
  <c r="AO68" i="25" s="1"/>
  <c r="AO86" i="25" s="1"/>
  <c r="I53" i="25"/>
  <c r="I68" i="25" s="1"/>
  <c r="I86" i="25" s="1"/>
  <c r="CB53" i="25"/>
  <c r="CB68" i="25" s="1"/>
  <c r="CB86" i="25" s="1"/>
  <c r="AF53" i="25"/>
  <c r="AF68" i="25" s="1"/>
  <c r="AF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D350" i="24"/>
  <c r="M79" i="31"/>
  <c r="C369" i="32"/>
  <c r="CB85" i="24"/>
  <c r="M47" i="31"/>
  <c r="F209" i="32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C103" i="8" s="1"/>
  <c r="M75" i="31"/>
  <c r="F337" i="32"/>
  <c r="B6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61" i="3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M23" i="31"/>
  <c r="C113" i="32"/>
  <c r="CE49" i="25"/>
  <c r="C63" i="25"/>
  <c r="Y52" i="24"/>
  <c r="Y67" i="24" s="1"/>
  <c r="BN52" i="24"/>
  <c r="BN67" i="24" s="1"/>
  <c r="BX85" i="24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E49" i="32"/>
  <c r="AQ52" i="24"/>
  <c r="AQ67" i="24" s="1"/>
  <c r="H52" i="24"/>
  <c r="H67" i="24" s="1"/>
  <c r="S85" i="24"/>
  <c r="E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E17" i="32" l="1"/>
  <c r="B49" i="15"/>
  <c r="C703" i="25"/>
  <c r="C673" i="25"/>
  <c r="B19" i="15"/>
  <c r="B70" i="15"/>
  <c r="C630" i="25"/>
  <c r="C677" i="25"/>
  <c r="B23" i="15"/>
  <c r="H23" i="15" s="1"/>
  <c r="I23" i="15" s="1"/>
  <c r="B26" i="15"/>
  <c r="C680" i="25"/>
  <c r="C685" i="25"/>
  <c r="B31" i="15"/>
  <c r="F31" i="15" s="1"/>
  <c r="C705" i="25"/>
  <c r="B51" i="15"/>
  <c r="F51" i="15" s="1"/>
  <c r="C631" i="25"/>
  <c r="B65" i="15"/>
  <c r="F65" i="15" s="1"/>
  <c r="C682" i="25"/>
  <c r="B28" i="15"/>
  <c r="B50" i="15"/>
  <c r="F50" i="15" s="1"/>
  <c r="C704" i="25"/>
  <c r="B53" i="15"/>
  <c r="F53" i="15" s="1"/>
  <c r="C707" i="25"/>
  <c r="B36" i="15"/>
  <c r="F36" i="15" s="1"/>
  <c r="H36" i="15" s="1"/>
  <c r="I36" i="15" s="1"/>
  <c r="C690" i="25"/>
  <c r="C709" i="25"/>
  <c r="B55" i="15"/>
  <c r="C638" i="25"/>
  <c r="B76" i="15"/>
  <c r="F76" i="15" s="1"/>
  <c r="C710" i="25"/>
  <c r="B56" i="15"/>
  <c r="F56" i="15" s="1"/>
  <c r="C671" i="25"/>
  <c r="B17" i="15"/>
  <c r="F17" i="15" s="1"/>
  <c r="C624" i="25"/>
  <c r="B81" i="15"/>
  <c r="B58" i="15"/>
  <c r="H58" i="15" s="1"/>
  <c r="I58" i="15" s="1"/>
  <c r="C712" i="25"/>
  <c r="C678" i="25"/>
  <c r="B24" i="15"/>
  <c r="H24" i="15" s="1"/>
  <c r="I24" i="15" s="1"/>
  <c r="B91" i="15"/>
  <c r="F91" i="15" s="1"/>
  <c r="H91" i="15" s="1"/>
  <c r="I91" i="15" s="1"/>
  <c r="C648" i="25"/>
  <c r="C698" i="25"/>
  <c r="B44" i="15"/>
  <c r="B32" i="15"/>
  <c r="F32" i="15" s="1"/>
  <c r="C686" i="25"/>
  <c r="C688" i="25"/>
  <c r="B34" i="15"/>
  <c r="F34" i="15" s="1"/>
  <c r="C714" i="25"/>
  <c r="B60" i="15"/>
  <c r="B62" i="15"/>
  <c r="C617" i="25"/>
  <c r="B84" i="15"/>
  <c r="C641" i="25"/>
  <c r="C642" i="25"/>
  <c r="B85" i="15"/>
  <c r="F85" i="15" s="1"/>
  <c r="B78" i="15"/>
  <c r="F78" i="15" s="1"/>
  <c r="C620" i="25"/>
  <c r="C625" i="25"/>
  <c r="B68" i="15"/>
  <c r="C626" i="25"/>
  <c r="B63" i="15"/>
  <c r="F63" i="15" s="1"/>
  <c r="C691" i="25"/>
  <c r="B37" i="15"/>
  <c r="F37" i="15" s="1"/>
  <c r="C679" i="25"/>
  <c r="B25" i="15"/>
  <c r="H25" i="15" s="1"/>
  <c r="I25" i="15" s="1"/>
  <c r="B89" i="15"/>
  <c r="C646" i="25"/>
  <c r="C632" i="25"/>
  <c r="B61" i="15"/>
  <c r="B38" i="15"/>
  <c r="C692" i="25"/>
  <c r="C645" i="25"/>
  <c r="B88" i="15"/>
  <c r="F88" i="15" s="1"/>
  <c r="C647" i="25"/>
  <c r="B90" i="15"/>
  <c r="C700" i="25"/>
  <c r="B46" i="15"/>
  <c r="F46" i="15" s="1"/>
  <c r="B20" i="15"/>
  <c r="C674" i="25"/>
  <c r="C623" i="25"/>
  <c r="B92" i="15"/>
  <c r="F92" i="15" s="1"/>
  <c r="C694" i="25"/>
  <c r="B40" i="15"/>
  <c r="C640" i="25"/>
  <c r="B83" i="15"/>
  <c r="F83" i="15" s="1"/>
  <c r="C676" i="25"/>
  <c r="B22" i="15"/>
  <c r="H22" i="15" s="1"/>
  <c r="I22" i="15" s="1"/>
  <c r="C643" i="25"/>
  <c r="B86" i="15"/>
  <c r="F86" i="15" s="1"/>
  <c r="C615" i="25"/>
  <c r="B69" i="15"/>
  <c r="B71" i="15"/>
  <c r="F71" i="15" s="1"/>
  <c r="C619" i="25"/>
  <c r="C639" i="25"/>
  <c r="B77" i="15"/>
  <c r="F77" i="15" s="1"/>
  <c r="B72" i="15"/>
  <c r="C637" i="25"/>
  <c r="C687" i="25"/>
  <c r="B33" i="15"/>
  <c r="B35" i="15"/>
  <c r="F35" i="15" s="1"/>
  <c r="C689" i="25"/>
  <c r="B93" i="15"/>
  <c r="F93" i="15" s="1"/>
  <c r="C621" i="25"/>
  <c r="C618" i="25"/>
  <c r="B74" i="15"/>
  <c r="B27" i="15"/>
  <c r="C681" i="25"/>
  <c r="B67" i="15"/>
  <c r="C634" i="25"/>
  <c r="C693" i="25"/>
  <c r="B39" i="15"/>
  <c r="F39" i="15" s="1"/>
  <c r="B52" i="15"/>
  <c r="F52" i="15" s="1"/>
  <c r="C706" i="25"/>
  <c r="B21" i="15"/>
  <c r="C675" i="25"/>
  <c r="C635" i="25"/>
  <c r="B73" i="15"/>
  <c r="F73" i="15" s="1"/>
  <c r="B30" i="15"/>
  <c r="H30" i="15" s="1"/>
  <c r="I30" i="15" s="1"/>
  <c r="C684" i="25"/>
  <c r="C628" i="25"/>
  <c r="B79" i="15"/>
  <c r="H79" i="15" s="1"/>
  <c r="I79" i="15" s="1"/>
  <c r="B16" i="15"/>
  <c r="C670" i="25"/>
  <c r="C622" i="25"/>
  <c r="B80" i="15"/>
  <c r="H80" i="15" s="1"/>
  <c r="I80" i="15" s="1"/>
  <c r="C695" i="25"/>
  <c r="B41" i="15"/>
  <c r="F41" i="15" s="1"/>
  <c r="C672" i="25"/>
  <c r="B18" i="15"/>
  <c r="H18" i="15" s="1"/>
  <c r="I18" i="15" s="1"/>
  <c r="C627" i="25"/>
  <c r="B82" i="15"/>
  <c r="C701" i="25"/>
  <c r="C699" i="25"/>
  <c r="B59" i="15"/>
  <c r="F59" i="15" s="1"/>
  <c r="B29" i="15"/>
  <c r="F29" i="15" s="1"/>
  <c r="B87" i="15"/>
  <c r="B48" i="15"/>
  <c r="F48" i="15" s="1"/>
  <c r="B42" i="15"/>
  <c r="B75" i="15"/>
  <c r="B43" i="15"/>
  <c r="F43" i="15" s="1"/>
  <c r="C68" i="25"/>
  <c r="CE68" i="25" s="1"/>
  <c r="CE53" i="25"/>
  <c r="B57" i="15"/>
  <c r="F57" i="15" s="1"/>
  <c r="B64" i="15"/>
  <c r="F64" i="15" s="1"/>
  <c r="B54" i="15"/>
  <c r="F54" i="15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F38" i="15"/>
  <c r="M54" i="31"/>
  <c r="F241" i="32"/>
  <c r="BC85" i="24"/>
  <c r="M80" i="31"/>
  <c r="D369" i="32"/>
  <c r="CC85" i="24"/>
  <c r="CE85" i="24" s="1"/>
  <c r="E53" i="32"/>
  <c r="C24" i="15"/>
  <c r="G24" i="15" s="1"/>
  <c r="C677" i="24"/>
  <c r="M21" i="31"/>
  <c r="H81" i="32"/>
  <c r="V85" i="24"/>
  <c r="F33" i="15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H16" i="15"/>
  <c r="I16" i="15" s="1"/>
  <c r="F16" i="15"/>
  <c r="F81" i="15"/>
  <c r="H81" i="15"/>
  <c r="I81" i="15" s="1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F28" i="15"/>
  <c r="F87" i="15"/>
  <c r="H87" i="15"/>
  <c r="I87" i="15" s="1"/>
  <c r="H26" i="15"/>
  <c r="I26" i="15" s="1"/>
  <c r="F26" i="15"/>
  <c r="M76" i="31"/>
  <c r="G337" i="32"/>
  <c r="BY85" i="24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M5" i="31"/>
  <c r="F17" i="32"/>
  <c r="F85" i="24"/>
  <c r="F47" i="15"/>
  <c r="H47" i="15"/>
  <c r="I47" i="15" s="1"/>
  <c r="M12" i="31"/>
  <c r="F49" i="32"/>
  <c r="M85" i="24"/>
  <c r="C138" i="8"/>
  <c r="D417" i="24"/>
  <c r="M38" i="31"/>
  <c r="D177" i="32"/>
  <c r="AM85" i="24"/>
  <c r="M43" i="31"/>
  <c r="I177" i="32"/>
  <c r="AR85" i="24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M66" i="31"/>
  <c r="D305" i="32"/>
  <c r="BO85" i="24"/>
  <c r="H19" i="15"/>
  <c r="I19" i="15" s="1"/>
  <c r="F19" i="15"/>
  <c r="H59" i="15"/>
  <c r="I59" i="15" s="1"/>
  <c r="M53" i="31"/>
  <c r="E241" i="32"/>
  <c r="BB85" i="24"/>
  <c r="C67" i="24"/>
  <c r="CE52" i="24"/>
  <c r="E85" i="32"/>
  <c r="C31" i="15"/>
  <c r="G31" i="15" s="1"/>
  <c r="C684" i="24"/>
  <c r="F70" i="15"/>
  <c r="M62" i="31"/>
  <c r="G273" i="32"/>
  <c r="F75" i="15"/>
  <c r="F55" i="15"/>
  <c r="H55" i="15"/>
  <c r="I55" i="15" s="1"/>
  <c r="M50" i="31"/>
  <c r="I209" i="32"/>
  <c r="AY85" i="24"/>
  <c r="F82" i="15"/>
  <c r="H94" i="15"/>
  <c r="I94" i="15" s="1"/>
  <c r="G94" i="15"/>
  <c r="H21" i="15"/>
  <c r="I21" i="15" s="1"/>
  <c r="F2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H52" i="15"/>
  <c r="I52" i="15" s="1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M72" i="31"/>
  <c r="C337" i="32"/>
  <c r="BU85" i="24"/>
  <c r="H72" i="15"/>
  <c r="I72" i="15" s="1"/>
  <c r="F72" i="15"/>
  <c r="F89" i="15"/>
  <c r="F90" i="15"/>
  <c r="M51" i="31"/>
  <c r="C241" i="32"/>
  <c r="AZ85" i="24"/>
  <c r="M58" i="31"/>
  <c r="C273" i="32"/>
  <c r="BG85" i="24"/>
  <c r="E21" i="32"/>
  <c r="C17" i="15"/>
  <c r="G17" i="15" s="1"/>
  <c r="C670" i="24"/>
  <c r="M42" i="31"/>
  <c r="H177" i="32"/>
  <c r="AQ85" i="24"/>
  <c r="F58" i="15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D616" i="25"/>
  <c r="M8" i="31"/>
  <c r="I17" i="32"/>
  <c r="I85" i="24"/>
  <c r="C92" i="15"/>
  <c r="G92" i="15" s="1"/>
  <c r="C373" i="32"/>
  <c r="C622" i="24"/>
  <c r="H277" i="32" l="1"/>
  <c r="I117" i="32"/>
  <c r="C695" i="24"/>
  <c r="C74" i="15"/>
  <c r="G74" i="15" s="1"/>
  <c r="C86" i="25"/>
  <c r="F23" i="15"/>
  <c r="F25" i="15"/>
  <c r="F18" i="15"/>
  <c r="H54" i="15"/>
  <c r="I54" i="15" s="1"/>
  <c r="F79" i="15"/>
  <c r="F74" i="15"/>
  <c r="H46" i="15"/>
  <c r="I46" i="15" s="1"/>
  <c r="C649" i="25"/>
  <c r="M717" i="25" s="1"/>
  <c r="F30" i="15"/>
  <c r="H53" i="15"/>
  <c r="I53" i="15" s="1"/>
  <c r="F20" i="15"/>
  <c r="H57" i="15"/>
  <c r="I57" i="15" s="1"/>
  <c r="F80" i="15"/>
  <c r="F24" i="15"/>
  <c r="H85" i="15"/>
  <c r="I85" i="15" s="1"/>
  <c r="H77" i="15"/>
  <c r="I77" i="15" s="1"/>
  <c r="F22" i="15"/>
  <c r="H83" i="15"/>
  <c r="I83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717" i="25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74" i="15" l="1"/>
  <c r="I74" i="15" s="1"/>
  <c r="H69" i="15"/>
  <c r="I69" i="15" s="1"/>
  <c r="H40" i="15"/>
  <c r="I40" i="15" s="1"/>
  <c r="H71" i="15"/>
  <c r="I71" i="15" s="1"/>
  <c r="H51" i="15"/>
  <c r="I51" i="15" s="1"/>
  <c r="H76" i="15"/>
  <c r="I76" i="15" s="1"/>
  <c r="I20" i="15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E612" i="24" l="1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M710" i="25" s="1"/>
  <c r="K702" i="25"/>
  <c r="K694" i="25"/>
  <c r="K686" i="25"/>
  <c r="M686" i="25" s="1"/>
  <c r="K707" i="25"/>
  <c r="K699" i="25"/>
  <c r="M699" i="25" s="1"/>
  <c r="K691" i="25"/>
  <c r="M691" i="25" s="1"/>
  <c r="K683" i="25"/>
  <c r="K712" i="25"/>
  <c r="K704" i="25"/>
  <c r="K696" i="25"/>
  <c r="M696" i="25" s="1"/>
  <c r="K688" i="25"/>
  <c r="M688" i="25" s="1"/>
  <c r="K680" i="25"/>
  <c r="M680" i="25" s="1"/>
  <c r="K709" i="25"/>
  <c r="K701" i="25"/>
  <c r="K693" i="25"/>
  <c r="M693" i="25" s="1"/>
  <c r="K685" i="25"/>
  <c r="M685" i="25" s="1"/>
  <c r="K717" i="25"/>
  <c r="K708" i="25"/>
  <c r="K700" i="25"/>
  <c r="M700" i="25" s="1"/>
  <c r="K692" i="25"/>
  <c r="M692" i="25" s="1"/>
  <c r="K684" i="25"/>
  <c r="K714" i="25"/>
  <c r="K689" i="25"/>
  <c r="K687" i="25"/>
  <c r="M687" i="25" s="1"/>
  <c r="K678" i="25"/>
  <c r="K670" i="25"/>
  <c r="M670" i="25" s="1"/>
  <c r="K706" i="25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K679" i="25"/>
  <c r="K671" i="25"/>
  <c r="M671" i="25" s="1"/>
  <c r="K713" i="25"/>
  <c r="K703" i="25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L686" i="24" l="1"/>
  <c r="L669" i="24"/>
  <c r="L683" i="24"/>
  <c r="L693" i="24"/>
  <c r="L705" i="24"/>
  <c r="L680" i="24"/>
  <c r="L711" i="24"/>
  <c r="L706" i="24"/>
  <c r="L672" i="24"/>
  <c r="L703" i="24"/>
  <c r="L671" i="24"/>
  <c r="L688" i="24"/>
  <c r="L668" i="24"/>
  <c r="L704" i="24"/>
  <c r="L670" i="24"/>
  <c r="L675" i="24"/>
  <c r="L689" i="24"/>
  <c r="L709" i="24"/>
  <c r="L687" i="24"/>
  <c r="L710" i="24"/>
  <c r="L707" i="24"/>
  <c r="L696" i="24"/>
  <c r="L682" i="24"/>
  <c r="L679" i="24"/>
  <c r="L673" i="24"/>
  <c r="L692" i="24"/>
  <c r="L716" i="24"/>
  <c r="L691" i="24"/>
  <c r="L702" i="24"/>
  <c r="L677" i="24"/>
  <c r="L695" i="24"/>
  <c r="L699" i="24"/>
  <c r="L712" i="24"/>
  <c r="L676" i="24"/>
  <c r="L674" i="24"/>
  <c r="L700" i="24"/>
  <c r="L713" i="24"/>
  <c r="L685" i="24"/>
  <c r="L690" i="24"/>
  <c r="L701" i="24"/>
  <c r="L694" i="24"/>
  <c r="L698" i="24"/>
  <c r="L684" i="24"/>
  <c r="L697" i="24"/>
  <c r="L681" i="24"/>
  <c r="L678" i="24"/>
  <c r="M704" i="25"/>
  <c r="M683" i="25"/>
  <c r="M707" i="25"/>
  <c r="M701" i="25"/>
  <c r="M694" i="25"/>
  <c r="M703" i="25"/>
  <c r="M713" i="25"/>
  <c r="M679" i="25"/>
  <c r="M714" i="25"/>
  <c r="M684" i="25"/>
  <c r="M674" i="25"/>
  <c r="M706" i="25"/>
  <c r="M689" i="25"/>
  <c r="M697" i="25"/>
  <c r="M708" i="25"/>
  <c r="M678" i="25"/>
  <c r="M702" i="25"/>
  <c r="M682" i="25"/>
  <c r="L716" i="25"/>
  <c r="M709" i="25"/>
  <c r="M712" i="25"/>
  <c r="K713" i="24"/>
  <c r="K703" i="24"/>
  <c r="K695" i="24"/>
  <c r="K712" i="24"/>
  <c r="M712" i="24" s="1"/>
  <c r="E215" i="32" s="1"/>
  <c r="K711" i="24"/>
  <c r="M711" i="24" s="1"/>
  <c r="D215" i="32" s="1"/>
  <c r="K707" i="24"/>
  <c r="K699" i="24"/>
  <c r="K691" i="24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K672" i="24"/>
  <c r="M672" i="24" s="1"/>
  <c r="G23" i="32" s="1"/>
  <c r="K693" i="24"/>
  <c r="M693" i="24" s="1"/>
  <c r="G119" i="32" s="1"/>
  <c r="K688" i="24"/>
  <c r="K669" i="24"/>
  <c r="M669" i="24" s="1"/>
  <c r="D23" i="32" s="1"/>
  <c r="K716" i="24"/>
  <c r="K678" i="24"/>
  <c r="K674" i="24"/>
  <c r="K708" i="24"/>
  <c r="M708" i="24" s="1"/>
  <c r="H183" i="32" s="1"/>
  <c r="K668" i="24"/>
  <c r="K701" i="24"/>
  <c r="M701" i="24" s="1"/>
  <c r="H151" i="32" s="1"/>
  <c r="K706" i="24"/>
  <c r="M706" i="24" s="1"/>
  <c r="F183" i="32" s="1"/>
  <c r="K705" i="24"/>
  <c r="M705" i="24" s="1"/>
  <c r="E183" i="32" s="1"/>
  <c r="K704" i="24"/>
  <c r="M704" i="24" s="1"/>
  <c r="D183" i="32" s="1"/>
  <c r="K686" i="24"/>
  <c r="K681" i="24"/>
  <c r="M681" i="24" s="1"/>
  <c r="I55" i="32" s="1"/>
  <c r="K676" i="24"/>
  <c r="M676" i="24" s="1"/>
  <c r="D55" i="32" s="1"/>
  <c r="K673" i="24"/>
  <c r="M673" i="24" s="1"/>
  <c r="H23" i="32" s="1"/>
  <c r="K709" i="24"/>
  <c r="K702" i="24"/>
  <c r="K700" i="24"/>
  <c r="K696" i="24"/>
  <c r="K677" i="24"/>
  <c r="M677" i="24" s="1"/>
  <c r="E55" i="32" s="1"/>
  <c r="K675" i="24"/>
  <c r="M675" i="24" s="1"/>
  <c r="C55" i="32" s="1"/>
  <c r="K671" i="24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K687" i="24"/>
  <c r="K670" i="24"/>
  <c r="M670" i="24" s="1"/>
  <c r="E23" i="32" s="1"/>
  <c r="K680" i="24"/>
  <c r="K697" i="24"/>
  <c r="K682" i="24"/>
  <c r="K716" i="25"/>
  <c r="M669" i="25"/>
  <c r="M680" i="24" l="1"/>
  <c r="H55" i="32" s="1"/>
  <c r="M702" i="24"/>
  <c r="I151" i="32" s="1"/>
  <c r="M703" i="24"/>
  <c r="C183" i="32" s="1"/>
  <c r="M696" i="24"/>
  <c r="C151" i="32" s="1"/>
  <c r="M698" i="24"/>
  <c r="E151" i="32" s="1"/>
  <c r="L715" i="24"/>
  <c r="M695" i="24"/>
  <c r="I119" i="32" s="1"/>
  <c r="M713" i="24"/>
  <c r="F215" i="32" s="1"/>
  <c r="M686" i="24"/>
  <c r="G87" i="32" s="1"/>
  <c r="M688" i="24"/>
  <c r="I87" i="32" s="1"/>
  <c r="M668" i="24"/>
  <c r="C23" i="32" s="1"/>
  <c r="M679" i="24"/>
  <c r="G55" i="32" s="1"/>
  <c r="M697" i="24"/>
  <c r="D151" i="32" s="1"/>
  <c r="M671" i="24"/>
  <c r="F23" i="32" s="1"/>
  <c r="M682" i="24"/>
  <c r="C87" i="32" s="1"/>
  <c r="M691" i="24"/>
  <c r="E119" i="32" s="1"/>
  <c r="M707" i="24"/>
  <c r="G183" i="32" s="1"/>
  <c r="M700" i="24"/>
  <c r="G151" i="32" s="1"/>
  <c r="M674" i="24"/>
  <c r="I23" i="32" s="1"/>
  <c r="M687" i="24"/>
  <c r="H87" i="32" s="1"/>
  <c r="M709" i="24"/>
  <c r="I183" i="32" s="1"/>
  <c r="M678" i="24"/>
  <c r="F55" i="32" s="1"/>
  <c r="M699" i="24"/>
  <c r="F151" i="32" s="1"/>
  <c r="M716" i="25"/>
  <c r="K715" i="24"/>
  <c r="M715" i="24" l="1"/>
</calcChain>
</file>

<file path=xl/sharedStrings.xml><?xml version="1.0" encoding="utf-8"?>
<sst xmlns="http://schemas.openxmlformats.org/spreadsheetml/2006/main" count="5774" uniqueCount="1377">
  <si>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</si>
  <si>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</si>
  <si>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</si>
  <si>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</si>
  <si>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</si>
  <si>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</si>
  <si>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</si>
  <si>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</si>
  <si>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</si>
  <si>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</si>
  <si>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</si>
  <si>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</si>
  <si>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</si>
  <si>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</si>
  <si>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</si>
  <si>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</si>
  <si>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</si>
  <si>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</si>
  <si>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</si>
  <si>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</si>
  <si>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</si>
  <si>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</si>
  <si>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</si>
  <si>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</si>
  <si>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</si>
  <si>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</si>
  <si>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</si>
  <si>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</si>
  <si>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</si>
  <si>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</si>
  <si>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</si>
  <si>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</si>
  <si>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</si>
  <si>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</si>
  <si>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</si>
  <si>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</si>
  <si>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</si>
  <si>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</si>
  <si>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</si>
  <si>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</si>
  <si>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</si>
  <si>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</si>
  <si>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</si>
  <si>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</si>
  <si>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</si>
  <si>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</si>
  <si>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</si>
  <si>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</si>
  <si>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</si>
  <si>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</si>
  <si>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</si>
  <si>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</si>
  <si>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</si>
  <si>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</si>
  <si>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</si>
  <si>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</si>
  <si>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</si>
  <si>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</si>
  <si>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</si>
  <si>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</si>
  <si>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</si>
  <si>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</si>
  <si>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</si>
  <si>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</si>
  <si>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</si>
  <si>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</si>
  <si>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</si>
  <si>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</si>
  <si>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</si>
  <si>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</si>
  <si>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</si>
  <si>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</si>
  <si>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</si>
  <si>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</si>
  <si>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</si>
  <si>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</si>
  <si>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</si>
  <si>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</si>
  <si>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</si>
  <si>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</si>
  <si>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</si>
  <si>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</si>
  <si>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</si>
  <si>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</si>
  <si>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</si>
  <si>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</si>
  <si>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</si>
  <si>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</si>
  <si>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</si>
  <si>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</si>
  <si>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</si>
  <si>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</si>
  <si>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</si>
  <si>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</si>
  <si>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</si>
  <si>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</si>
  <si>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</si>
  <si>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</si>
  <si>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</si>
  <si>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</si>
  <si>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</si>
  <si>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</si>
  <si>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</si>
  <si>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</si>
  <si>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</si>
  <si>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</si>
  <si>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</si>
  <si>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</si>
  <si>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</si>
  <si>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</si>
  <si>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</si>
  <si>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</si>
  <si>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</si>
  <si>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</si>
  <si>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</si>
  <si>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</si>
  <si>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</si>
  <si>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</si>
  <si>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</si>
  <si>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</si>
  <si>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</si>
  <si>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</si>
  <si>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</si>
  <si>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</si>
  <si>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</si>
  <si>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</si>
  <si>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</si>
  <si>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</si>
  <si>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</si>
  <si>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</si>
  <si>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</si>
  <si>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</si>
  <si>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</si>
  <si>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</si>
  <si>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</si>
  <si>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</si>
  <si>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</si>
  <si>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</si>
  <si>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</si>
  <si>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</si>
  <si>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</si>
  <si>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</si>
  <si>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</si>
  <si>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</si>
  <si>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</si>
  <si>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</si>
  <si>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</si>
  <si>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</si>
  <si>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</si>
  <si>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</si>
  <si>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</si>
  <si>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</si>
  <si>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</si>
  <si>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</si>
  <si>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</si>
  <si>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</si>
  <si>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</si>
  <si>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</si>
  <si>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</si>
  <si>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</si>
  <si>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</si>
  <si>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</si>
  <si>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</si>
  <si>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</si>
  <si>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</si>
  <si>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</si>
  <si>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</si>
  <si>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</si>
  <si>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</si>
  <si>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</si>
  <si>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</si>
  <si>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</si>
  <si>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</si>
  <si>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</si>
  <si>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</si>
  <si>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</si>
  <si>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</si>
  <si>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</si>
  <si>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</si>
  <si>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</si>
  <si>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</si>
  <si>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</si>
  <si>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</si>
  <si>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</si>
  <si>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</si>
  <si>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</si>
  <si>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</si>
  <si>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</si>
  <si>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</si>
  <si>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</si>
  <si>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</si>
  <si>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</si>
  <si>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</si>
  <si>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</si>
  <si>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</si>
  <si>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</si>
  <si>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</si>
  <si>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</si>
  <si>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</si>
  <si>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</si>
  <si>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</si>
  <si>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</si>
  <si>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</si>
  <si>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</si>
  <si>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</si>
  <si>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</si>
  <si>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</si>
  <si>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</si>
  <si>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</si>
  <si>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</si>
  <si>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</si>
  <si>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</si>
  <si>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</si>
  <si>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</si>
  <si>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</si>
  <si>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</si>
  <si>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</si>
  <si>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</si>
  <si>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</si>
  <si>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</si>
  <si>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</si>
  <si>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</si>
  <si>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</si>
  <si>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</si>
  <si>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</si>
  <si>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</si>
  <si>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</si>
  <si>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</si>
  <si>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</si>
  <si>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</si>
  <si>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</si>
  <si>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</si>
  <si>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</si>
  <si>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</si>
  <si>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</si>
  <si>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</si>
  <si>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</si>
  <si>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</si>
  <si>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</si>
  <si>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</si>
  <si>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</si>
  <si>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</si>
  <si>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</si>
  <si>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</si>
  <si>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</si>
  <si>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</si>
  <si>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</si>
  <si>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</si>
  <si>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</si>
  <si>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</si>
  <si>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</si>
  <si>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</si>
  <si>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</si>
  <si>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</si>
  <si>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</si>
  <si>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</si>
  <si>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</si>
  <si>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</si>
  <si>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</si>
  <si>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</si>
  <si>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</si>
  <si>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</si>
  <si>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</si>
  <si>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</si>
  <si>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</si>
  <si>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</si>
  <si>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</si>
  <si>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</si>
  <si>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</si>
  <si>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</si>
  <si>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</si>
  <si>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</si>
  <si>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</si>
  <si>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</si>
  <si>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</si>
  <si>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</si>
  <si>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</si>
  <si>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</si>
  <si>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</si>
  <si>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</si>
  <si>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</si>
  <si>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</si>
  <si>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</si>
  <si>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</si>
  <si>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</si>
  <si>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</si>
  <si>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</si>
  <si>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</si>
  <si>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</si>
  <si>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</si>
  <si>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</si>
  <si>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</si>
  <si>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</si>
  <si>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</si>
  <si>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</si>
  <si>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</si>
  <si>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</si>
  <si>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</si>
  <si>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</si>
  <si>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</si>
  <si>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</si>
  <si>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</si>
  <si>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</si>
  <si>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</si>
  <si>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</si>
  <si>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</si>
  <si>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</si>
  <si>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</si>
  <si>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</si>
  <si>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</si>
  <si>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</si>
  <si>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</si>
  <si>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</si>
  <si>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</si>
  <si>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</si>
  <si>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</si>
  <si>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</si>
  <si>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</si>
  <si>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</si>
  <si>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</si>
  <si>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</si>
  <si>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</si>
  <si>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</si>
  <si>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</si>
  <si>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</si>
  <si>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</si>
  <si>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</si>
  <si>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</si>
  <si>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</si>
  <si>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</si>
  <si>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</si>
  <si>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</si>
  <si>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</si>
  <si>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</si>
  <si>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</si>
  <si>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</si>
  <si>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</si>
  <si>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</si>
  <si>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</si>
  <si>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</si>
  <si>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</si>
  <si>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</si>
  <si>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</si>
  <si>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</si>
  <si>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</si>
  <si>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</si>
  <si>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</si>
  <si>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</si>
  <si>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</si>
  <si>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</si>
  <si>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</si>
  <si>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</si>
  <si>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</si>
  <si>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</si>
  <si>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</si>
  <si>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</si>
  <si>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</si>
  <si>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</si>
  <si>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</si>
  <si>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</si>
  <si>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</si>
  <si>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</si>
  <si>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</si>
  <si>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</si>
  <si>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</si>
  <si>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</si>
  <si>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</si>
  <si>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</si>
  <si>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</si>
  <si>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</si>
  <si>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</si>
  <si>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</si>
  <si>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</si>
  <si>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</si>
  <si>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</si>
  <si>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</si>
  <si>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</si>
  <si>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</si>
  <si>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</si>
  <si>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</si>
  <si>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</si>
  <si>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</si>
  <si>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</si>
  <si>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</si>
  <si>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</si>
  <si>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</si>
  <si>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</si>
  <si>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</si>
  <si>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</si>
  <si>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</si>
  <si>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</si>
  <si>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</si>
  <si>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</si>
  <si>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</si>
  <si>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</si>
  <si>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</si>
  <si>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</si>
  <si>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</si>
  <si>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</si>
  <si>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</si>
  <si>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</si>
  <si>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</si>
  <si>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</si>
  <si>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</si>
  <si>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</si>
  <si>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</si>
  <si>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</si>
  <si>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</si>
  <si>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</si>
  <si>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</si>
  <si>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</si>
  <si>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</si>
  <si>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</si>
  <si>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</si>
  <si>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</si>
  <si>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</si>
  <si>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</si>
  <si>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</si>
  <si>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</si>
  <si>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</si>
  <si>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</si>
  <si>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</si>
  <si>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</si>
  <si>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</si>
  <si>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</si>
  <si>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</si>
  <si>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</si>
  <si>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</si>
  <si>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</si>
  <si>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</si>
  <si>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</si>
  <si>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</si>
  <si>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</si>
  <si>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</si>
  <si>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</si>
  <si>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</si>
  <si>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</si>
  <si>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</si>
  <si>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</si>
  <si>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</si>
  <si>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</si>
  <si>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</si>
  <si>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</si>
  <si>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</si>
  <si>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</si>
  <si>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</si>
  <si>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</si>
  <si>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</si>
  <si>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</si>
  <si>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</si>
  <si>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</si>
  <si>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</si>
  <si>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</si>
  <si>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</si>
  <si>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</si>
  <si>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</si>
  <si>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</si>
  <si>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</si>
  <si>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</si>
  <si>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</si>
  <si>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</si>
  <si>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</si>
  <si>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</si>
  <si>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</si>
  <si>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</si>
  <si>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</si>
  <si>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</si>
  <si>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</si>
  <si>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</si>
  <si>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</si>
  <si>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</si>
  <si>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</si>
  <si>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</si>
  <si>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</si>
  <si>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</si>
  <si>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</si>
  <si>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</si>
  <si>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</si>
  <si>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</si>
  <si>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</si>
  <si>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</si>
  <si>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</si>
  <si>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</si>
  <si>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</si>
  <si>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</si>
  <si>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</si>
  <si>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</si>
  <si>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</si>
  <si>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</si>
  <si>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</si>
  <si>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</si>
  <si>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</si>
  <si>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</si>
  <si>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</si>
  <si>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</si>
  <si>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</si>
  <si>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</si>
  <si>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</si>
  <si>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</si>
  <si>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</si>
  <si>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</si>
  <si>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</si>
  <si>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</si>
  <si>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</si>
  <si>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</si>
  <si>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</si>
  <si>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</si>
  <si>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</si>
  <si>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</si>
  <si>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</si>
  <si>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</si>
  <si>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</si>
  <si>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</si>
  <si>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</si>
  <si>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</si>
  <si>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</si>
  <si>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</si>
  <si>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</si>
  <si>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</si>
  <si>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</si>
  <si>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</si>
  <si>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</si>
  <si>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</si>
  <si>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</si>
  <si>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</si>
  <si>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</si>
  <si>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</si>
  <si>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</si>
  <si>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</si>
  <si>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</si>
  <si>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</si>
  <si>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</si>
  <si>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</si>
  <si>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</si>
  <si>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</si>
  <si>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</si>
  <si>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</si>
  <si>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</si>
  <si>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</si>
  <si>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</si>
  <si>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</si>
  <si>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</si>
  <si>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</si>
  <si>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</si>
  <si>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</si>
  <si>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</si>
  <si>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</si>
  <si>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</si>
  <si>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</si>
  <si>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</si>
  <si>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</si>
  <si>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</si>
  <si>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</si>
  <si>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</si>
  <si>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</si>
  <si>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</si>
  <si>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</si>
  <si>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</si>
  <si>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</si>
  <si>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</si>
  <si>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</si>
  <si>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</si>
  <si>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</si>
  <si>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</si>
  <si>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</si>
  <si>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</si>
  <si>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</si>
  <si>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</si>
  <si>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</si>
  <si>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</si>
  <si>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</si>
  <si>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</si>
  <si>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</si>
  <si>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</si>
  <si>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</si>
  <si>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</si>
  <si>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</si>
  <si>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</si>
  <si>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</si>
  <si>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</si>
  <si>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</si>
  <si>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</si>
  <si>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</si>
  <si>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</si>
  <si>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</si>
  <si>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</si>
  <si>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</si>
  <si>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</si>
  <si>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</si>
  <si>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</si>
  <si>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</si>
  <si>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</si>
  <si>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</si>
  <si>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</si>
  <si>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</si>
  <si>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</si>
  <si>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</si>
  <si>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</si>
  <si>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</si>
  <si>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</si>
  <si>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</si>
  <si>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</si>
  <si>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</si>
  <si>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</si>
  <si>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</si>
  <si>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</si>
  <si>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</si>
  <si>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</si>
  <si>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</si>
  <si>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</si>
  <si>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</si>
  <si>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</si>
  <si>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</si>
  <si>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</si>
  <si>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</si>
  <si>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</si>
  <si>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</si>
  <si>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</si>
  <si>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</si>
  <si>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</si>
  <si>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</si>
  <si>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</si>
  <si>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</si>
  <si>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</si>
  <si>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</si>
  <si>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</si>
  <si>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</si>
  <si>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</si>
  <si>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</si>
  <si>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</si>
  <si>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</si>
  <si>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</si>
  <si>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</si>
  <si>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</si>
  <si>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</si>
  <si>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</si>
  <si>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</si>
  <si>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</si>
  <si>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</si>
  <si>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</si>
  <si>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</si>
  <si>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</si>
  <si>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</si>
  <si>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</si>
  <si>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</si>
  <si>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</si>
  <si>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</si>
  <si>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</si>
  <si>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</si>
  <si>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</si>
  <si>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</si>
  <si>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</si>
  <si>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</si>
  <si>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</si>
  <si>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</si>
  <si>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</si>
  <si>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</si>
  <si>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</si>
  <si>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</si>
  <si>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</si>
  <si>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</si>
  <si>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</si>
  <si>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</si>
  <si>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</si>
  <si>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</si>
  <si>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</si>
  <si>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</si>
  <si>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</si>
  <si>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</si>
  <si>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</si>
  <si>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</si>
  <si>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</si>
  <si>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</si>
  <si>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</si>
  <si>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</si>
  <si>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</si>
  <si>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</si>
  <si>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</si>
  <si>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</si>
  <si>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</si>
  <si>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</si>
  <si>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</si>
  <si>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</si>
  <si>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</si>
  <si>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</si>
  <si>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</si>
  <si>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</si>
  <si>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</si>
  <si>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</si>
  <si>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</si>
  <si>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</si>
  <si>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</si>
  <si>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</si>
  <si>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</si>
  <si>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</si>
  <si>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</si>
  <si>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</si>
  <si>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</si>
  <si>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</si>
  <si>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</si>
  <si>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</si>
  <si>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</si>
  <si>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</si>
  <si>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</si>
  <si>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</si>
  <si>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</si>
  <si>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</si>
  <si>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</si>
  <si>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</si>
  <si>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</si>
  <si>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</si>
  <si>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</si>
  <si>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</si>
  <si>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</si>
  <si>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</si>
  <si>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</si>
  <si>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</si>
  <si>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</si>
  <si>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</si>
  <si>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</si>
  <si>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</si>
  <si>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</si>
  <si>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</si>
  <si>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</si>
  <si>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</si>
  <si>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</si>
  <si>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</si>
  <si>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</si>
  <si>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</si>
  <si>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</si>
  <si>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</si>
  <si>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</si>
  <si>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</si>
  <si>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</si>
  <si>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</si>
  <si>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</si>
  <si>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</si>
  <si>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</si>
  <si>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</si>
  <si>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</si>
  <si>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</si>
  <si>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</si>
  <si>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</si>
  <si>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</si>
  <si>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</si>
  <si>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</si>
  <si>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</si>
  <si>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</si>
  <si>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</si>
  <si>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</si>
  <si>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</si>
  <si>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</si>
  <si>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</si>
  <si>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</si>
  <si>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</si>
  <si>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</si>
  <si>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</si>
  <si>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</si>
  <si>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</si>
  <si>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</si>
  <si>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</si>
  <si>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</si>
  <si>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</si>
  <si>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</si>
  <si>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</si>
  <si>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</si>
  <si>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</si>
  <si>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</si>
  <si>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</si>
  <si>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</si>
  <si>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</si>
  <si>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</si>
  <si>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</si>
  <si>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</si>
  <si>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</si>
  <si>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</si>
  <si>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</si>
  <si>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</si>
  <si>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</si>
  <si>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</si>
  <si>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</si>
  <si>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</si>
  <si>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</si>
  <si>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</si>
  <si>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</si>
  <si>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</si>
  <si>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</si>
  <si>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</si>
  <si>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</si>
  <si>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</si>
  <si>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</si>
  <si>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</si>
  <si>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</si>
  <si>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</si>
  <si>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</si>
  <si>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</si>
  <si>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</si>
  <si>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</si>
  <si>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</si>
  <si>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</si>
  <si>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</si>
  <si>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</si>
  <si>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</si>
  <si>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</si>
  <si>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</si>
  <si>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</si>
  <si>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</si>
  <si>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</si>
  <si>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</si>
  <si>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</si>
  <si>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</si>
  <si>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</si>
  <si>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</si>
  <si>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</si>
  <si>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</si>
  <si>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</si>
  <si>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</si>
  <si>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</si>
  <si>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</si>
  <si>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</si>
  <si>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</si>
  <si>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</si>
  <si>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</si>
  <si>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</si>
  <si>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</si>
  <si>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</si>
  <si>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</si>
  <si>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</si>
  <si>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</si>
  <si>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</si>
  <si>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</si>
  <si>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</si>
  <si>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</si>
  <si>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</si>
  <si>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</si>
  <si>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</si>
  <si>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</si>
  <si>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</si>
  <si>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</si>
  <si>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</si>
  <si>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</si>
  <si>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</si>
  <si>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</si>
  <si>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</si>
  <si>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</si>
  <si>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</si>
  <si>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</si>
  <si>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</si>
  <si>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</si>
  <si>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</si>
  <si>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</si>
  <si>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</si>
  <si>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</si>
  <si>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</si>
  <si>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</si>
  <si>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</si>
  <si>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</si>
  <si>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</si>
  <si>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</si>
  <si>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</si>
  <si>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</si>
  <si>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</si>
  <si>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</si>
  <si>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</si>
  <si>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</si>
  <si>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</si>
  <si>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</si>
  <si>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</si>
  <si>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</si>
  <si>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</si>
  <si>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</si>
  <si>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</si>
  <si>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</si>
  <si>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</si>
  <si>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</si>
  <si>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</si>
  <si>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</si>
  <si>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</si>
  <si>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</si>
  <si>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</si>
  <si>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</si>
  <si>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</si>
  <si>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</si>
  <si>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</si>
  <si>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</si>
  <si>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</si>
  <si>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</si>
  <si>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</si>
  <si>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</si>
  <si>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</si>
  <si>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</si>
  <si>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</si>
  <si>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</si>
  <si>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</si>
  <si>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</si>
  <si>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</si>
  <si>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</si>
  <si>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</si>
  <si>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</si>
  <si>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</si>
  <si>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</si>
  <si>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</si>
  <si>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</si>
  <si>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</si>
  <si>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</si>
  <si>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</si>
  <si>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</si>
  <si>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</si>
  <si>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</si>
  <si>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</si>
  <si>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</si>
  <si>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</si>
  <si>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</si>
  <si>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</si>
  <si>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</si>
  <si>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</si>
  <si>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</si>
  <si>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</si>
  <si>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</si>
  <si>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</si>
  <si>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</si>
  <si>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</si>
  <si>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</si>
  <si>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</si>
  <si>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</si>
  <si>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</si>
  <si>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</si>
  <si>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</si>
  <si>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</si>
  <si>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</si>
  <si>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</si>
  <si>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</si>
  <si>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</si>
  <si>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</si>
  <si>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</si>
  <si>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</si>
  <si>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</si>
  <si>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</si>
  <si>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</si>
  <si>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</si>
  <si>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</si>
  <si>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</si>
  <si>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</si>
  <si>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</si>
  <si>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</si>
  <si>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</si>
  <si>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</si>
  <si>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</si>
  <si>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</si>
  <si>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</si>
  <si>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</si>
  <si>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</si>
  <si>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</si>
  <si>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</si>
  <si>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</si>
  <si>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</si>
  <si>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</si>
  <si>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</si>
  <si>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</si>
  <si>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</si>
  <si>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</si>
  <si>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</si>
  <si>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</si>
  <si>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</si>
  <si>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</si>
  <si>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</si>
  <si>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</si>
  <si>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</si>
  <si>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</si>
  <si>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</si>
  <si>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</si>
  <si>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</si>
  <si>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</si>
  <si>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</si>
  <si>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</si>
  <si>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</si>
  <si>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</si>
  <si>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</si>
  <si>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</si>
  <si>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</si>
  <si>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</si>
  <si>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</si>
  <si>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</si>
  <si>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</si>
  <si>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</si>
  <si>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</si>
  <si>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</si>
  <si>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</si>
  <si>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</si>
  <si>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</si>
  <si>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</si>
  <si>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</si>
  <si>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</si>
  <si>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</si>
  <si>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</si>
  <si>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</si>
  <si>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</si>
  <si>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</si>
  <si>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</si>
  <si>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</si>
  <si>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</si>
  <si>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</si>
  <si>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</si>
  <si>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</si>
  <si>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</si>
  <si>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</si>
  <si>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</si>
  <si>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</si>
  <si>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</si>
  <si>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</si>
  <si>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</si>
  <si>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</si>
  <si>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</si>
  <si>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</si>
  <si>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</si>
  <si>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</si>
  <si>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</si>
  <si>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</si>
  <si>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</si>
  <si>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</si>
  <si>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</si>
  <si>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</si>
  <si>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</si>
  <si>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</si>
  <si>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</si>
  <si>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</si>
  <si>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</si>
  <si>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</si>
  <si>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</si>
  <si>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</si>
  <si>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</si>
  <si>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</si>
  <si>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</si>
  <si>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</si>
  <si>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</si>
  <si>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</si>
  <si>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</si>
  <si>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</si>
  <si>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</si>
  <si>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</si>
  <si>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</si>
  <si>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</si>
  <si>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</si>
  <si>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</si>
  <si>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</si>
  <si>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</si>
  <si>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</si>
  <si>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</si>
  <si>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</si>
  <si>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</si>
  <si>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</si>
  <si>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</si>
  <si>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</si>
  <si>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</si>
  <si>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</si>
  <si>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</si>
  <si>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</si>
  <si>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</si>
  <si>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</si>
  <si>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</si>
  <si>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</si>
  <si>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</si>
  <si>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</si>
  <si>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</si>
  <si>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</si>
  <si>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</si>
  <si>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</si>
  <si>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</si>
  <si>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</si>
  <si>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</si>
  <si>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</si>
  <si>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</si>
  <si>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</si>
  <si>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</si>
  <si>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</si>
  <si>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</si>
  <si>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</si>
  <si>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</si>
  <si>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</si>
  <si>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</si>
  <si>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</si>
  <si>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</si>
  <si>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</si>
  <si>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</si>
  <si>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</si>
  <si>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</si>
  <si>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</si>
  <si>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</si>
  <si>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</si>
  <si>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</si>
  <si>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</si>
  <si>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</si>
  <si>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</si>
  <si>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</si>
  <si>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</si>
  <si>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</si>
  <si>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</si>
  <si>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</si>
  <si>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</si>
  <si>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</si>
  <si>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</si>
  <si>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</si>
  <si>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</si>
  <si>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</si>
  <si>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</si>
  <si>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</si>
  <si>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</si>
  <si>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</si>
  <si>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</si>
  <si>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</si>
  <si>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</si>
  <si>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</si>
  <si>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</si>
  <si>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</si>
  <si>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</si>
  <si>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</si>
  <si>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</si>
  <si>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</si>
  <si>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</si>
  <si>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</si>
  <si>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</si>
  <si>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</si>
  <si>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</si>
  <si>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</si>
  <si>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</si>
  <si>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</si>
  <si>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</si>
  <si>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</si>
  <si>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</si>
  <si>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</si>
  <si>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</si>
  <si>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</si>
  <si>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</si>
  <si>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</si>
  <si>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</si>
  <si>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</si>
  <si>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</si>
  <si>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</si>
  <si>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</si>
  <si>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</si>
  <si>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</si>
  <si>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</si>
  <si>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</si>
  <si>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</si>
  <si>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</si>
  <si>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</si>
  <si>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</si>
  <si>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</si>
  <si>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</si>
  <si>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</si>
  <si>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</si>
  <si>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</si>
  <si>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</si>
  <si>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</si>
  <si>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</si>
  <si>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</si>
  <si>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</si>
  <si>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</si>
  <si>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</si>
  <si>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</si>
  <si>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</si>
  <si>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</si>
  <si>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</si>
  <si>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</si>
  <si>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</si>
  <si>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</si>
  <si>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</si>
  <si>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</si>
  <si>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</si>
  <si>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</si>
  <si>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</si>
  <si>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</si>
  <si>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</si>
  <si>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</si>
  <si>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</si>
  <si>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</si>
  <si>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</si>
  <si>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</si>
  <si>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</si>
  <si>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</si>
  <si>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</si>
  <si>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</si>
  <si>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</si>
  <si>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</si>
  <si>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</si>
  <si>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</si>
  <si>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</si>
  <si>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</si>
  <si>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</si>
  <si>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</si>
  <si>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</si>
  <si>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</si>
  <si>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</si>
  <si>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</si>
  <si>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</si>
  <si>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</si>
  <si>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</si>
  <si>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</si>
  <si>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</si>
  <si>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</si>
  <si>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</si>
  <si>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</si>
  <si>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</si>
  <si>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</si>
  <si>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</si>
  <si>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</si>
  <si>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</si>
  <si>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</si>
  <si>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</si>
  <si>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</si>
  <si>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</si>
  <si>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</si>
  <si>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</si>
  <si>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</si>
  <si>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</si>
  <si>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</si>
  <si>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</si>
  <si>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</si>
  <si>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</si>
  <si>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</si>
  <si>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</si>
  <si>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</si>
  <si>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</si>
  <si>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</si>
  <si>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</si>
  <si>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</si>
  <si>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</si>
  <si>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</si>
  <si>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</si>
  <si>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</si>
  <si>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</si>
  <si>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</si>
  <si>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</si>
  <si>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</si>
  <si>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</si>
  <si>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</si>
  <si>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</si>
  <si>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</si>
  <si>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</si>
  <si>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</si>
  <si>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</si>
  <si>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</si>
  <si>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</si>
  <si>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</si>
  <si>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</si>
  <si>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</si>
  <si>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</si>
  <si>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</si>
  <si>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</si>
  <si>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</si>
  <si>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</si>
  <si>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</si>
  <si>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</si>
  <si>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</si>
  <si>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</si>
  <si>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</si>
  <si>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</si>
  <si>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</si>
  <si>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</si>
  <si>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</si>
  <si>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</si>
  <si>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</si>
  <si>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</si>
  <si>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</si>
  <si>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</si>
  <si>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</si>
  <si>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</si>
  <si>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</si>
  <si>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</si>
  <si>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</si>
  <si>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</si>
  <si>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</si>
  <si>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</si>
  <si>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</si>
  <si>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</si>
  <si>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</si>
  <si>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</si>
  <si>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</si>
  <si>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</si>
  <si>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</si>
  <si>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</si>
  <si>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</si>
  <si>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</si>
  <si>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</si>
  <si>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</si>
  <si>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</si>
  <si>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</si>
  <si>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</si>
  <si>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</si>
  <si>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</si>
  <si>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</si>
  <si>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</si>
  <si>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</si>
  <si>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</si>
  <si>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</si>
  <si>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</si>
  <si>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</si>
  <si>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</si>
  <si>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</si>
  <si>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</si>
  <si>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</si>
  <si>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</si>
  <si>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</si>
  <si>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</si>
  <si>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</si>
  <si>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</si>
  <si>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</si>
  <si>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</si>
  <si>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</si>
  <si>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</si>
  <si>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</si>
  <si>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</si>
  <si>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</si>
  <si>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</si>
  <si>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</si>
  <si>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</si>
  <si>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</si>
  <si>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</si>
  <si>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</si>
  <si>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</si>
  <si>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</si>
  <si>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</si>
  <si>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</si>
  <si>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</si>
  <si>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</si>
  <si>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</si>
  <si>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</si>
  <si>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</si>
  <si>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</si>
  <si>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</si>
  <si>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</si>
  <si>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</si>
  <si>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</si>
  <si>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</si>
  <si>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</si>
  <si>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</si>
  <si>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</si>
  <si>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</si>
  <si>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</si>
  <si>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</si>
  <si>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</si>
  <si>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</si>
  <si>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</si>
  <si>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</si>
  <si>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</si>
  <si>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</si>
  <si>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</si>
  <si>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</si>
  <si>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</si>
  <si>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</si>
  <si>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</si>
  <si>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</si>
  <si>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</si>
  <si>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</si>
  <si>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</si>
  <si>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</si>
  <si>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</si>
  <si>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</si>
  <si>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</si>
  <si>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</si>
  <si>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</si>
  <si>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</si>
  <si>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</si>
  <si>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</si>
  <si>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923</t>
  </si>
  <si>
    <t>BHC Fairfax Behavioral Health - Monroe</t>
  </si>
  <si>
    <t>14701 179th Ave SE</t>
  </si>
  <si>
    <t>Monroe</t>
  </si>
  <si>
    <t>WA</t>
  </si>
  <si>
    <t>Snohomish</t>
  </si>
  <si>
    <t>Christopher West</t>
  </si>
  <si>
    <t>Michelle Jackson</t>
  </si>
  <si>
    <t>425-821-2000</t>
  </si>
  <si>
    <t>12/31/2022</t>
  </si>
  <si>
    <t>Brady Gustafson</t>
  </si>
  <si>
    <t>nicole.bryan@uhsinc.com</t>
  </si>
  <si>
    <t>Nicole Bryan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</si>
</sst>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7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10" fontId="5" fillId="0" borderId="0" xfId="4" applyNumberFormat="1"/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icole.bryan@uhsinc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02" transitionEvaluation="1" transitionEntry="1" codeName="Sheet1">
    <tabColor rgb="FF92D050"/>
    <pageSetUpPr autoPageBreaks="0" fitToPage="1"/>
  </sheetPr>
  <dimension ref="A1:CG716"/>
  <sheetViews>
    <sheetView tabSelected="1" topLeftCell="A202" zoomScale="90" zoomScaleNormal="90" workbookViewId="0">
      <selection activeCell="C110" sqref="C110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2">
        <v>379912.91000000003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0</v>
      </c>
      <c r="F48" s="32">
        <f t="shared" si="0"/>
        <v>0</v>
      </c>
      <c r="G48" s="32">
        <f t="shared" si="0"/>
        <v>0</v>
      </c>
      <c r="H48" s="32">
        <f t="shared" si="0"/>
        <v>255968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0</v>
      </c>
      <c r="Q48" s="32">
        <f t="shared" si="0"/>
        <v>0</v>
      </c>
      <c r="R48" s="32">
        <f t="shared" si="0"/>
        <v>0</v>
      </c>
      <c r="S48" s="32">
        <f t="shared" si="0"/>
        <v>0</v>
      </c>
      <c r="T48" s="32">
        <f t="shared" si="0"/>
        <v>0</v>
      </c>
      <c r="U48" s="32">
        <f t="shared" si="0"/>
        <v>0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0</v>
      </c>
      <c r="Z48" s="32">
        <f t="shared" si="0"/>
        <v>0</v>
      </c>
      <c r="AA48" s="32">
        <f t="shared" si="0"/>
        <v>0</v>
      </c>
      <c r="AB48" s="32">
        <f t="shared" si="0"/>
        <v>19756</v>
      </c>
      <c r="AC48" s="32">
        <f t="shared" si="0"/>
        <v>0</v>
      </c>
      <c r="AD48" s="32">
        <f t="shared" si="0"/>
        <v>0</v>
      </c>
      <c r="AE48" s="32">
        <f t="shared" si="0"/>
        <v>0</v>
      </c>
      <c r="AF48" s="32">
        <f t="shared" si="0"/>
        <v>0</v>
      </c>
      <c r="AG48" s="32">
        <f t="shared" si="0"/>
        <v>0</v>
      </c>
      <c r="AH48" s="32">
        <f t="shared" si="0"/>
        <v>0</v>
      </c>
      <c r="AI48" s="32">
        <f t="shared" si="0"/>
        <v>0</v>
      </c>
      <c r="AJ48" s="32">
        <f t="shared" si="0"/>
        <v>0</v>
      </c>
      <c r="AK48" s="32">
        <f t="shared" si="0"/>
        <v>0</v>
      </c>
      <c r="AL48" s="32">
        <f t="shared" si="0"/>
        <v>0</v>
      </c>
      <c r="AM48" s="32">
        <f t="shared" si="0"/>
        <v>4799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30290</v>
      </c>
      <c r="AW48" s="32">
        <f t="shared" si="0"/>
        <v>0</v>
      </c>
      <c r="AX48" s="32">
        <f t="shared" si="0"/>
        <v>0</v>
      </c>
      <c r="AY48" s="32">
        <f t="shared" si="0"/>
        <v>0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0</v>
      </c>
      <c r="BE48" s="32">
        <f t="shared" si="0"/>
        <v>4484</v>
      </c>
      <c r="BF48" s="32">
        <f t="shared" si="0"/>
        <v>4281</v>
      </c>
      <c r="BG48" s="32">
        <f t="shared" si="0"/>
        <v>0</v>
      </c>
      <c r="BH48" s="32">
        <f t="shared" si="0"/>
        <v>0</v>
      </c>
      <c r="BI48" s="32">
        <f t="shared" si="0"/>
        <v>12984</v>
      </c>
      <c r="BJ48" s="32">
        <f t="shared" si="0"/>
        <v>10022</v>
      </c>
      <c r="BK48" s="32">
        <f t="shared" si="0"/>
        <v>7175</v>
      </c>
      <c r="BL48" s="32">
        <f t="shared" si="0"/>
        <v>9782</v>
      </c>
      <c r="BM48" s="32">
        <f t="shared" si="0"/>
        <v>0</v>
      </c>
      <c r="BN48" s="32">
        <f t="shared" si="0"/>
        <v>2931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6004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4012</v>
      </c>
      <c r="BW48" s="32">
        <f t="shared" si="1"/>
        <v>0</v>
      </c>
      <c r="BX48" s="32">
        <f t="shared" si="1"/>
        <v>1674</v>
      </c>
      <c r="BY48" s="32">
        <f t="shared" si="1"/>
        <v>0</v>
      </c>
      <c r="BZ48" s="32">
        <f t="shared" si="1"/>
        <v>0</v>
      </c>
      <c r="CA48" s="32">
        <f t="shared" si="1"/>
        <v>0</v>
      </c>
      <c r="CB48" s="32">
        <f t="shared" si="1"/>
        <v>0</v>
      </c>
      <c r="CC48" s="32">
        <f t="shared" si="1"/>
        <v>5753</v>
      </c>
      <c r="CD48" s="32">
        <f t="shared" si="1"/>
        <v>0</v>
      </c>
      <c r="CE48" s="32">
        <f>SUM(C48:CD48)</f>
        <v>379915</v>
      </c>
    </row>
    <row r="49" spans="1:85" x14ac:dyDescent="0.35">
      <c r="A49" s="20" t="s">
        <v>218</v>
      </c>
      <c r="B49" s="32">
        <f>B47+B48</f>
        <v>379912.91000000003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5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5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5" x14ac:dyDescent="0.35">
      <c r="A52" s="39" t="s">
        <v>220</v>
      </c>
      <c r="B52" s="313">
        <v>350949.59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 t="shared" si="2"/>
        <v>0</v>
      </c>
      <c r="F52" s="32">
        <f t="shared" si="2"/>
        <v>0</v>
      </c>
      <c r="G52" s="32">
        <f t="shared" si="2"/>
        <v>0</v>
      </c>
      <c r="H52" s="32">
        <f t="shared" si="2"/>
        <v>350950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0</v>
      </c>
      <c r="T52" s="32">
        <f t="shared" si="2"/>
        <v>0</v>
      </c>
      <c r="U52" s="32">
        <f t="shared" si="2"/>
        <v>0</v>
      </c>
      <c r="V52" s="32">
        <f t="shared" si="2"/>
        <v>0</v>
      </c>
      <c r="W52" s="32">
        <f t="shared" si="2"/>
        <v>0</v>
      </c>
      <c r="X52" s="32">
        <f t="shared" si="2"/>
        <v>0</v>
      </c>
      <c r="Y52" s="32">
        <f t="shared" si="2"/>
        <v>0</v>
      </c>
      <c r="Z52" s="32">
        <f t="shared" si="2"/>
        <v>0</v>
      </c>
      <c r="AA52" s="32">
        <f t="shared" si="2"/>
        <v>0</v>
      </c>
      <c r="AB52" s="32">
        <f t="shared" si="2"/>
        <v>0</v>
      </c>
      <c r="AC52" s="32">
        <f t="shared" si="2"/>
        <v>0</v>
      </c>
      <c r="AD52" s="32">
        <f t="shared" si="2"/>
        <v>0</v>
      </c>
      <c r="AE52" s="32">
        <f t="shared" si="2"/>
        <v>0</v>
      </c>
      <c r="AF52" s="32">
        <f t="shared" si="2"/>
        <v>0</v>
      </c>
      <c r="AG52" s="32">
        <f t="shared" si="2"/>
        <v>0</v>
      </c>
      <c r="AH52" s="32">
        <f t="shared" si="2"/>
        <v>0</v>
      </c>
      <c r="AI52" s="32">
        <f t="shared" si="2"/>
        <v>0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0</v>
      </c>
      <c r="AZ52" s="32">
        <f t="shared" si="2"/>
        <v>0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0</v>
      </c>
      <c r="BF52" s="32">
        <f t="shared" si="2"/>
        <v>0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0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0</v>
      </c>
      <c r="BW52" s="32">
        <f t="shared" si="3"/>
        <v>0</v>
      </c>
      <c r="BX52" s="32">
        <f t="shared" si="3"/>
        <v>0</v>
      </c>
      <c r="BY52" s="32">
        <f t="shared" si="3"/>
        <v>0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350950</v>
      </c>
    </row>
    <row r="53" spans="1:85" x14ac:dyDescent="0.35">
      <c r="A53" s="20" t="s">
        <v>218</v>
      </c>
      <c r="B53" s="32">
        <f>B51+B52</f>
        <v>350949.59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5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5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5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5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5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5" x14ac:dyDescent="0.35">
      <c r="A59" s="39" t="s">
        <v>246</v>
      </c>
      <c r="B59" s="32"/>
      <c r="C59" s="24"/>
      <c r="D59" s="24"/>
      <c r="E59" s="24"/>
      <c r="F59" s="24"/>
      <c r="G59" s="24"/>
      <c r="H59" s="24">
        <v>3935</v>
      </c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f>H90</f>
        <v>15156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5" s="225" customFormat="1" x14ac:dyDescent="0.35">
      <c r="A60" s="241" t="s">
        <v>247</v>
      </c>
      <c r="B60" s="242"/>
      <c r="C60" s="315"/>
      <c r="D60" s="315"/>
      <c r="E60" s="315"/>
      <c r="F60" s="315"/>
      <c r="G60" s="315"/>
      <c r="H60" s="315">
        <v>12.745673076923078</v>
      </c>
      <c r="I60" s="315"/>
      <c r="J60" s="315"/>
      <c r="K60" s="315"/>
      <c r="L60" s="315"/>
      <c r="M60" s="315"/>
      <c r="N60" s="315"/>
      <c r="O60" s="315"/>
      <c r="P60" s="316"/>
      <c r="Q60" s="316"/>
      <c r="R60" s="316"/>
      <c r="S60" s="317"/>
      <c r="T60" s="317"/>
      <c r="U60" s="318"/>
      <c r="V60" s="316"/>
      <c r="W60" s="316"/>
      <c r="X60" s="316"/>
      <c r="Y60" s="316"/>
      <c r="Z60" s="316"/>
      <c r="AA60" s="316"/>
      <c r="AB60" s="317">
        <v>0.72644230769230766</v>
      </c>
      <c r="AC60" s="316"/>
      <c r="AD60" s="316"/>
      <c r="AE60" s="316"/>
      <c r="AF60" s="316"/>
      <c r="AG60" s="316"/>
      <c r="AH60" s="316"/>
      <c r="AI60" s="316"/>
      <c r="AJ60" s="316"/>
      <c r="AK60" s="316"/>
      <c r="AL60" s="316"/>
      <c r="AM60" s="316">
        <v>0.3264423076923077</v>
      </c>
      <c r="AN60" s="316"/>
      <c r="AO60" s="316"/>
      <c r="AP60" s="316"/>
      <c r="AQ60" s="316"/>
      <c r="AR60" s="316"/>
      <c r="AS60" s="316"/>
      <c r="AT60" s="316"/>
      <c r="AU60" s="316"/>
      <c r="AV60" s="317">
        <v>2.3153846153846156</v>
      </c>
      <c r="AW60" s="317"/>
      <c r="AX60" s="317"/>
      <c r="AY60" s="316"/>
      <c r="AZ60" s="316"/>
      <c r="BA60" s="317"/>
      <c r="BB60" s="317"/>
      <c r="BC60" s="317"/>
      <c r="BD60" s="317"/>
      <c r="BE60" s="316">
        <v>0.40817307692307692</v>
      </c>
      <c r="BF60" s="317">
        <v>1.7519230769230769</v>
      </c>
      <c r="BG60" s="317"/>
      <c r="BH60" s="317"/>
      <c r="BI60" s="317">
        <v>1.1817307692307693</v>
      </c>
      <c r="BJ60" s="317">
        <v>0.60480769230769227</v>
      </c>
      <c r="BK60" s="317">
        <v>0.76201923076923073</v>
      </c>
      <c r="BL60" s="317">
        <v>0.83125000000000004</v>
      </c>
      <c r="BM60" s="317"/>
      <c r="BN60" s="317"/>
      <c r="BO60" s="317"/>
      <c r="BP60" s="317"/>
      <c r="BQ60" s="317"/>
      <c r="BR60" s="317">
        <v>0.45384615384615384</v>
      </c>
      <c r="BS60" s="317"/>
      <c r="BT60" s="317"/>
      <c r="BU60" s="317"/>
      <c r="BV60" s="317">
        <v>0.45288461538461539</v>
      </c>
      <c r="BW60" s="317"/>
      <c r="BX60" s="317">
        <v>9.2788461538461542E-2</v>
      </c>
      <c r="BY60" s="317"/>
      <c r="BZ60" s="317"/>
      <c r="CA60" s="317"/>
      <c r="CB60" s="317"/>
      <c r="CC60" s="317">
        <v>0.3403846153846154</v>
      </c>
      <c r="CD60" s="247" t="s">
        <v>233</v>
      </c>
      <c r="CE60" s="268">
        <f t="shared" ref="CE60:CE68" si="4">SUM(C60:CD60)</f>
        <v>22.993749999999999</v>
      </c>
    </row>
    <row r="61" spans="1:85" x14ac:dyDescent="0.35">
      <c r="A61" s="39" t="s">
        <v>248</v>
      </c>
      <c r="B61" s="20"/>
      <c r="C61" s="24"/>
      <c r="D61" s="24"/>
      <c r="E61" s="24"/>
      <c r="F61" s="24"/>
      <c r="G61" s="24"/>
      <c r="H61" s="24">
        <v>1512440.68</v>
      </c>
      <c r="I61" s="24"/>
      <c r="J61" s="24"/>
      <c r="K61" s="24"/>
      <c r="L61" s="24"/>
      <c r="M61" s="24"/>
      <c r="N61" s="24"/>
      <c r="O61" s="24"/>
      <c r="P61" s="30"/>
      <c r="Q61" s="30"/>
      <c r="R61" s="30"/>
      <c r="S61" s="319"/>
      <c r="T61" s="319"/>
      <c r="U61" s="31"/>
      <c r="V61" s="30"/>
      <c r="W61" s="30"/>
      <c r="X61" s="30"/>
      <c r="Y61" s="30"/>
      <c r="Z61" s="30"/>
      <c r="AA61" s="30"/>
      <c r="AB61" s="320">
        <v>116731.78</v>
      </c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>
        <v>28354.21</v>
      </c>
      <c r="AN61" s="30"/>
      <c r="AO61" s="30"/>
      <c r="AP61" s="30"/>
      <c r="AQ61" s="30"/>
      <c r="AR61" s="30"/>
      <c r="AS61" s="30"/>
      <c r="AT61" s="30"/>
      <c r="AU61" s="30"/>
      <c r="AV61" s="319">
        <v>178972.66</v>
      </c>
      <c r="AW61" s="319"/>
      <c r="AX61" s="319"/>
      <c r="AY61" s="30"/>
      <c r="AZ61" s="30"/>
      <c r="BA61" s="319"/>
      <c r="BB61" s="319"/>
      <c r="BC61" s="319"/>
      <c r="BD61" s="319"/>
      <c r="BE61" s="30">
        <v>26494.75</v>
      </c>
      <c r="BF61" s="319">
        <v>25293.84</v>
      </c>
      <c r="BG61" s="319"/>
      <c r="BH61" s="319"/>
      <c r="BI61" s="319">
        <v>76720.11</v>
      </c>
      <c r="BJ61" s="319">
        <v>59219.02</v>
      </c>
      <c r="BK61" s="319">
        <v>42392.030000000006</v>
      </c>
      <c r="BL61" s="319">
        <v>57797.62</v>
      </c>
      <c r="BM61" s="319"/>
      <c r="BN61" s="319">
        <v>17315.97</v>
      </c>
      <c r="BO61" s="319"/>
      <c r="BP61" s="319"/>
      <c r="BQ61" s="319"/>
      <c r="BR61" s="319">
        <v>35475.800000000003</v>
      </c>
      <c r="BS61" s="319"/>
      <c r="BT61" s="319"/>
      <c r="BU61" s="319"/>
      <c r="BV61" s="319">
        <v>23705.770000000004</v>
      </c>
      <c r="BW61" s="319"/>
      <c r="BX61" s="319">
        <v>9888.3799999999992</v>
      </c>
      <c r="BY61" s="319"/>
      <c r="BZ61" s="319"/>
      <c r="CA61" s="319"/>
      <c r="CB61" s="319"/>
      <c r="CC61" s="319">
        <v>33991.360000000001</v>
      </c>
      <c r="CD61" s="29" t="s">
        <v>233</v>
      </c>
      <c r="CE61" s="32">
        <f t="shared" si="4"/>
        <v>2244793.98</v>
      </c>
      <c r="CG61" s="225"/>
    </row>
    <row r="62" spans="1:85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0</v>
      </c>
      <c r="F62" s="32">
        <f t="shared" si="5"/>
        <v>0</v>
      </c>
      <c r="G62" s="32">
        <f t="shared" si="5"/>
        <v>0</v>
      </c>
      <c r="H62" s="32">
        <f t="shared" si="5"/>
        <v>255968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0</v>
      </c>
      <c r="Z62" s="32">
        <f t="shared" si="5"/>
        <v>0</v>
      </c>
      <c r="AA62" s="32">
        <f t="shared" si="5"/>
        <v>0</v>
      </c>
      <c r="AB62" s="32">
        <f t="shared" si="5"/>
        <v>19756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32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4799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30290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4484</v>
      </c>
      <c r="BF62" s="32">
        <f t="shared" si="5"/>
        <v>4281</v>
      </c>
      <c r="BG62" s="32">
        <f t="shared" si="5"/>
        <v>0</v>
      </c>
      <c r="BH62" s="32">
        <f t="shared" si="5"/>
        <v>0</v>
      </c>
      <c r="BI62" s="32">
        <f t="shared" si="5"/>
        <v>12984</v>
      </c>
      <c r="BJ62" s="32">
        <f t="shared" si="5"/>
        <v>10022</v>
      </c>
      <c r="BK62" s="32">
        <f t="shared" si="5"/>
        <v>7175</v>
      </c>
      <c r="BL62" s="32">
        <f t="shared" si="5"/>
        <v>9782</v>
      </c>
      <c r="BM62" s="32">
        <f t="shared" si="5"/>
        <v>0</v>
      </c>
      <c r="BN62" s="32">
        <f t="shared" si="5"/>
        <v>2931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6004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4012</v>
      </c>
      <c r="BW62" s="32">
        <f t="shared" si="6"/>
        <v>0</v>
      </c>
      <c r="BX62" s="32">
        <f t="shared" si="6"/>
        <v>1674</v>
      </c>
      <c r="BY62" s="32">
        <f t="shared" si="6"/>
        <v>0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5753</v>
      </c>
      <c r="CD62" s="29" t="s">
        <v>233</v>
      </c>
      <c r="CE62" s="32">
        <f t="shared" si="4"/>
        <v>379915</v>
      </c>
      <c r="CG62" s="225"/>
    </row>
    <row r="63" spans="1:85" x14ac:dyDescent="0.35">
      <c r="A63" s="39" t="s">
        <v>249</v>
      </c>
      <c r="B63" s="20"/>
      <c r="C63" s="24"/>
      <c r="D63" s="24"/>
      <c r="E63" s="24"/>
      <c r="F63" s="24"/>
      <c r="G63" s="24"/>
      <c r="H63" s="24">
        <v>0</v>
      </c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9"/>
      <c r="T63" s="319"/>
      <c r="U63" s="31"/>
      <c r="V63" s="30"/>
      <c r="W63" s="30"/>
      <c r="X63" s="30"/>
      <c r="Y63" s="30"/>
      <c r="Z63" s="30"/>
      <c r="AA63" s="30"/>
      <c r="AB63" s="32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>
        <v>0</v>
      </c>
      <c r="AN63" s="30"/>
      <c r="AO63" s="30"/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>
        <v>0</v>
      </c>
      <c r="BB63" s="319"/>
      <c r="BC63" s="319"/>
      <c r="BD63" s="319"/>
      <c r="BE63" s="30">
        <v>0</v>
      </c>
      <c r="BF63" s="319">
        <v>0</v>
      </c>
      <c r="BG63" s="319"/>
      <c r="BH63" s="319"/>
      <c r="BI63" s="319"/>
      <c r="BJ63" s="319"/>
      <c r="BK63" s="319">
        <v>0</v>
      </c>
      <c r="BL63" s="319"/>
      <c r="BM63" s="319"/>
      <c r="BN63" s="319">
        <v>0</v>
      </c>
      <c r="BO63" s="319"/>
      <c r="BP63" s="319"/>
      <c r="BQ63" s="319"/>
      <c r="BR63" s="319"/>
      <c r="BS63" s="319"/>
      <c r="BT63" s="319"/>
      <c r="BU63" s="319"/>
      <c r="BV63" s="319">
        <v>0</v>
      </c>
      <c r="BW63" s="319">
        <v>4411</v>
      </c>
      <c r="BX63" s="319"/>
      <c r="BY63" s="319"/>
      <c r="BZ63" s="319"/>
      <c r="CA63" s="319"/>
      <c r="CB63" s="319"/>
      <c r="CC63" s="319">
        <v>981577.22</v>
      </c>
      <c r="CD63" s="29" t="s">
        <v>233</v>
      </c>
      <c r="CE63" s="32">
        <f t="shared" si="4"/>
        <v>985988.22</v>
      </c>
      <c r="CG63" s="225"/>
    </row>
    <row r="64" spans="1:85" x14ac:dyDescent="0.35">
      <c r="A64" s="39" t="s">
        <v>250</v>
      </c>
      <c r="B64" s="20"/>
      <c r="C64" s="24"/>
      <c r="D64" s="24"/>
      <c r="E64" s="24"/>
      <c r="F64" s="24"/>
      <c r="G64" s="24"/>
      <c r="H64" s="24">
        <v>3014.12</v>
      </c>
      <c r="I64" s="24"/>
      <c r="J64" s="24"/>
      <c r="K64" s="24"/>
      <c r="L64" s="24"/>
      <c r="M64" s="24"/>
      <c r="N64" s="24"/>
      <c r="O64" s="24"/>
      <c r="P64" s="30"/>
      <c r="Q64" s="30"/>
      <c r="R64" s="30"/>
      <c r="S64" s="319"/>
      <c r="T64" s="319"/>
      <c r="U64" s="31"/>
      <c r="V64" s="30"/>
      <c r="W64" s="30"/>
      <c r="X64" s="30"/>
      <c r="Y64" s="30"/>
      <c r="Z64" s="30"/>
      <c r="AA64" s="30"/>
      <c r="AB64" s="320">
        <v>65307.289999999994</v>
      </c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>
        <v>1806.57</v>
      </c>
      <c r="AN64" s="30"/>
      <c r="AO64" s="30"/>
      <c r="AP64" s="30"/>
      <c r="AQ64" s="30"/>
      <c r="AR64" s="30"/>
      <c r="AS64" s="30"/>
      <c r="AT64" s="30"/>
      <c r="AU64" s="30"/>
      <c r="AV64" s="319"/>
      <c r="AW64" s="319"/>
      <c r="AX64" s="319"/>
      <c r="AY64" s="30">
        <v>70662.740000000005</v>
      </c>
      <c r="AZ64" s="30"/>
      <c r="BA64" s="319">
        <v>0</v>
      </c>
      <c r="BB64" s="319"/>
      <c r="BC64" s="319"/>
      <c r="BD64" s="319"/>
      <c r="BE64" s="30">
        <v>1162.3499999999999</v>
      </c>
      <c r="BF64" s="319">
        <v>0</v>
      </c>
      <c r="BG64" s="319"/>
      <c r="BH64" s="319"/>
      <c r="BI64" s="319">
        <v>25782.3</v>
      </c>
      <c r="BJ64" s="319"/>
      <c r="BK64" s="319">
        <v>0</v>
      </c>
      <c r="BL64" s="319"/>
      <c r="BM64" s="319"/>
      <c r="BN64" s="319">
        <v>0</v>
      </c>
      <c r="BO64" s="319"/>
      <c r="BP64" s="319"/>
      <c r="BQ64" s="319"/>
      <c r="BR64" s="319"/>
      <c r="BS64" s="319"/>
      <c r="BT64" s="319"/>
      <c r="BU64" s="319"/>
      <c r="BV64" s="319">
        <v>894.89</v>
      </c>
      <c r="BW64" s="319"/>
      <c r="BX64" s="319"/>
      <c r="BY64" s="319"/>
      <c r="BZ64" s="319"/>
      <c r="CA64" s="319"/>
      <c r="CB64" s="319"/>
      <c r="CC64" s="319"/>
      <c r="CD64" s="29" t="s">
        <v>233</v>
      </c>
      <c r="CE64" s="32">
        <f t="shared" si="4"/>
        <v>168630.26</v>
      </c>
      <c r="CG64" s="225"/>
    </row>
    <row r="65" spans="1:85" x14ac:dyDescent="0.35">
      <c r="A65" s="39" t="s">
        <v>251</v>
      </c>
      <c r="B65" s="20"/>
      <c r="C65" s="24"/>
      <c r="D65" s="24"/>
      <c r="E65" s="24"/>
      <c r="F65" s="24"/>
      <c r="G65" s="24"/>
      <c r="H65" s="24">
        <v>0</v>
      </c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/>
      <c r="X65" s="30"/>
      <c r="Y65" s="30"/>
      <c r="Z65" s="30"/>
      <c r="AA65" s="30"/>
      <c r="AB65" s="320">
        <v>0</v>
      </c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>
        <v>0</v>
      </c>
      <c r="AN65" s="30"/>
      <c r="AO65" s="30"/>
      <c r="AP65" s="30"/>
      <c r="AQ65" s="30"/>
      <c r="AR65" s="30"/>
      <c r="AS65" s="30"/>
      <c r="AT65" s="30"/>
      <c r="AU65" s="30"/>
      <c r="AV65" s="319"/>
      <c r="AW65" s="319"/>
      <c r="AX65" s="319"/>
      <c r="AY65" s="30">
        <v>0</v>
      </c>
      <c r="AZ65" s="30"/>
      <c r="BA65" s="319">
        <v>0</v>
      </c>
      <c r="BB65" s="319"/>
      <c r="BC65" s="319"/>
      <c r="BD65" s="319"/>
      <c r="BE65" s="30">
        <v>2356.5300000000002</v>
      </c>
      <c r="BF65" s="319">
        <v>0</v>
      </c>
      <c r="BG65" s="319"/>
      <c r="BH65" s="319"/>
      <c r="BI65" s="319"/>
      <c r="BJ65" s="319"/>
      <c r="BK65" s="319">
        <v>0</v>
      </c>
      <c r="BL65" s="319"/>
      <c r="BM65" s="319"/>
      <c r="BN65" s="319">
        <v>0</v>
      </c>
      <c r="BO65" s="319"/>
      <c r="BP65" s="319"/>
      <c r="BQ65" s="319"/>
      <c r="BR65" s="319"/>
      <c r="BS65" s="319"/>
      <c r="BT65" s="319"/>
      <c r="BU65" s="319"/>
      <c r="BV65" s="319">
        <v>0</v>
      </c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2356.5300000000002</v>
      </c>
      <c r="CG65" s="225"/>
    </row>
    <row r="66" spans="1:85" x14ac:dyDescent="0.35">
      <c r="A66" s="39" t="s">
        <v>252</v>
      </c>
      <c r="B66" s="20"/>
      <c r="C66" s="24"/>
      <c r="D66" s="24"/>
      <c r="E66" s="24"/>
      <c r="F66" s="24"/>
      <c r="G66" s="24"/>
      <c r="H66" s="24">
        <v>13958.4</v>
      </c>
      <c r="I66" s="24"/>
      <c r="J66" s="24"/>
      <c r="K66" s="24"/>
      <c r="L66" s="24"/>
      <c r="M66" s="24"/>
      <c r="N66" s="24"/>
      <c r="O66" s="24"/>
      <c r="P66" s="30"/>
      <c r="Q66" s="30"/>
      <c r="R66" s="30"/>
      <c r="S66" s="319"/>
      <c r="T66" s="319"/>
      <c r="U66" s="31">
        <v>30056</v>
      </c>
      <c r="V66" s="30"/>
      <c r="W66" s="30"/>
      <c r="X66" s="30"/>
      <c r="Y66" s="30">
        <v>16269.49</v>
      </c>
      <c r="Z66" s="30"/>
      <c r="AA66" s="30"/>
      <c r="AB66" s="320">
        <v>12858.09</v>
      </c>
      <c r="AC66" s="30"/>
      <c r="AD66" s="30"/>
      <c r="AE66" s="30"/>
      <c r="AF66" s="30"/>
      <c r="AG66" s="30">
        <v>22047.360000000001</v>
      </c>
      <c r="AH66" s="30"/>
      <c r="AI66" s="30"/>
      <c r="AJ66" s="30"/>
      <c r="AK66" s="30"/>
      <c r="AL66" s="30"/>
      <c r="AM66" s="30">
        <v>500</v>
      </c>
      <c r="AN66" s="30"/>
      <c r="AO66" s="30"/>
      <c r="AP66" s="30"/>
      <c r="AQ66" s="30"/>
      <c r="AR66" s="30"/>
      <c r="AS66" s="30"/>
      <c r="AT66" s="30"/>
      <c r="AU66" s="30"/>
      <c r="AV66" s="319"/>
      <c r="AW66" s="319"/>
      <c r="AX66" s="319"/>
      <c r="AY66" s="30">
        <v>235831.6</v>
      </c>
      <c r="AZ66" s="30"/>
      <c r="BA66" s="319">
        <v>15631.98</v>
      </c>
      <c r="BB66" s="319"/>
      <c r="BC66" s="319"/>
      <c r="BD66" s="319"/>
      <c r="BE66" s="30">
        <v>909.11</v>
      </c>
      <c r="BF66" s="319">
        <v>88022.7</v>
      </c>
      <c r="BG66" s="319"/>
      <c r="BH66" s="319"/>
      <c r="BI66" s="319">
        <v>5494.71</v>
      </c>
      <c r="BJ66" s="319"/>
      <c r="BK66" s="319">
        <v>2238.33</v>
      </c>
      <c r="BL66" s="319"/>
      <c r="BM66" s="319"/>
      <c r="BN66" s="319">
        <v>21274.85</v>
      </c>
      <c r="BO66" s="319"/>
      <c r="BP66" s="319"/>
      <c r="BQ66" s="319"/>
      <c r="BR66" s="319"/>
      <c r="BS66" s="319"/>
      <c r="BT66" s="319"/>
      <c r="BU66" s="319"/>
      <c r="BV66" s="319">
        <v>0</v>
      </c>
      <c r="BW66" s="319"/>
      <c r="BX66" s="319"/>
      <c r="BY66" s="319"/>
      <c r="BZ66" s="319"/>
      <c r="CA66" s="319"/>
      <c r="CB66" s="319"/>
      <c r="CC66" s="319">
        <v>18726</v>
      </c>
      <c r="CD66" s="29" t="s">
        <v>233</v>
      </c>
      <c r="CE66" s="32">
        <f t="shared" si="4"/>
        <v>483818.62</v>
      </c>
      <c r="CG66" s="225"/>
    </row>
    <row r="67" spans="1:85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350950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0</v>
      </c>
      <c r="Z67" s="32">
        <f t="shared" si="7"/>
        <v>0</v>
      </c>
      <c r="AA67" s="32">
        <f t="shared" si="7"/>
        <v>0</v>
      </c>
      <c r="AB67" s="32">
        <f t="shared" si="7"/>
        <v>0</v>
      </c>
      <c r="AC67" s="32">
        <f t="shared" si="7"/>
        <v>0</v>
      </c>
      <c r="AD67" s="32">
        <f t="shared" si="7"/>
        <v>0</v>
      </c>
      <c r="AE67" s="32">
        <f t="shared" si="7"/>
        <v>0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0</v>
      </c>
      <c r="BA67" s="32">
        <f t="shared" si="7"/>
        <v>0</v>
      </c>
      <c r="BB67" s="32">
        <f t="shared" si="7"/>
        <v>0</v>
      </c>
      <c r="BC67" s="32">
        <f>ROUND(BC51+BC52,0)</f>
        <v>0</v>
      </c>
      <c r="BD67" s="32">
        <f t="shared" si="7"/>
        <v>0</v>
      </c>
      <c r="BE67" s="32">
        <f t="shared" si="7"/>
        <v>0</v>
      </c>
      <c r="BF67" s="32">
        <f t="shared" si="7"/>
        <v>0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350950</v>
      </c>
    </row>
    <row r="68" spans="1:85" x14ac:dyDescent="0.35">
      <c r="A68" s="39" t="s">
        <v>253</v>
      </c>
      <c r="B68" s="3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9"/>
      <c r="T68" s="319"/>
      <c r="U68" s="31"/>
      <c r="V68" s="30"/>
      <c r="W68" s="30"/>
      <c r="X68" s="30"/>
      <c r="Y68" s="30"/>
      <c r="Z68" s="30"/>
      <c r="AA68" s="30"/>
      <c r="AB68" s="32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9"/>
      <c r="AW68" s="319"/>
      <c r="AX68" s="319"/>
      <c r="AY68" s="30"/>
      <c r="AZ68" s="30"/>
      <c r="BA68" s="319"/>
      <c r="BB68" s="319"/>
      <c r="BC68" s="319"/>
      <c r="BD68" s="319"/>
      <c r="BE68" s="30">
        <v>3012.17</v>
      </c>
      <c r="BF68" s="319"/>
      <c r="BG68" s="319"/>
      <c r="BH68" s="319"/>
      <c r="BI68" s="319"/>
      <c r="BJ68" s="319"/>
      <c r="BK68" s="319"/>
      <c r="BL68" s="319"/>
      <c r="BM68" s="319"/>
      <c r="BN68" s="319">
        <v>500034.42</v>
      </c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/>
      <c r="CD68" s="29" t="s">
        <v>233</v>
      </c>
      <c r="CE68" s="32">
        <f t="shared" si="4"/>
        <v>503046.58999999997</v>
      </c>
    </row>
    <row r="69" spans="1:85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0</v>
      </c>
      <c r="G69" s="32">
        <f t="shared" si="9"/>
        <v>0</v>
      </c>
      <c r="H69" s="32">
        <f t="shared" si="9"/>
        <v>483.69000000000233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0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3744.6000000000058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19617.05</v>
      </c>
      <c r="BD69" s="32">
        <f t="shared" si="9"/>
        <v>0</v>
      </c>
      <c r="BE69" s="32">
        <f t="shared" si="9"/>
        <v>62548.310000000012</v>
      </c>
      <c r="BF69" s="32">
        <f t="shared" si="9"/>
        <v>0</v>
      </c>
      <c r="BG69" s="32">
        <f t="shared" si="9"/>
        <v>0</v>
      </c>
      <c r="BH69" s="32">
        <f t="shared" si="9"/>
        <v>0</v>
      </c>
      <c r="BI69" s="32">
        <f t="shared" si="9"/>
        <v>9658.5799999999945</v>
      </c>
      <c r="BJ69" s="32">
        <f t="shared" si="9"/>
        <v>186.68000000000757</v>
      </c>
      <c r="BK69" s="32">
        <f t="shared" si="9"/>
        <v>3069.8600000000006</v>
      </c>
      <c r="BL69" s="32">
        <f t="shared" si="9"/>
        <v>0</v>
      </c>
      <c r="BM69" s="32">
        <f t="shared" si="9"/>
        <v>0</v>
      </c>
      <c r="BN69" s="32">
        <f t="shared" si="9"/>
        <v>33505.750000000058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1303.2700000000041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5059.419999999991</v>
      </c>
      <c r="BW69" s="32">
        <f t="shared" si="10"/>
        <v>0</v>
      </c>
      <c r="BX69" s="32">
        <f t="shared" si="10"/>
        <v>0</v>
      </c>
      <c r="BY69" s="32">
        <f t="shared" si="10"/>
        <v>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812741</v>
      </c>
      <c r="CD69" s="32">
        <f t="shared" si="10"/>
        <v>0</v>
      </c>
      <c r="CE69" s="32">
        <f>SUM(CE70:CE84)</f>
        <v>951918.21000000008</v>
      </c>
    </row>
    <row r="70" spans="1:85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5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4" si="11">SUM(C71:CD71)</f>
        <v>0</v>
      </c>
    </row>
    <row r="72" spans="1:85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5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5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5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5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5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5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5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5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/>
      <c r="F83" s="30"/>
      <c r="G83" s="24"/>
      <c r="H83" s="24">
        <v>483.69000000000233</v>
      </c>
      <c r="I83" s="30"/>
      <c r="J83" s="30"/>
      <c r="K83" s="30"/>
      <c r="L83" s="30"/>
      <c r="M83" s="24"/>
      <c r="N83" s="24"/>
      <c r="O83" s="24"/>
      <c r="P83" s="30"/>
      <c r="Q83" s="30"/>
      <c r="R83" s="31"/>
      <c r="S83" s="30"/>
      <c r="T83" s="24"/>
      <c r="U83" s="30"/>
      <c r="V83" s="30"/>
      <c r="W83" s="24"/>
      <c r="X83" s="30"/>
      <c r="Y83" s="30"/>
      <c r="Z83" s="30"/>
      <c r="AA83" s="30"/>
      <c r="AB83" s="30">
        <v>3744.6000000000058</v>
      </c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/>
      <c r="AW83" s="30"/>
      <c r="AX83" s="30"/>
      <c r="AY83" s="30"/>
      <c r="AZ83" s="30"/>
      <c r="BA83" s="30"/>
      <c r="BB83" s="30"/>
      <c r="BC83" s="30">
        <v>19617.05</v>
      </c>
      <c r="BD83" s="30"/>
      <c r="BE83" s="30">
        <v>62548.310000000012</v>
      </c>
      <c r="BF83" s="30"/>
      <c r="BG83" s="30"/>
      <c r="BH83" s="31"/>
      <c r="BI83" s="30">
        <v>9658.5799999999945</v>
      </c>
      <c r="BJ83" s="30">
        <v>186.68000000000757</v>
      </c>
      <c r="BK83" s="30">
        <v>3069.8600000000006</v>
      </c>
      <c r="BL83" s="30"/>
      <c r="BM83" s="30"/>
      <c r="BN83" s="30">
        <v>33505.750000000058</v>
      </c>
      <c r="BO83" s="30"/>
      <c r="BP83" s="30"/>
      <c r="BQ83" s="30"/>
      <c r="BR83" s="30">
        <v>1303.2700000000041</v>
      </c>
      <c r="BS83" s="30"/>
      <c r="BT83" s="30"/>
      <c r="BU83" s="30"/>
      <c r="BV83" s="30">
        <v>5059.419999999991</v>
      </c>
      <c r="BW83" s="30"/>
      <c r="BX83" s="30"/>
      <c r="BY83" s="30"/>
      <c r="BZ83" s="30"/>
      <c r="CA83" s="30"/>
      <c r="CB83" s="30"/>
      <c r="CC83" s="30">
        <v>812741</v>
      </c>
      <c r="CD83" s="35"/>
      <c r="CE83" s="32">
        <f t="shared" si="11"/>
        <v>951918.21000000008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 t="shared" si="11"/>
        <v>0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0</v>
      </c>
      <c r="F85" s="32">
        <f t="shared" si="12"/>
        <v>0</v>
      </c>
      <c r="G85" s="32">
        <f t="shared" si="12"/>
        <v>0</v>
      </c>
      <c r="H85" s="32">
        <f t="shared" si="12"/>
        <v>2136814.89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0</v>
      </c>
      <c r="T85" s="32">
        <f t="shared" si="12"/>
        <v>0</v>
      </c>
      <c r="U85" s="32">
        <f t="shared" si="12"/>
        <v>30056</v>
      </c>
      <c r="V85" s="32">
        <f t="shared" si="12"/>
        <v>0</v>
      </c>
      <c r="W85" s="32">
        <f t="shared" si="12"/>
        <v>0</v>
      </c>
      <c r="X85" s="32">
        <f t="shared" si="12"/>
        <v>0</v>
      </c>
      <c r="Y85" s="32">
        <f t="shared" si="12"/>
        <v>16269.49</v>
      </c>
      <c r="Z85" s="32">
        <f t="shared" si="12"/>
        <v>0</v>
      </c>
      <c r="AA85" s="32">
        <f t="shared" si="12"/>
        <v>0</v>
      </c>
      <c r="AB85" s="32">
        <f t="shared" si="12"/>
        <v>218397.76</v>
      </c>
      <c r="AC85" s="32">
        <f t="shared" si="12"/>
        <v>0</v>
      </c>
      <c r="AD85" s="32">
        <f t="shared" si="12"/>
        <v>0</v>
      </c>
      <c r="AE85" s="32">
        <f t="shared" si="12"/>
        <v>0</v>
      </c>
      <c r="AF85" s="32">
        <f t="shared" si="12"/>
        <v>0</v>
      </c>
      <c r="AG85" s="32">
        <f t="shared" si="12"/>
        <v>22047.360000000001</v>
      </c>
      <c r="AH85" s="32">
        <f t="shared" si="12"/>
        <v>0</v>
      </c>
      <c r="AI85" s="32">
        <f t="shared" si="12"/>
        <v>0</v>
      </c>
      <c r="AJ85" s="32">
        <f t="shared" si="12"/>
        <v>0</v>
      </c>
      <c r="AK85" s="32">
        <f t="shared" si="12"/>
        <v>0</v>
      </c>
      <c r="AL85" s="32">
        <f t="shared" si="12"/>
        <v>0</v>
      </c>
      <c r="AM85" s="32">
        <f t="shared" si="12"/>
        <v>35459.78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209262.66</v>
      </c>
      <c r="AW85" s="32">
        <f t="shared" si="12"/>
        <v>0</v>
      </c>
      <c r="AX85" s="32">
        <f t="shared" si="12"/>
        <v>0</v>
      </c>
      <c r="AY85" s="32">
        <f t="shared" si="12"/>
        <v>306494.34000000003</v>
      </c>
      <c r="AZ85" s="32">
        <f t="shared" si="12"/>
        <v>0</v>
      </c>
      <c r="BA85" s="32">
        <f t="shared" si="12"/>
        <v>15631.98</v>
      </c>
      <c r="BB85" s="32">
        <f t="shared" si="12"/>
        <v>0</v>
      </c>
      <c r="BC85" s="32">
        <f t="shared" si="12"/>
        <v>19617.05</v>
      </c>
      <c r="BD85" s="32">
        <f t="shared" si="12"/>
        <v>0</v>
      </c>
      <c r="BE85" s="32">
        <f t="shared" si="12"/>
        <v>100967.22</v>
      </c>
      <c r="BF85" s="32">
        <f t="shared" si="12"/>
        <v>117597.54</v>
      </c>
      <c r="BG85" s="32">
        <f t="shared" si="12"/>
        <v>0</v>
      </c>
      <c r="BH85" s="32">
        <f t="shared" si="12"/>
        <v>0</v>
      </c>
      <c r="BI85" s="32">
        <f t="shared" si="12"/>
        <v>130639.70000000001</v>
      </c>
      <c r="BJ85" s="32">
        <f t="shared" si="12"/>
        <v>69427.7</v>
      </c>
      <c r="BK85" s="32">
        <f>SUM(BK61:BK69)-BK84</f>
        <v>54875.220000000008</v>
      </c>
      <c r="BL85" s="32">
        <f t="shared" si="12"/>
        <v>67579.62</v>
      </c>
      <c r="BM85" s="32">
        <f t="shared" si="12"/>
        <v>0</v>
      </c>
      <c r="BN85" s="32">
        <f t="shared" si="12"/>
        <v>575061.99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42783.070000000007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33672.079999999994</v>
      </c>
      <c r="BW85" s="32">
        <f t="shared" si="13"/>
        <v>4411</v>
      </c>
      <c r="BX85" s="32">
        <f t="shared" si="13"/>
        <v>11562.38</v>
      </c>
      <c r="BY85" s="32">
        <f t="shared" si="13"/>
        <v>0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1852788.58</v>
      </c>
      <c r="CD85" s="32">
        <f t="shared" si="13"/>
        <v>0</v>
      </c>
      <c r="CE85" s="32">
        <f>SUM(C85:CD85)</f>
        <v>6071417.4100000001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/>
      <c r="D87" s="24"/>
      <c r="E87" s="24"/>
      <c r="F87" s="24"/>
      <c r="G87" s="24"/>
      <c r="H87" s="24">
        <v>11758886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11758886</v>
      </c>
    </row>
    <row r="88" spans="1:84" x14ac:dyDescent="0.35">
      <c r="A88" s="26" t="s">
        <v>273</v>
      </c>
      <c r="B88" s="20"/>
      <c r="C88" s="24"/>
      <c r="D88" s="24"/>
      <c r="E88" s="24"/>
      <c r="F88" s="24"/>
      <c r="G88" s="24"/>
      <c r="H88" s="24">
        <v>0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0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0</v>
      </c>
      <c r="F89" s="32">
        <f t="shared" si="15"/>
        <v>0</v>
      </c>
      <c r="G89" s="32">
        <f t="shared" si="15"/>
        <v>0</v>
      </c>
      <c r="H89" s="32">
        <f t="shared" si="15"/>
        <v>11758886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0</v>
      </c>
      <c r="Q89" s="32">
        <f t="shared" si="15"/>
        <v>0</v>
      </c>
      <c r="R89" s="32">
        <f t="shared" si="15"/>
        <v>0</v>
      </c>
      <c r="S89" s="32">
        <f t="shared" si="15"/>
        <v>0</v>
      </c>
      <c r="T89" s="32">
        <f t="shared" si="15"/>
        <v>0</v>
      </c>
      <c r="U89" s="32">
        <f t="shared" si="15"/>
        <v>0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0</v>
      </c>
      <c r="Z89" s="32">
        <f t="shared" si="15"/>
        <v>0</v>
      </c>
      <c r="AA89" s="32">
        <f t="shared" si="15"/>
        <v>0</v>
      </c>
      <c r="AB89" s="32">
        <f t="shared" si="15"/>
        <v>0</v>
      </c>
      <c r="AC89" s="32">
        <f t="shared" si="15"/>
        <v>0</v>
      </c>
      <c r="AD89" s="32">
        <f t="shared" si="15"/>
        <v>0</v>
      </c>
      <c r="AE89" s="32">
        <f t="shared" si="15"/>
        <v>0</v>
      </c>
      <c r="AF89" s="32">
        <f t="shared" si="15"/>
        <v>0</v>
      </c>
      <c r="AG89" s="32">
        <f t="shared" si="15"/>
        <v>0</v>
      </c>
      <c r="AH89" s="32">
        <f t="shared" si="15"/>
        <v>0</v>
      </c>
      <c r="AI89" s="32">
        <f t="shared" si="15"/>
        <v>0</v>
      </c>
      <c r="AJ89" s="32">
        <f t="shared" si="15"/>
        <v>0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11758886</v>
      </c>
    </row>
    <row r="90" spans="1:84" x14ac:dyDescent="0.35">
      <c r="A90" s="39" t="s">
        <v>275</v>
      </c>
      <c r="B90" s="32"/>
      <c r="C90" s="24"/>
      <c r="D90" s="24"/>
      <c r="E90" s="24"/>
      <c r="F90" s="24"/>
      <c r="G90" s="24"/>
      <c r="H90" s="24">
        <v>15156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64" t="s">
        <v>233</v>
      </c>
      <c r="CE90" s="32">
        <f t="shared" si="14"/>
        <v>15156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>
        <v>11805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11805</v>
      </c>
      <c r="CF91" s="32">
        <f>AY59-CE91</f>
        <v>-11805</v>
      </c>
    </row>
    <row r="92" spans="1:84" x14ac:dyDescent="0.35">
      <c r="A92" s="26" t="s">
        <v>277</v>
      </c>
      <c r="B92" s="20"/>
      <c r="C92" s="24"/>
      <c r="D92" s="24"/>
      <c r="E92" s="24"/>
      <c r="F92" s="24"/>
      <c r="G92" s="24"/>
      <c r="H92" s="24">
        <v>3644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3644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>
        <v>12606.44</v>
      </c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12606.44</v>
      </c>
      <c r="CF93" s="32">
        <f>BA59</f>
        <v>0</v>
      </c>
    </row>
    <row r="94" spans="1:84" x14ac:dyDescent="0.35">
      <c r="A94" s="26" t="s">
        <v>279</v>
      </c>
      <c r="B94" s="20"/>
      <c r="C94" s="315"/>
      <c r="D94" s="315"/>
      <c r="E94" s="315"/>
      <c r="F94" s="315"/>
      <c r="G94" s="315"/>
      <c r="H94" s="315">
        <v>12.078365384615385</v>
      </c>
      <c r="I94" s="315"/>
      <c r="J94" s="315"/>
      <c r="K94" s="315"/>
      <c r="L94" s="315"/>
      <c r="M94" s="315"/>
      <c r="N94" s="315"/>
      <c r="O94" s="315"/>
      <c r="P94" s="316"/>
      <c r="Q94" s="316"/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12.078365384615385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1373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/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1374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/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/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1376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5" t="s">
        <v>1375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498</v>
      </c>
      <c r="D127" s="50">
        <v>3935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34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34</v>
      </c>
    </row>
    <row r="144" spans="1:5" x14ac:dyDescent="0.35">
      <c r="A144" s="20" t="s">
        <v>325</v>
      </c>
      <c r="B144" s="46" t="s">
        <v>284</v>
      </c>
      <c r="C144" s="47">
        <v>34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198</v>
      </c>
      <c r="C154" s="50">
        <v>222</v>
      </c>
      <c r="D154" s="50">
        <v>78</v>
      </c>
      <c r="E154" s="32">
        <f>SUM(B154:D154)</f>
        <v>498</v>
      </c>
    </row>
    <row r="155" spans="1:6" x14ac:dyDescent="0.35">
      <c r="A155" s="20" t="s">
        <v>227</v>
      </c>
      <c r="B155" s="50">
        <v>1238</v>
      </c>
      <c r="C155" s="50">
        <v>1798</v>
      </c>
      <c r="D155" s="50">
        <v>899</v>
      </c>
      <c r="E155" s="32">
        <f>SUM(B155:D155)</f>
        <v>3935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3469200</v>
      </c>
      <c r="C157" s="50">
        <v>5026000</v>
      </c>
      <c r="D157" s="50">
        <v>3263686</v>
      </c>
      <c r="E157" s="32">
        <f>SUM(B157:D157)</f>
        <v>11758886</v>
      </c>
      <c r="F157" s="18"/>
    </row>
    <row r="158" spans="1:6" x14ac:dyDescent="0.35">
      <c r="A158" s="20" t="s">
        <v>273</v>
      </c>
      <c r="B158" s="50"/>
      <c r="C158" s="50"/>
      <c r="D158" s="50"/>
      <c r="E158" s="32">
        <f>SUM(B158:D158)</f>
        <v>0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170524.03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17832.55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69699.67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136409.32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35392.69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-49945.35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379912.91000000003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500034.42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3012.1699999999837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503046.58999999997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43987.88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15945.099999999999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59932.979999999996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50347.23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125989.17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176336.4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/>
      <c r="D204" s="20"/>
      <c r="E204" s="20"/>
    </row>
    <row r="205" spans="1:5" x14ac:dyDescent="0.35">
      <c r="A205" s="20" t="s">
        <v>359</v>
      </c>
      <c r="B205" s="46" t="s">
        <v>284</v>
      </c>
      <c r="C205" s="47"/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/>
      <c r="C211" s="47"/>
      <c r="D211" s="50"/>
      <c r="E211" s="32">
        <f t="shared" ref="E211:E219" si="16">SUM(B211:C211)-D211</f>
        <v>0</v>
      </c>
    </row>
    <row r="212" spans="1:5" x14ac:dyDescent="0.35">
      <c r="A212" s="20" t="s">
        <v>367</v>
      </c>
      <c r="B212" s="50"/>
      <c r="C212" s="47"/>
      <c r="D212" s="50"/>
      <c r="E212" s="32">
        <f t="shared" si="16"/>
        <v>0</v>
      </c>
    </row>
    <row r="213" spans="1:5" x14ac:dyDescent="0.35">
      <c r="A213" s="20" t="s">
        <v>368</v>
      </c>
      <c r="B213" s="50"/>
      <c r="C213" s="47"/>
      <c r="D213" s="50"/>
      <c r="E213" s="32">
        <f t="shared" si="16"/>
        <v>0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/>
      <c r="C215" s="47"/>
      <c r="D215" s="50"/>
      <c r="E215" s="32">
        <f t="shared" si="16"/>
        <v>0</v>
      </c>
    </row>
    <row r="216" spans="1:5" x14ac:dyDescent="0.35">
      <c r="A216" s="20" t="s">
        <v>371</v>
      </c>
      <c r="B216" s="50">
        <v>573264.47</v>
      </c>
      <c r="C216" s="47">
        <v>77727.48</v>
      </c>
      <c r="D216" s="50">
        <v>0</v>
      </c>
      <c r="E216" s="32">
        <f t="shared" si="16"/>
        <v>650991.94999999995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3226501.56</v>
      </c>
      <c r="C218" s="47">
        <v>54930.37</v>
      </c>
      <c r="D218" s="50">
        <v>0</v>
      </c>
      <c r="E218" s="32">
        <f t="shared" si="16"/>
        <v>3281431.93</v>
      </c>
    </row>
    <row r="219" spans="1:5" x14ac:dyDescent="0.35">
      <c r="A219" s="20" t="s">
        <v>374</v>
      </c>
      <c r="B219" s="50">
        <v>7216.72</v>
      </c>
      <c r="C219" s="47"/>
      <c r="D219" s="50">
        <v>7216.72</v>
      </c>
      <c r="E219" s="32">
        <f t="shared" si="16"/>
        <v>0</v>
      </c>
    </row>
    <row r="220" spans="1:5" x14ac:dyDescent="0.35">
      <c r="A220" s="20" t="s">
        <v>215</v>
      </c>
      <c r="B220" s="32">
        <f>SUM(B211:B219)</f>
        <v>3806982.7500000005</v>
      </c>
      <c r="C220" s="266">
        <f>SUM(C211:C219)</f>
        <v>132657.85</v>
      </c>
      <c r="D220" s="32">
        <f>SUM(D211:D219)</f>
        <v>7216.72</v>
      </c>
      <c r="E220" s="32">
        <f>SUM(E211:E219)</f>
        <v>3932423.88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/>
      <c r="C225" s="47"/>
      <c r="D225" s="50"/>
      <c r="E225" s="32">
        <f t="shared" ref="E225:E232" si="17">SUM(B225:C225)-D225</f>
        <v>0</v>
      </c>
    </row>
    <row r="226" spans="1:5" x14ac:dyDescent="0.35">
      <c r="A226" s="20" t="s">
        <v>368</v>
      </c>
      <c r="B226" s="50"/>
      <c r="C226" s="47"/>
      <c r="D226" s="50"/>
      <c r="E226" s="32">
        <f t="shared" si="17"/>
        <v>0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/>
      <c r="C228" s="47"/>
      <c r="D228" s="50"/>
      <c r="E228" s="32">
        <f t="shared" si="17"/>
        <v>0</v>
      </c>
    </row>
    <row r="229" spans="1:5" x14ac:dyDescent="0.35">
      <c r="A229" s="20" t="s">
        <v>371</v>
      </c>
      <c r="B229" s="50">
        <v>492575.09</v>
      </c>
      <c r="C229" s="47">
        <v>29729.25</v>
      </c>
      <c r="D229" s="50">
        <v>0</v>
      </c>
      <c r="E229" s="32">
        <f t="shared" si="17"/>
        <v>522304.34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>
        <v>1915084.76</v>
      </c>
      <c r="C231" s="47">
        <v>321220.34000000003</v>
      </c>
      <c r="D231" s="50"/>
      <c r="E231" s="32">
        <f t="shared" si="17"/>
        <v>2236305.1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2407659.85</v>
      </c>
      <c r="C233" s="266">
        <f>SUM(C224:C232)</f>
        <v>350949.59</v>
      </c>
      <c r="D233" s="32">
        <f>SUM(D224:D232)</f>
        <v>0</v>
      </c>
      <c r="E233" s="32">
        <f>SUM(E224:E232)</f>
        <v>2758609.44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6" t="s">
        <v>377</v>
      </c>
      <c r="C236" s="346"/>
      <c r="D236" s="38"/>
      <c r="E236" s="38"/>
    </row>
    <row r="237" spans="1:5" x14ac:dyDescent="0.35">
      <c r="A237" s="56" t="s">
        <v>377</v>
      </c>
      <c r="B237" s="38"/>
      <c r="C237" s="47">
        <v>118494.68</v>
      </c>
      <c r="D237" s="40">
        <f>C237</f>
        <v>118494.68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1631197.94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3801249.2199999997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/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155222.62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1225672.92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/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6813342.7000000002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/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98989.7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0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98989.7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>
        <v>67091.42</v>
      </c>
      <c r="D254" s="20"/>
      <c r="E254" s="20"/>
    </row>
    <row r="255" spans="1:5" x14ac:dyDescent="0.35">
      <c r="A255" s="20" t="s">
        <v>391</v>
      </c>
      <c r="B255" s="46" t="s">
        <v>284</v>
      </c>
      <c r="C255" s="47">
        <v>753595.96000000008</v>
      </c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820687.38000000012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7851514.46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-21972.23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1946752.5099999993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539585.23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44816.25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/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95488.06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64651.150000000009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1590150.5099999993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/>
      <c r="D283" s="20"/>
      <c r="E283" s="20"/>
    </row>
    <row r="284" spans="1:5" x14ac:dyDescent="0.35">
      <c r="A284" s="20" t="s">
        <v>367</v>
      </c>
      <c r="B284" s="46" t="s">
        <v>284</v>
      </c>
      <c r="C284" s="47"/>
      <c r="D284" s="20"/>
      <c r="E284" s="20"/>
    </row>
    <row r="285" spans="1:5" x14ac:dyDescent="0.35">
      <c r="A285" s="20" t="s">
        <v>368</v>
      </c>
      <c r="B285" s="46" t="s">
        <v>284</v>
      </c>
      <c r="C285" s="47"/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/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650991.94999999995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3281431.93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0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3932423.88</v>
      </c>
      <c r="E291" s="20"/>
    </row>
    <row r="292" spans="1:5" x14ac:dyDescent="0.35">
      <c r="A292" s="20" t="s">
        <v>416</v>
      </c>
      <c r="B292" s="46" t="s">
        <v>284</v>
      </c>
      <c r="C292" s="47">
        <v>2758609.44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1173814.44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/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2763964.9499999993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33518.060000000012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/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>
        <v>9622.2199999999993</v>
      </c>
      <c r="D321" s="20"/>
      <c r="E321" s="20"/>
    </row>
    <row r="322" spans="1:5" x14ac:dyDescent="0.35">
      <c r="A322" s="20" t="s">
        <v>440</v>
      </c>
      <c r="B322" s="46" t="s">
        <v>284</v>
      </c>
      <c r="C322" s="47"/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43140.280000000013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3377868.7300000004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3377868.7300000004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3377868.7300000004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/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v>-657044.06000000006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2763964.95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2763964.9499999993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11758886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/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11758886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118494.68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6813342.7000000002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98989.7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>
        <v>820687.38000000012</v>
      </c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7851514.46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3907371.54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/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0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0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3907371.54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2244793.9800000004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379912.91000000003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985988.22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168630.26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2356.5300000000002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483818.71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350949.59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503046.58999999997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59932.979999999996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176336.4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/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715650.83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715650.83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6071417.0000000009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-2164045.4600000009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-2164045.4600000009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-2164045.4600000009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15156</v>
      </c>
      <c r="E612" s="258">
        <f>SUM(C624:D647)+SUM(C668:D713)</f>
        <v>3574139.14</v>
      </c>
      <c r="F612" s="258">
        <f>CE64-(AX64+BD64+BE64+BG64+BJ64+BN64+BP64+BQ64+CB64+CC64+CD64)</f>
        <v>167467.91</v>
      </c>
      <c r="G612" s="256">
        <f>CE91-(AX91+AY91+BD91+BE91+BG91+BJ91+BN91+BP91+BQ91+CB91+CC91+CD91)</f>
        <v>11805</v>
      </c>
      <c r="H612" s="261">
        <f>CE60-(AX60+AY60+AZ60+BD60+BE60+BG60+BJ60+BN60+BO60+BP60+BQ60+BR60+CB60+CC60+CD60)</f>
        <v>21.186538461538461</v>
      </c>
      <c r="I612" s="256">
        <f>CE92-(AX92+AY92+AZ92+BD92+BE92+BF92+BG92+BJ92+BN92+BO92+BP92+BQ92+BR92+CB92+CC92+CD92)</f>
        <v>3644</v>
      </c>
      <c r="J612" s="256">
        <f>CE93-(AX93+AY93+AZ93+BA93+BD93+BE93+BF93+BG93+BJ93+BN93+BO93+BP93+BQ93+BR93+CB93+CC93+CD93)</f>
        <v>12606.44</v>
      </c>
      <c r="K612" s="256">
        <f>CE89-(AW89+AX89+AY89+AZ89+BA89+BB89+BC89+BD89+BE89+BF89+BG89+BH89+BI89+BJ89+BK89+BL89+BM89+BN89+BO89+BP89+BQ89+BR89+BS89+BT89+BU89+BV89+BW89+BX89+CB89+CC89+CD89)</f>
        <v>11758886</v>
      </c>
      <c r="L612" s="262">
        <f>CE94-(AW94+AX94+AY94+AZ94+BA94+BB94+BC94+BD94+BE94+BF94+BG94+BH94+BI94+BJ94+BK94+BL94+BM94+BN94+BO94+BP94+BQ94+BR94+BS94+BT94+BU94+BV94+BW94+BX94+BY94+BZ94+CA94+CB94+CC94+CD94)</f>
        <v>12.078365384615385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100967.22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100967.22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69427.7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575061.99</v>
      </c>
      <c r="D619" s="256">
        <f>(D615/D612)*BN90</f>
        <v>0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1852788.58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2497278.27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0</v>
      </c>
      <c r="D624" s="256">
        <f>(D615/D612)*BD90</f>
        <v>0</v>
      </c>
      <c r="E624" s="258">
        <f>(E623/E612)*SUM(C624:D624)</f>
        <v>0</v>
      </c>
      <c r="F624" s="258">
        <f>SUM(C624:E624)</f>
        <v>0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306494.34000000003</v>
      </c>
      <c r="D625" s="256">
        <f>(D615/D612)*AY90</f>
        <v>0</v>
      </c>
      <c r="E625" s="258">
        <f>(E623/E612)*SUM(C625:D625)</f>
        <v>214149.93238343595</v>
      </c>
      <c r="F625" s="258">
        <f>(F624/F612)*AY64</f>
        <v>0</v>
      </c>
      <c r="G625" s="256">
        <f>SUM(C625:F625)</f>
        <v>520644.27238343598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42783.070000000007</v>
      </c>
      <c r="D626" s="256">
        <f>(D615/D612)*BR90</f>
        <v>0</v>
      </c>
      <c r="E626" s="258">
        <f>(E623/E612)*SUM(C626:D626)</f>
        <v>29892.857230759328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72675.927230759335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117597.54</v>
      </c>
      <c r="D629" s="256">
        <f>(D615/D612)*BF90</f>
        <v>0</v>
      </c>
      <c r="E629" s="258">
        <f>(E623/E612)*SUM(C629:D629)</f>
        <v>82166.297881580453</v>
      </c>
      <c r="F629" s="258">
        <f>(F624/F612)*BF64</f>
        <v>0</v>
      </c>
      <c r="G629" s="256">
        <f>(G625/G612)*BF91</f>
        <v>0</v>
      </c>
      <c r="H629" s="258">
        <f>(H628/H612)*BF60</f>
        <v>6009.6005906527871</v>
      </c>
      <c r="I629" s="256">
        <f>SUM(C629:H629)</f>
        <v>205773.43847223325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15631.98</v>
      </c>
      <c r="D630" s="256">
        <f>(D615/D612)*BA90</f>
        <v>0</v>
      </c>
      <c r="E630" s="258">
        <f>(E623/E612)*SUM(C630:D630)</f>
        <v>10922.183620158279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0</v>
      </c>
      <c r="J630" s="256">
        <f>SUM(C630:I630)</f>
        <v>26554.163620158281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19617.05</v>
      </c>
      <c r="D633" s="256">
        <f>(D615/D612)*BC90</f>
        <v>0</v>
      </c>
      <c r="E633" s="258">
        <f>(E623/E612)*SUM(C633:D633)</f>
        <v>13706.582415396257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130639.70000000001</v>
      </c>
      <c r="D634" s="256">
        <f>(D615/D612)*BI90</f>
        <v>0</v>
      </c>
      <c r="E634" s="258">
        <f>(E623/E612)*SUM(C634:D634)</f>
        <v>91278.954520309766</v>
      </c>
      <c r="F634" s="258">
        <f>(F624/F612)*BI64</f>
        <v>0</v>
      </c>
      <c r="G634" s="256">
        <f>(G625/G612)*BI91</f>
        <v>0</v>
      </c>
      <c r="H634" s="258">
        <f>(H628/H612)*BI60</f>
        <v>4053.676797976002</v>
      </c>
      <c r="I634" s="256">
        <f>(I629/I612)*BI92</f>
        <v>0</v>
      </c>
      <c r="J634" s="256">
        <f>(J630/J612)*BI93</f>
        <v>0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54875.220000000008</v>
      </c>
      <c r="D635" s="256">
        <f>(D615/D612)*BK90</f>
        <v>0</v>
      </c>
      <c r="E635" s="258">
        <f>(E623/E612)*SUM(C635:D635)</f>
        <v>38341.73463864348</v>
      </c>
      <c r="F635" s="258">
        <f>(F624/F612)*BK64</f>
        <v>0</v>
      </c>
      <c r="G635" s="256">
        <f>(G625/G612)*BK91</f>
        <v>0</v>
      </c>
      <c r="H635" s="258">
        <f>(H628/H612)*BK60</f>
        <v>2613.945372169228</v>
      </c>
      <c r="I635" s="256">
        <f>(I629/I612)*BK92</f>
        <v>0</v>
      </c>
      <c r="J635" s="256">
        <f>(J630/J612)*BK93</f>
        <v>0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67579.62</v>
      </c>
      <c r="D637" s="256">
        <f>(D615/D612)*BL90</f>
        <v>0</v>
      </c>
      <c r="E637" s="258">
        <f>(E623/E612)*SUM(C637:D637)</f>
        <v>47218.395789946051</v>
      </c>
      <c r="F637" s="258">
        <f>(F624/F612)*BL64</f>
        <v>0</v>
      </c>
      <c r="G637" s="256">
        <f>(G625/G612)*BL91</f>
        <v>0</v>
      </c>
      <c r="H637" s="258">
        <f>(H628/H612)*BL60</f>
        <v>2851.426844467253</v>
      </c>
      <c r="I637" s="256">
        <f>(I629/I612)*BL92</f>
        <v>0</v>
      </c>
      <c r="J637" s="256">
        <f>(J630/J612)*BL93</f>
        <v>0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>
        <f>(G625/G612)*BT91</f>
        <v>0</v>
      </c>
      <c r="H640" s="258">
        <f>(H628/H612)*BT60</f>
        <v>0</v>
      </c>
      <c r="I640" s="256">
        <f>(I629/I612)*BT92</f>
        <v>0</v>
      </c>
      <c r="J640" s="256">
        <f>(J630/J612)*BT93</f>
        <v>0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33672.079999999994</v>
      </c>
      <c r="D642" s="256">
        <f>(D615/D612)*BV90</f>
        <v>0</v>
      </c>
      <c r="E642" s="258">
        <f>(E623/E612)*SUM(C642:D642)</f>
        <v>23526.939046279433</v>
      </c>
      <c r="F642" s="258">
        <f>(F624/F612)*BV64</f>
        <v>0</v>
      </c>
      <c r="G642" s="256">
        <f>(G625/G612)*BV91</f>
        <v>0</v>
      </c>
      <c r="H642" s="258">
        <f>(H628/H612)*BV60</f>
        <v>1553.5246312829104</v>
      </c>
      <c r="I642" s="256">
        <f>(I629/I612)*BV92</f>
        <v>0</v>
      </c>
      <c r="J642" s="256">
        <f>(J630/J612)*BV93</f>
        <v>0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4411</v>
      </c>
      <c r="D643" s="256">
        <f>(D615/D612)*BW90</f>
        <v>0</v>
      </c>
      <c r="E643" s="258">
        <f>(E623/E612)*SUM(C643:D643)</f>
        <v>3081.9993339626953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11562.38</v>
      </c>
      <c r="D644" s="256">
        <f>(D615/D612)*BX90</f>
        <v>0</v>
      </c>
      <c r="E644" s="258">
        <f>(E623/E612)*SUM(C644:D644)</f>
        <v>8078.7230693773718</v>
      </c>
      <c r="F644" s="258">
        <f>(F624/F612)*BX64</f>
        <v>0</v>
      </c>
      <c r="G644" s="256">
        <f>(G625/G612)*BX91</f>
        <v>0</v>
      </c>
      <c r="H644" s="258">
        <f>(H628/H612)*BX60</f>
        <v>318.29113995499119</v>
      </c>
      <c r="I644" s="256">
        <f>(I629/I612)*BX92</f>
        <v>0</v>
      </c>
      <c r="J644" s="256">
        <f>(J630/J612)*BX93</f>
        <v>0</v>
      </c>
      <c r="K644" s="258">
        <f>SUM(C631:J644)</f>
        <v>558981.24359976535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0</v>
      </c>
      <c r="D645" s="256">
        <f>(D615/D612)*BY90</f>
        <v>0</v>
      </c>
      <c r="E645" s="258">
        <f>(E623/E612)*SUM(C645:D645)</f>
        <v>0</v>
      </c>
      <c r="F645" s="258">
        <f>(F624/F612)*BY64</f>
        <v>0</v>
      </c>
      <c r="G645" s="256">
        <f>(G625/G612)*BY91</f>
        <v>0</v>
      </c>
      <c r="H645" s="258">
        <f>(H628/H612)*BY60</f>
        <v>0</v>
      </c>
      <c r="I645" s="256">
        <f>(I629/I612)*BY92</f>
        <v>0</v>
      </c>
      <c r="J645" s="256">
        <f>(J630/J612)*BY93</f>
        <v>0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>
        <f>(G625/G612)*BZ91</f>
        <v>0</v>
      </c>
      <c r="H646" s="258">
        <f>(H628/H612)*BZ60</f>
        <v>0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>
        <f>(G625/G612)*CA91</f>
        <v>0</v>
      </c>
      <c r="H647" s="258">
        <f>(H628/H612)*CA60</f>
        <v>0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0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3403109.47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>
        <f>(G625/G612)*C91</f>
        <v>0</v>
      </c>
      <c r="H668" s="258">
        <f>(H628/H612)*C60</f>
        <v>0</v>
      </c>
      <c r="I668" s="256">
        <f>(I629/I612)*C92</f>
        <v>0</v>
      </c>
      <c r="J668" s="256">
        <f>(J630/J612)*C93</f>
        <v>0</v>
      </c>
      <c r="K668" s="256">
        <f>(K644/K612)*C89</f>
        <v>0</v>
      </c>
      <c r="L668" s="256">
        <f>(L647/L612)*C94</f>
        <v>0</v>
      </c>
      <c r="M668" s="231">
        <f t="shared" ref="M668:M713" si="18">ROUND(SUM(D668:L668),0)</f>
        <v>0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0</v>
      </c>
      <c r="D670" s="256">
        <f>(D615/D612)*E90</f>
        <v>0</v>
      </c>
      <c r="E670" s="258">
        <f>(E623/E612)*SUM(C670:D670)</f>
        <v>0</v>
      </c>
      <c r="F670" s="258">
        <f>(F624/F612)*E64</f>
        <v>0</v>
      </c>
      <c r="G670" s="256">
        <f>(G625/G612)*E91</f>
        <v>0</v>
      </c>
      <c r="H670" s="258">
        <f>(H628/H612)*E60</f>
        <v>0</v>
      </c>
      <c r="I670" s="256">
        <f>(I629/I612)*E92</f>
        <v>0</v>
      </c>
      <c r="J670" s="256">
        <f>(J630/J612)*E93</f>
        <v>0</v>
      </c>
      <c r="K670" s="256">
        <f>(K644/K612)*E89</f>
        <v>0</v>
      </c>
      <c r="L670" s="256">
        <f>(L647/L612)*E94</f>
        <v>0</v>
      </c>
      <c r="M670" s="231">
        <f t="shared" si="18"/>
        <v>0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2136814.89</v>
      </c>
      <c r="D673" s="256">
        <f>(D615/D612)*H90</f>
        <v>100967.22</v>
      </c>
      <c r="E673" s="258">
        <f>(E623/E612)*SUM(C673:D673)</f>
        <v>1563555.4233900784</v>
      </c>
      <c r="F673" s="258">
        <f>(F624/F612)*H64</f>
        <v>0</v>
      </c>
      <c r="G673" s="256">
        <f>(G625/G612)*H91</f>
        <v>520644.27238343598</v>
      </c>
      <c r="H673" s="258">
        <f>(H628/H612)*H60</f>
        <v>43721.32855620089</v>
      </c>
      <c r="I673" s="256">
        <f>(I629/I612)*H92</f>
        <v>205773.43847223325</v>
      </c>
      <c r="J673" s="256">
        <f>(J630/J612)*H93</f>
        <v>26554.163620158277</v>
      </c>
      <c r="K673" s="256">
        <f>(K644/K612)*H89</f>
        <v>558981.24359976535</v>
      </c>
      <c r="L673" s="256">
        <f>(L647/L612)*H94</f>
        <v>0</v>
      </c>
      <c r="M673" s="231">
        <f t="shared" si="18"/>
        <v>3020197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>
        <f>(G625/G612)*O91</f>
        <v>0</v>
      </c>
      <c r="H680" s="258">
        <f>(H628/H612)*O60</f>
        <v>0</v>
      </c>
      <c r="I680" s="256">
        <f>(I629/I612)*O92</f>
        <v>0</v>
      </c>
      <c r="J680" s="256">
        <f>(J630/J612)*O93</f>
        <v>0</v>
      </c>
      <c r="K680" s="256">
        <f>(K644/K612)*O89</f>
        <v>0</v>
      </c>
      <c r="L680" s="256">
        <f>(L647/L612)*O94</f>
        <v>0</v>
      </c>
      <c r="M680" s="231">
        <f t="shared" si="18"/>
        <v>0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0</v>
      </c>
      <c r="D681" s="256">
        <f>(D615/D612)*P90</f>
        <v>0</v>
      </c>
      <c r="E681" s="258">
        <f>(E623/E612)*SUM(C681:D681)</f>
        <v>0</v>
      </c>
      <c r="F681" s="258">
        <f>(F624/F612)*P64</f>
        <v>0</v>
      </c>
      <c r="G681" s="256">
        <f>(G625/G612)*P91</f>
        <v>0</v>
      </c>
      <c r="H681" s="258">
        <f>(H628/H612)*P60</f>
        <v>0</v>
      </c>
      <c r="I681" s="256">
        <f>(I629/I612)*P92</f>
        <v>0</v>
      </c>
      <c r="J681" s="256">
        <f>(J630/J612)*P93</f>
        <v>0</v>
      </c>
      <c r="K681" s="256">
        <f>(K644/K612)*P89</f>
        <v>0</v>
      </c>
      <c r="L681" s="256">
        <f>(L647/L612)*P94</f>
        <v>0</v>
      </c>
      <c r="M681" s="231">
        <f t="shared" si="18"/>
        <v>0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>
        <f>(G625/G612)*Q91</f>
        <v>0</v>
      </c>
      <c r="H682" s="258">
        <f>(H628/H612)*Q60</f>
        <v>0</v>
      </c>
      <c r="I682" s="256">
        <f>(I629/I612)*Q92</f>
        <v>0</v>
      </c>
      <c r="J682" s="256">
        <f>(J630/J612)*Q93</f>
        <v>0</v>
      </c>
      <c r="K682" s="256">
        <f>(K644/K612)*Q89</f>
        <v>0</v>
      </c>
      <c r="L682" s="256">
        <f>(L647/L612)*Q94</f>
        <v>0</v>
      </c>
      <c r="M682" s="231">
        <f t="shared" si="18"/>
        <v>0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0</v>
      </c>
      <c r="L683" s="256">
        <f>(L647/L612)*R94</f>
        <v>0</v>
      </c>
      <c r="M683" s="231">
        <f t="shared" si="18"/>
        <v>0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0</v>
      </c>
      <c r="D684" s="256">
        <f>(D615/D612)*S90</f>
        <v>0</v>
      </c>
      <c r="E684" s="258">
        <f>(E623/E612)*SUM(C684:D684)</f>
        <v>0</v>
      </c>
      <c r="F684" s="258">
        <f>(F624/F612)*S64</f>
        <v>0</v>
      </c>
      <c r="G684" s="256">
        <f>(G625/G612)*S91</f>
        <v>0</v>
      </c>
      <c r="H684" s="258">
        <f>(H628/H612)*S60</f>
        <v>0</v>
      </c>
      <c r="I684" s="256">
        <f>(I629/I612)*S92</f>
        <v>0</v>
      </c>
      <c r="J684" s="256">
        <f>(J630/J612)*S93</f>
        <v>0</v>
      </c>
      <c r="K684" s="256">
        <f>(K644/K612)*S89</f>
        <v>0</v>
      </c>
      <c r="L684" s="256">
        <f>(L647/L612)*S94</f>
        <v>0</v>
      </c>
      <c r="M684" s="231">
        <f t="shared" si="18"/>
        <v>0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>
        <f>(G625/G612)*T91</f>
        <v>0</v>
      </c>
      <c r="H685" s="258">
        <f>(H628/H612)*T60</f>
        <v>0</v>
      </c>
      <c r="I685" s="256">
        <f>(I629/I612)*T92</f>
        <v>0</v>
      </c>
      <c r="J685" s="256">
        <f>(J630/J612)*T93</f>
        <v>0</v>
      </c>
      <c r="K685" s="256">
        <f>(K644/K612)*T89</f>
        <v>0</v>
      </c>
      <c r="L685" s="256">
        <f>(L647/L612)*T94</f>
        <v>0</v>
      </c>
      <c r="M685" s="231">
        <f t="shared" si="18"/>
        <v>0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30056</v>
      </c>
      <c r="D686" s="256">
        <f>(D615/D612)*U90</f>
        <v>0</v>
      </c>
      <c r="E686" s="258">
        <f>(E623/E612)*SUM(C686:D686)</f>
        <v>21000.356377597545</v>
      </c>
      <c r="F686" s="258">
        <f>(F624/F612)*U64</f>
        <v>0</v>
      </c>
      <c r="G686" s="256">
        <f>(G625/G612)*U91</f>
        <v>0</v>
      </c>
      <c r="H686" s="258">
        <f>(H628/H612)*U60</f>
        <v>0</v>
      </c>
      <c r="I686" s="256">
        <f>(I629/I612)*U92</f>
        <v>0</v>
      </c>
      <c r="J686" s="256">
        <f>(J630/J612)*U93</f>
        <v>0</v>
      </c>
      <c r="K686" s="256">
        <f>(K644/K612)*U89</f>
        <v>0</v>
      </c>
      <c r="L686" s="256">
        <f>(L647/L612)*U94</f>
        <v>0</v>
      </c>
      <c r="M686" s="231">
        <f t="shared" si="18"/>
        <v>21000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>
        <f>(G625/G612)*V91</f>
        <v>0</v>
      </c>
      <c r="H687" s="258">
        <f>(H628/H612)*V60</f>
        <v>0</v>
      </c>
      <c r="I687" s="256">
        <f>(I629/I612)*V92</f>
        <v>0</v>
      </c>
      <c r="J687" s="256">
        <f>(J630/J612)*V93</f>
        <v>0</v>
      </c>
      <c r="K687" s="256">
        <f>(K644/K612)*V89</f>
        <v>0</v>
      </c>
      <c r="L687" s="256">
        <f>(L647/L612)*V94</f>
        <v>0</v>
      </c>
      <c r="M687" s="231">
        <f t="shared" si="18"/>
        <v>0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>
        <f>(G625/G612)*W91</f>
        <v>0</v>
      </c>
      <c r="H688" s="258">
        <f>(H628/H612)*W60</f>
        <v>0</v>
      </c>
      <c r="I688" s="256">
        <f>(I629/I612)*W92</f>
        <v>0</v>
      </c>
      <c r="J688" s="256">
        <f>(J630/J612)*W93</f>
        <v>0</v>
      </c>
      <c r="K688" s="256">
        <f>(K644/K612)*W89</f>
        <v>0</v>
      </c>
      <c r="L688" s="256">
        <f>(L647/L612)*W94</f>
        <v>0</v>
      </c>
      <c r="M688" s="231">
        <f t="shared" si="18"/>
        <v>0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>
        <f>(G625/G612)*X91</f>
        <v>0</v>
      </c>
      <c r="H689" s="258">
        <f>(H628/H612)*X60</f>
        <v>0</v>
      </c>
      <c r="I689" s="256">
        <f>(I629/I612)*X92</f>
        <v>0</v>
      </c>
      <c r="J689" s="256">
        <f>(J630/J612)*X93</f>
        <v>0</v>
      </c>
      <c r="K689" s="256">
        <f>(K644/K612)*X89</f>
        <v>0</v>
      </c>
      <c r="L689" s="256">
        <f>(L647/L612)*X94</f>
        <v>0</v>
      </c>
      <c r="M689" s="231">
        <f t="shared" si="18"/>
        <v>0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16269.49</v>
      </c>
      <c r="D690" s="256">
        <f>(D615/D612)*Y90</f>
        <v>0</v>
      </c>
      <c r="E690" s="258">
        <f>(E623/E612)*SUM(C690:D690)</f>
        <v>11367.616718184705</v>
      </c>
      <c r="F690" s="258">
        <f>(F624/F612)*Y64</f>
        <v>0</v>
      </c>
      <c r="G690" s="256">
        <f>(G625/G612)*Y91</f>
        <v>0</v>
      </c>
      <c r="H690" s="258">
        <f>(H628/H612)*Y60</f>
        <v>0</v>
      </c>
      <c r="I690" s="256">
        <f>(I629/I612)*Y92</f>
        <v>0</v>
      </c>
      <c r="J690" s="256">
        <f>(J630/J612)*Y93</f>
        <v>0</v>
      </c>
      <c r="K690" s="256">
        <f>(K644/K612)*Y89</f>
        <v>0</v>
      </c>
      <c r="L690" s="256">
        <f>(L647/L612)*Y94</f>
        <v>0</v>
      </c>
      <c r="M690" s="231">
        <f t="shared" si="18"/>
        <v>11368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>
        <f>(G625/G612)*AA91</f>
        <v>0</v>
      </c>
      <c r="H692" s="258">
        <f>(H628/H612)*AA60</f>
        <v>0</v>
      </c>
      <c r="I692" s="256">
        <f>(I629/I612)*AA92</f>
        <v>0</v>
      </c>
      <c r="J692" s="256">
        <f>(J630/J612)*AA93</f>
        <v>0</v>
      </c>
      <c r="K692" s="256">
        <f>(K644/K612)*AA89</f>
        <v>0</v>
      </c>
      <c r="L692" s="256">
        <f>(L647/L612)*AA94</f>
        <v>0</v>
      </c>
      <c r="M692" s="231">
        <f t="shared" si="18"/>
        <v>0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218397.76</v>
      </c>
      <c r="D693" s="256">
        <f>(D615/D612)*AB90</f>
        <v>0</v>
      </c>
      <c r="E693" s="258">
        <f>(E623/E612)*SUM(C693:D693)</f>
        <v>152596.18019926199</v>
      </c>
      <c r="F693" s="258">
        <f>(F624/F612)*AB64</f>
        <v>0</v>
      </c>
      <c r="G693" s="256">
        <f>(G625/G612)*AB91</f>
        <v>0</v>
      </c>
      <c r="H693" s="258">
        <f>(H628/H612)*AB60</f>
        <v>2491.9062822382989</v>
      </c>
      <c r="I693" s="256">
        <f>(I629/I612)*AB92</f>
        <v>0</v>
      </c>
      <c r="J693" s="256">
        <f>(J630/J612)*AB93</f>
        <v>0</v>
      </c>
      <c r="K693" s="256">
        <f>(K644/K612)*AB89</f>
        <v>0</v>
      </c>
      <c r="L693" s="256">
        <f>(L647/L612)*AB94</f>
        <v>0</v>
      </c>
      <c r="M693" s="231">
        <f t="shared" si="18"/>
        <v>155088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0</v>
      </c>
      <c r="D694" s="256">
        <f>(D615/D612)*AC90</f>
        <v>0</v>
      </c>
      <c r="E694" s="258">
        <f>(E623/E612)*SUM(C694:D694)</f>
        <v>0</v>
      </c>
      <c r="F694" s="258">
        <f>(F624/F612)*AC64</f>
        <v>0</v>
      </c>
      <c r="G694" s="256">
        <f>(G625/G612)*AC91</f>
        <v>0</v>
      </c>
      <c r="H694" s="258">
        <f>(H628/H612)*AC60</f>
        <v>0</v>
      </c>
      <c r="I694" s="256">
        <f>(I629/I612)*AC92</f>
        <v>0</v>
      </c>
      <c r="J694" s="256">
        <f>(J630/J612)*AC93</f>
        <v>0</v>
      </c>
      <c r="K694" s="256">
        <f>(K644/K612)*AC89</f>
        <v>0</v>
      </c>
      <c r="L694" s="256">
        <f>(L647/L612)*AC94</f>
        <v>0</v>
      </c>
      <c r="M694" s="231">
        <f t="shared" si="18"/>
        <v>0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0</v>
      </c>
      <c r="L695" s="256">
        <f>(L647/L612)*AD94</f>
        <v>0</v>
      </c>
      <c r="M695" s="231">
        <f t="shared" si="18"/>
        <v>0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0</v>
      </c>
      <c r="D696" s="256">
        <f>(D615/D612)*AE90</f>
        <v>0</v>
      </c>
      <c r="E696" s="258">
        <f>(E623/E612)*SUM(C696:D696)</f>
        <v>0</v>
      </c>
      <c r="F696" s="258">
        <f>(F624/F612)*AE64</f>
        <v>0</v>
      </c>
      <c r="G696" s="256">
        <f>(G625/G612)*AE91</f>
        <v>0</v>
      </c>
      <c r="H696" s="258">
        <f>(H628/H612)*AE60</f>
        <v>0</v>
      </c>
      <c r="I696" s="256">
        <f>(I629/I612)*AE92</f>
        <v>0</v>
      </c>
      <c r="J696" s="256">
        <f>(J630/J612)*AE93</f>
        <v>0</v>
      </c>
      <c r="K696" s="256">
        <f>(K644/K612)*AE89</f>
        <v>0</v>
      </c>
      <c r="L696" s="256">
        <f>(L647/L612)*AE94</f>
        <v>0</v>
      </c>
      <c r="M696" s="231">
        <f t="shared" si="18"/>
        <v>0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22047.360000000001</v>
      </c>
      <c r="D698" s="256">
        <f>(D615/D612)*AG90</f>
        <v>0</v>
      </c>
      <c r="E698" s="258">
        <f>(E623/E612)*SUM(C698:D698)</f>
        <v>15404.658543558326</v>
      </c>
      <c r="F698" s="258">
        <f>(F624/F612)*AG64</f>
        <v>0</v>
      </c>
      <c r="G698" s="256">
        <f>(G625/G612)*AG91</f>
        <v>0</v>
      </c>
      <c r="H698" s="258">
        <f>(H628/H612)*AG60</f>
        <v>0</v>
      </c>
      <c r="I698" s="256">
        <f>(I629/I612)*AG92</f>
        <v>0</v>
      </c>
      <c r="J698" s="256">
        <f>(J630/J612)*AG93</f>
        <v>0</v>
      </c>
      <c r="K698" s="256">
        <f>(K644/K612)*AG89</f>
        <v>0</v>
      </c>
      <c r="L698" s="256">
        <f>(L647/L612)*AG94</f>
        <v>0</v>
      </c>
      <c r="M698" s="231">
        <f t="shared" si="18"/>
        <v>15405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0</v>
      </c>
      <c r="D701" s="256">
        <f>(D615/D612)*AJ90</f>
        <v>0</v>
      </c>
      <c r="E701" s="258">
        <f>(E623/E612)*SUM(C701:D701)</f>
        <v>0</v>
      </c>
      <c r="F701" s="258">
        <f>(F624/F612)*AJ64</f>
        <v>0</v>
      </c>
      <c r="G701" s="256">
        <f>(G625/G612)*AJ91</f>
        <v>0</v>
      </c>
      <c r="H701" s="258">
        <f>(H628/H612)*AJ60</f>
        <v>0</v>
      </c>
      <c r="I701" s="256">
        <f>(I629/I612)*AJ92</f>
        <v>0</v>
      </c>
      <c r="J701" s="256">
        <f>(J630/J612)*AJ93</f>
        <v>0</v>
      </c>
      <c r="K701" s="256">
        <f>(K644/K612)*AJ89</f>
        <v>0</v>
      </c>
      <c r="L701" s="256">
        <f>(L647/L612)*AJ94</f>
        <v>0</v>
      </c>
      <c r="M701" s="231">
        <f t="shared" si="18"/>
        <v>0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35459.78</v>
      </c>
      <c r="D704" s="256">
        <f>(D615/D612)*AM90</f>
        <v>0</v>
      </c>
      <c r="E704" s="258">
        <f>(E623/E612)*SUM(C704:D704)</f>
        <v>24776.018667527478</v>
      </c>
      <c r="F704" s="258">
        <f>(F624/F612)*AM64</f>
        <v>0</v>
      </c>
      <c r="G704" s="256">
        <f>(G625/G612)*AM91</f>
        <v>0</v>
      </c>
      <c r="H704" s="258">
        <f>(H628/H612)*AM60</f>
        <v>1119.791108960824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25896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209262.66</v>
      </c>
      <c r="D713" s="256">
        <f>(D615/D612)*AV90</f>
        <v>0</v>
      </c>
      <c r="E713" s="258">
        <f>(E623/E612)*SUM(C713:D713)</f>
        <v>146213.41617394285</v>
      </c>
      <c r="F713" s="258">
        <f>(F624/F612)*AV64</f>
        <v>0</v>
      </c>
      <c r="G713" s="256">
        <f>(G625/G612)*AV91</f>
        <v>0</v>
      </c>
      <c r="H713" s="258">
        <f>(H628/H612)*AV60</f>
        <v>7942.4359068561544</v>
      </c>
      <c r="I713" s="256">
        <f>(I629/I612)*AV92</f>
        <v>0</v>
      </c>
      <c r="J713" s="256">
        <f>(J630/J612)*AV93</f>
        <v>0</v>
      </c>
      <c r="K713" s="256">
        <f>(K644/K612)*AV89</f>
        <v>0</v>
      </c>
      <c r="L713" s="256">
        <f>(L647/L612)*AV94</f>
        <v>0</v>
      </c>
      <c r="M713" s="231">
        <f t="shared" si="18"/>
        <v>154156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6071417.4100000001</v>
      </c>
      <c r="D715" s="231">
        <f>SUM(D616:D647)+SUM(D668:D713)</f>
        <v>100967.22</v>
      </c>
      <c r="E715" s="231">
        <f>SUM(E624:E647)+SUM(E668:E713)</f>
        <v>2497278.27</v>
      </c>
      <c r="F715" s="231">
        <f>SUM(F625:F648)+SUM(F668:F713)</f>
        <v>0</v>
      </c>
      <c r="G715" s="231">
        <f>SUM(G626:G647)+SUM(G668:G713)</f>
        <v>520644.27238343598</v>
      </c>
      <c r="H715" s="231">
        <f>SUM(H629:H647)+SUM(H668:H713)</f>
        <v>72675.927230759335</v>
      </c>
      <c r="I715" s="231">
        <f>SUM(I630:I647)+SUM(I668:I713)</f>
        <v>205773.43847223325</v>
      </c>
      <c r="J715" s="231">
        <f>SUM(J631:J647)+SUM(J668:J713)</f>
        <v>26554.163620158277</v>
      </c>
      <c r="K715" s="231">
        <f>SUM(K668:K713)</f>
        <v>558981.24359976535</v>
      </c>
      <c r="L715" s="231">
        <f>SUM(L668:L713)</f>
        <v>0</v>
      </c>
      <c r="M715" s="231">
        <f>SUM(M668:M713)</f>
        <v>3403110</v>
      </c>
      <c r="N715" s="250" t="s">
        <v>669</v>
      </c>
    </row>
    <row r="716" spans="1:14" s="231" customFormat="1" ht="12.65" customHeight="1" x14ac:dyDescent="0.3">
      <c r="C716" s="253">
        <f>CE85</f>
        <v>6071417.4100000001</v>
      </c>
      <c r="D716" s="231">
        <f>D615</f>
        <v>100967.22</v>
      </c>
      <c r="E716" s="231">
        <f>E623</f>
        <v>2497278.27</v>
      </c>
      <c r="F716" s="231">
        <f>F624</f>
        <v>0</v>
      </c>
      <c r="G716" s="231">
        <f>G625</f>
        <v>520644.27238343598</v>
      </c>
      <c r="H716" s="231">
        <f>H628</f>
        <v>72675.927230759335</v>
      </c>
      <c r="I716" s="231">
        <f>I629</f>
        <v>205773.43847223325</v>
      </c>
      <c r="J716" s="231">
        <f>J630</f>
        <v>26554.163620158281</v>
      </c>
      <c r="K716" s="231">
        <f>K644</f>
        <v>558981.24359976535</v>
      </c>
      <c r="L716" s="231">
        <f>L647</f>
        <v>0</v>
      </c>
      <c r="M716" s="231">
        <f>C648</f>
        <v>3403109.47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F70ABF94-351D-4287-B333-BBC512E4A8B9}"/>
  </hyperlinks>
  <printOptions horizontalCentered="1" gridLines="1" gridLinesSet="0"/>
  <pageMargins left="0.25" right="0.25" top="0.5" bottom="0.5" header="0.5" footer="0.5"/>
  <pageSetup scale="90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workbookViewId="0"/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BHC Fairfax Behavioral Health - Monroe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-21972.23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1946752.5099999993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539585.23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44816.25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95488.06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64651.150000000009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1590150.5099999993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0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0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650991.94999999995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3281431.93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0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2758609.44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1173814.44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2763964.9499999993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BHC Fairfax Behavioral Health - Monroe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33518.060000000012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0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9622.2199999999993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43140.280000000013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3377868.7300000004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3377868.7300000004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3377868.7300000004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-657044.06000000006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-657044.06000000006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2763964.9499999993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BHC Fairfax Behavioral Health - Monroe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11758886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0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11758886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118494.68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6813342.7000000002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98989.7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820687.38000000012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7851514.46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3907371.54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0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0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3907371.54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2244793.9800000004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379912.91000000003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985988.22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168630.26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2356.5300000000002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483818.71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350949.59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503046.58999999997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59932.979999999996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176336.4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715650.83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6071417.0000000009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-2164045.4600000009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-2164045.4600000009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-2164045.4600000009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workbookViewId="0"/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BHC Fairfax Behavioral Health - Monroe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0</v>
      </c>
      <c r="F9" s="287">
        <f>data!F59</f>
        <v>0</v>
      </c>
      <c r="G9" s="287">
        <f>data!G59</f>
        <v>0</v>
      </c>
      <c r="H9" s="287">
        <f>data!H59</f>
        <v>3935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0</v>
      </c>
      <c r="F10" s="294">
        <f>data!F60</f>
        <v>0</v>
      </c>
      <c r="G10" s="294">
        <f>data!G60</f>
        <v>0</v>
      </c>
      <c r="H10" s="294">
        <f>data!H60</f>
        <v>12.745673076923078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0</v>
      </c>
      <c r="F11" s="287">
        <f>data!F61</f>
        <v>0</v>
      </c>
      <c r="G11" s="287">
        <f>data!G61</f>
        <v>0</v>
      </c>
      <c r="H11" s="287">
        <f>data!H61</f>
        <v>1512440.68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0</v>
      </c>
      <c r="F12" s="287">
        <f>data!F62</f>
        <v>0</v>
      </c>
      <c r="G12" s="287">
        <f>data!G62</f>
        <v>0</v>
      </c>
      <c r="H12" s="287">
        <f>data!H62</f>
        <v>255968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0</v>
      </c>
      <c r="F14" s="287">
        <f>data!F64</f>
        <v>0</v>
      </c>
      <c r="G14" s="287">
        <f>data!G64</f>
        <v>0</v>
      </c>
      <c r="H14" s="287">
        <f>data!H64</f>
        <v>3014.12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0</v>
      </c>
      <c r="F16" s="287">
        <f>data!F66</f>
        <v>0</v>
      </c>
      <c r="G16" s="287">
        <f>data!G66</f>
        <v>0</v>
      </c>
      <c r="H16" s="287">
        <f>data!H66</f>
        <v>13958.4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0</v>
      </c>
      <c r="F17" s="287">
        <f>data!F67</f>
        <v>0</v>
      </c>
      <c r="G17" s="287">
        <f>data!G67</f>
        <v>0</v>
      </c>
      <c r="H17" s="287">
        <f>data!H67</f>
        <v>350950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0</v>
      </c>
      <c r="F19" s="287">
        <f>data!F69</f>
        <v>0</v>
      </c>
      <c r="G19" s="287">
        <f>data!G69</f>
        <v>0</v>
      </c>
      <c r="H19" s="287">
        <f>data!H69</f>
        <v>483.69000000000233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0</v>
      </c>
      <c r="D21" s="287">
        <f>data!D85</f>
        <v>0</v>
      </c>
      <c r="E21" s="287">
        <f>data!E85</f>
        <v>0</v>
      </c>
      <c r="F21" s="287">
        <f>data!F85</f>
        <v>0</v>
      </c>
      <c r="G21" s="287">
        <f>data!G85</f>
        <v>0</v>
      </c>
      <c r="H21" s="287">
        <f>data!H85</f>
        <v>2136814.89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>
        <f>+data!M668</f>
        <v>0</v>
      </c>
      <c r="D23" s="295">
        <f>+data!M669</f>
        <v>0</v>
      </c>
      <c r="E23" s="295">
        <f>+data!M670</f>
        <v>0</v>
      </c>
      <c r="F23" s="295">
        <f>+data!M671</f>
        <v>0</v>
      </c>
      <c r="G23" s="295">
        <f>+data!M672</f>
        <v>0</v>
      </c>
      <c r="H23" s="295">
        <f>+data!M673</f>
        <v>3020197</v>
      </c>
      <c r="I23" s="295">
        <f>+data!M674</f>
        <v>0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0</v>
      </c>
      <c r="F24" s="287">
        <f>data!F87</f>
        <v>0</v>
      </c>
      <c r="G24" s="287">
        <f>data!G87</f>
        <v>0</v>
      </c>
      <c r="H24" s="287">
        <f>data!H87</f>
        <v>11758886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0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0</v>
      </c>
      <c r="F26" s="287">
        <f>data!F89</f>
        <v>0</v>
      </c>
      <c r="G26" s="287">
        <f>data!G89</f>
        <v>0</v>
      </c>
      <c r="H26" s="287">
        <f>data!H89</f>
        <v>11758886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0</v>
      </c>
      <c r="F28" s="287">
        <f>data!F90</f>
        <v>0</v>
      </c>
      <c r="G28" s="287">
        <f>data!G90</f>
        <v>0</v>
      </c>
      <c r="H28" s="287">
        <f>data!H90</f>
        <v>15156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11805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0</v>
      </c>
      <c r="F30" s="287">
        <f>data!F92</f>
        <v>0</v>
      </c>
      <c r="G30" s="287">
        <f>data!G92</f>
        <v>0</v>
      </c>
      <c r="H30" s="287">
        <f>data!H92</f>
        <v>3644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12606.44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0</v>
      </c>
      <c r="F32" s="294">
        <f>data!F94</f>
        <v>0</v>
      </c>
      <c r="G32" s="294">
        <f>data!G94</f>
        <v>0</v>
      </c>
      <c r="H32" s="294">
        <f>data!H94</f>
        <v>12.078365384615385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BHC Fairfax Behavioral Health - Monroe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0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0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0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0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0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0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0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0</v>
      </c>
      <c r="I55" s="295">
        <f>+data!M681</f>
        <v>0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0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0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0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0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0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BHC Fairfax Behavioral Health - Monroe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0</v>
      </c>
      <c r="F74" s="294">
        <f>data!T60</f>
        <v>0</v>
      </c>
      <c r="G74" s="294">
        <f>data!U60</f>
        <v>0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0</v>
      </c>
      <c r="E75" s="287">
        <f>data!S61</f>
        <v>0</v>
      </c>
      <c r="F75" s="287">
        <f>data!T61</f>
        <v>0</v>
      </c>
      <c r="G75" s="287">
        <f>data!U61</f>
        <v>0</v>
      </c>
      <c r="H75" s="287">
        <f>data!V61</f>
        <v>0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0</v>
      </c>
      <c r="F76" s="287">
        <f>data!T62</f>
        <v>0</v>
      </c>
      <c r="G76" s="287">
        <f>data!U62</f>
        <v>0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0</v>
      </c>
      <c r="E78" s="287">
        <f>data!S64</f>
        <v>0</v>
      </c>
      <c r="F78" s="287">
        <f>data!T64</f>
        <v>0</v>
      </c>
      <c r="G78" s="287">
        <f>data!U64</f>
        <v>0</v>
      </c>
      <c r="H78" s="287">
        <f>data!V64</f>
        <v>0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0</v>
      </c>
      <c r="F80" s="287">
        <f>data!T66</f>
        <v>0</v>
      </c>
      <c r="G80" s="287">
        <f>data!U66</f>
        <v>30056</v>
      </c>
      <c r="H80" s="287">
        <f>data!V66</f>
        <v>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0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0</v>
      </c>
      <c r="E83" s="287">
        <f>data!S69</f>
        <v>0</v>
      </c>
      <c r="F83" s="287">
        <f>data!T69</f>
        <v>0</v>
      </c>
      <c r="G83" s="287">
        <f>data!U69</f>
        <v>0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0</v>
      </c>
      <c r="E85" s="287">
        <f>data!S85</f>
        <v>0</v>
      </c>
      <c r="F85" s="287">
        <f>data!T85</f>
        <v>0</v>
      </c>
      <c r="G85" s="287">
        <f>data!U85</f>
        <v>30056</v>
      </c>
      <c r="H85" s="287">
        <f>data!V85</f>
        <v>0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>
        <f>+data!M682</f>
        <v>0</v>
      </c>
      <c r="D87" s="295">
        <f>+data!M683</f>
        <v>0</v>
      </c>
      <c r="E87" s="295">
        <f>+data!M684</f>
        <v>0</v>
      </c>
      <c r="F87" s="295">
        <f>+data!M685</f>
        <v>0</v>
      </c>
      <c r="G87" s="295">
        <f>+data!M686</f>
        <v>21000</v>
      </c>
      <c r="H87" s="295">
        <f>+data!M687</f>
        <v>0</v>
      </c>
      <c r="I87" s="295">
        <f>+data!M688</f>
        <v>0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0</v>
      </c>
      <c r="E88" s="287">
        <f>data!S87</f>
        <v>0</v>
      </c>
      <c r="F88" s="287">
        <f>data!T87</f>
        <v>0</v>
      </c>
      <c r="G88" s="287">
        <f>data!U87</f>
        <v>0</v>
      </c>
      <c r="H88" s="287">
        <f>data!V87</f>
        <v>0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0</v>
      </c>
      <c r="E89" s="287">
        <f>data!S88</f>
        <v>0</v>
      </c>
      <c r="F89" s="287">
        <f>data!T88</f>
        <v>0</v>
      </c>
      <c r="G89" s="287">
        <f>data!U88</f>
        <v>0</v>
      </c>
      <c r="H89" s="287">
        <f>data!V88</f>
        <v>0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0</v>
      </c>
      <c r="E90" s="287">
        <f>data!S89</f>
        <v>0</v>
      </c>
      <c r="F90" s="287">
        <f>data!T89</f>
        <v>0</v>
      </c>
      <c r="G90" s="287">
        <f>data!U89</f>
        <v>0</v>
      </c>
      <c r="H90" s="287">
        <f>data!V89</f>
        <v>0</v>
      </c>
      <c r="I90" s="287">
        <f>data!W89</f>
        <v>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0</v>
      </c>
      <c r="E92" s="287">
        <f>data!S90</f>
        <v>0</v>
      </c>
      <c r="F92" s="287">
        <f>data!T90</f>
        <v>0</v>
      </c>
      <c r="G92" s="287">
        <f>data!U90</f>
        <v>0</v>
      </c>
      <c r="H92" s="287">
        <f>data!V90</f>
        <v>0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BHC Fairfax Behavioral Health - Monroe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0</v>
      </c>
      <c r="E106" s="294">
        <f>data!Z60</f>
        <v>0</v>
      </c>
      <c r="F106" s="294">
        <f>data!AA60</f>
        <v>0</v>
      </c>
      <c r="G106" s="294">
        <f>data!AB60</f>
        <v>0.72644230769230766</v>
      </c>
      <c r="H106" s="294">
        <f>data!AC60</f>
        <v>0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0</v>
      </c>
      <c r="E107" s="287">
        <f>data!Z61</f>
        <v>0</v>
      </c>
      <c r="F107" s="287">
        <f>data!AA61</f>
        <v>0</v>
      </c>
      <c r="G107" s="287">
        <f>data!AB61</f>
        <v>116731.78</v>
      </c>
      <c r="H107" s="287">
        <f>data!AC61</f>
        <v>0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0</v>
      </c>
      <c r="E108" s="287">
        <f>data!Z62</f>
        <v>0</v>
      </c>
      <c r="F108" s="287">
        <f>data!AA62</f>
        <v>0</v>
      </c>
      <c r="G108" s="287">
        <f>data!AB62</f>
        <v>19756</v>
      </c>
      <c r="H108" s="287">
        <f>data!AC62</f>
        <v>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0</v>
      </c>
      <c r="E110" s="287">
        <f>data!Z64</f>
        <v>0</v>
      </c>
      <c r="F110" s="287">
        <f>data!AA64</f>
        <v>0</v>
      </c>
      <c r="G110" s="287">
        <f>data!AB64</f>
        <v>65307.289999999994</v>
      </c>
      <c r="H110" s="287">
        <f>data!AC64</f>
        <v>0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16269.49</v>
      </c>
      <c r="E112" s="287">
        <f>data!Z66</f>
        <v>0</v>
      </c>
      <c r="F112" s="287">
        <f>data!AA66</f>
        <v>0</v>
      </c>
      <c r="G112" s="287">
        <f>data!AB66</f>
        <v>12858.09</v>
      </c>
      <c r="H112" s="287">
        <f>data!AC66</f>
        <v>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0</v>
      </c>
      <c r="E113" s="287">
        <f>data!Z67</f>
        <v>0</v>
      </c>
      <c r="F113" s="287">
        <f>data!AA67</f>
        <v>0</v>
      </c>
      <c r="G113" s="287">
        <f>data!AB67</f>
        <v>0</v>
      </c>
      <c r="H113" s="287">
        <f>data!AC67</f>
        <v>0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0</v>
      </c>
      <c r="E115" s="287">
        <f>data!Z69</f>
        <v>0</v>
      </c>
      <c r="F115" s="287">
        <f>data!AA69</f>
        <v>0</v>
      </c>
      <c r="G115" s="287">
        <f>data!AB69</f>
        <v>3744.6000000000058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0</v>
      </c>
      <c r="D117" s="287">
        <f>data!Y85</f>
        <v>16269.49</v>
      </c>
      <c r="E117" s="287">
        <f>data!Z85</f>
        <v>0</v>
      </c>
      <c r="F117" s="287">
        <f>data!AA85</f>
        <v>0</v>
      </c>
      <c r="G117" s="287">
        <f>data!AB85</f>
        <v>218397.76</v>
      </c>
      <c r="H117" s="287">
        <f>data!AC85</f>
        <v>0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>
        <f>+data!M689</f>
        <v>0</v>
      </c>
      <c r="D119" s="295">
        <f>+data!M690</f>
        <v>11368</v>
      </c>
      <c r="E119" s="295">
        <f>+data!M691</f>
        <v>0</v>
      </c>
      <c r="F119" s="295">
        <f>+data!M692</f>
        <v>0</v>
      </c>
      <c r="G119" s="295">
        <f>+data!M693</f>
        <v>155088</v>
      </c>
      <c r="H119" s="295">
        <f>+data!M694</f>
        <v>0</v>
      </c>
      <c r="I119" s="295">
        <f>+data!M695</f>
        <v>0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0</v>
      </c>
      <c r="D120" s="287">
        <f>data!Y87</f>
        <v>0</v>
      </c>
      <c r="E120" s="287">
        <f>data!Z87</f>
        <v>0</v>
      </c>
      <c r="F120" s="287">
        <f>data!AA87</f>
        <v>0</v>
      </c>
      <c r="G120" s="287">
        <f>data!AB87</f>
        <v>0</v>
      </c>
      <c r="H120" s="287">
        <f>data!AC87</f>
        <v>0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0</v>
      </c>
      <c r="D121" s="287">
        <f>data!Y88</f>
        <v>0</v>
      </c>
      <c r="E121" s="287">
        <f>data!Z88</f>
        <v>0</v>
      </c>
      <c r="F121" s="287">
        <f>data!AA88</f>
        <v>0</v>
      </c>
      <c r="G121" s="287">
        <f>data!AB88</f>
        <v>0</v>
      </c>
      <c r="H121" s="287">
        <f>data!AC88</f>
        <v>0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0</v>
      </c>
      <c r="D122" s="287">
        <f>data!Y89</f>
        <v>0</v>
      </c>
      <c r="E122" s="287">
        <f>data!Z89</f>
        <v>0</v>
      </c>
      <c r="F122" s="287">
        <f>data!AA89</f>
        <v>0</v>
      </c>
      <c r="G122" s="287">
        <f>data!AB89</f>
        <v>0</v>
      </c>
      <c r="H122" s="287">
        <f>data!AC89</f>
        <v>0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0</v>
      </c>
      <c r="E124" s="287">
        <f>data!Z90</f>
        <v>0</v>
      </c>
      <c r="F124" s="287">
        <f>data!AA90</f>
        <v>0</v>
      </c>
      <c r="G124" s="287">
        <f>data!AB90</f>
        <v>0</v>
      </c>
      <c r="H124" s="287">
        <f>data!AC90</f>
        <v>0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0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BHC Fairfax Behavioral Health - Monroe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0</v>
      </c>
      <c r="D138" s="294">
        <f>data!AF60</f>
        <v>0</v>
      </c>
      <c r="E138" s="294">
        <f>data!AG60</f>
        <v>0</v>
      </c>
      <c r="F138" s="294">
        <f>data!AH60</f>
        <v>0</v>
      </c>
      <c r="G138" s="294">
        <f>data!AI60</f>
        <v>0</v>
      </c>
      <c r="H138" s="294">
        <f>data!AJ60</f>
        <v>0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0</v>
      </c>
      <c r="D139" s="287">
        <f>data!AF61</f>
        <v>0</v>
      </c>
      <c r="E139" s="287">
        <f>data!AG61</f>
        <v>0</v>
      </c>
      <c r="F139" s="287">
        <f>data!AH61</f>
        <v>0</v>
      </c>
      <c r="G139" s="287">
        <f>data!AI61</f>
        <v>0</v>
      </c>
      <c r="H139" s="287">
        <f>data!AJ61</f>
        <v>0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0</v>
      </c>
      <c r="F140" s="287">
        <f>data!AH62</f>
        <v>0</v>
      </c>
      <c r="G140" s="287">
        <f>data!AI62</f>
        <v>0</v>
      </c>
      <c r="H140" s="287">
        <f>data!AJ62</f>
        <v>0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0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0</v>
      </c>
      <c r="D142" s="287">
        <f>data!AF64</f>
        <v>0</v>
      </c>
      <c r="E142" s="287">
        <f>data!AG64</f>
        <v>0</v>
      </c>
      <c r="F142" s="287">
        <f>data!AH64</f>
        <v>0</v>
      </c>
      <c r="G142" s="287">
        <f>data!AI64</f>
        <v>0</v>
      </c>
      <c r="H142" s="287">
        <f>data!AJ64</f>
        <v>0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22047.360000000001</v>
      </c>
      <c r="F144" s="287">
        <f>data!AH66</f>
        <v>0</v>
      </c>
      <c r="G144" s="287">
        <f>data!AI66</f>
        <v>0</v>
      </c>
      <c r="H144" s="287">
        <f>data!AJ66</f>
        <v>0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0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0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0</v>
      </c>
      <c r="D149" s="287">
        <f>data!AF85</f>
        <v>0</v>
      </c>
      <c r="E149" s="287">
        <f>data!AG85</f>
        <v>22047.360000000001</v>
      </c>
      <c r="F149" s="287">
        <f>data!AH85</f>
        <v>0</v>
      </c>
      <c r="G149" s="287">
        <f>data!AI85</f>
        <v>0</v>
      </c>
      <c r="H149" s="287">
        <f>data!AJ85</f>
        <v>0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>
        <f>+data!M696</f>
        <v>0</v>
      </c>
      <c r="D151" s="295">
        <f>+data!M697</f>
        <v>0</v>
      </c>
      <c r="E151" s="295">
        <f>+data!M698</f>
        <v>15405</v>
      </c>
      <c r="F151" s="295">
        <f>+data!M699</f>
        <v>0</v>
      </c>
      <c r="G151" s="295">
        <f>+data!M700</f>
        <v>0</v>
      </c>
      <c r="H151" s="295">
        <f>+data!M701</f>
        <v>0</v>
      </c>
      <c r="I151" s="295">
        <f>+data!M702</f>
        <v>0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0</v>
      </c>
      <c r="D152" s="287">
        <f>data!AF87</f>
        <v>0</v>
      </c>
      <c r="E152" s="287">
        <f>data!AG87</f>
        <v>0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0</v>
      </c>
      <c r="D153" s="287">
        <f>data!AF88</f>
        <v>0</v>
      </c>
      <c r="E153" s="287">
        <f>data!AG88</f>
        <v>0</v>
      </c>
      <c r="F153" s="287">
        <f>data!AH88</f>
        <v>0</v>
      </c>
      <c r="G153" s="287">
        <f>data!AI88</f>
        <v>0</v>
      </c>
      <c r="H153" s="287">
        <f>data!AJ88</f>
        <v>0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0</v>
      </c>
      <c r="D154" s="287">
        <f>data!AF89</f>
        <v>0</v>
      </c>
      <c r="E154" s="287">
        <f>data!AG89</f>
        <v>0</v>
      </c>
      <c r="F154" s="287">
        <f>data!AH89</f>
        <v>0</v>
      </c>
      <c r="G154" s="287">
        <f>data!AI89</f>
        <v>0</v>
      </c>
      <c r="H154" s="287">
        <f>data!AJ89</f>
        <v>0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0</v>
      </c>
      <c r="D156" s="287">
        <f>data!AF90</f>
        <v>0</v>
      </c>
      <c r="E156" s="287">
        <f>data!AG90</f>
        <v>0</v>
      </c>
      <c r="F156" s="287">
        <f>data!AH90</f>
        <v>0</v>
      </c>
      <c r="G156" s="287">
        <f>data!AI90</f>
        <v>0</v>
      </c>
      <c r="H156" s="287">
        <f>data!AJ90</f>
        <v>0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0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0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BHC Fairfax Behavioral Health - Monroe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0.3264423076923077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28354.21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4799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1806.57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500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35459.78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>
        <f>+data!M703</f>
        <v>0</v>
      </c>
      <c r="D183" s="295">
        <f>+data!M704</f>
        <v>25896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BHC Fairfax Behavioral Health - Monroe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2.3153846153846156</v>
      </c>
      <c r="G202" s="294">
        <f>data!AW60</f>
        <v>0</v>
      </c>
      <c r="H202" s="294">
        <f>data!AX60</f>
        <v>0</v>
      </c>
      <c r="I202" s="294">
        <f>data!AY60</f>
        <v>0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178972.66</v>
      </c>
      <c r="G203" s="287">
        <f>data!AW61</f>
        <v>0</v>
      </c>
      <c r="H203" s="287">
        <f>data!AX61</f>
        <v>0</v>
      </c>
      <c r="I203" s="287">
        <f>data!AY61</f>
        <v>0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30290</v>
      </c>
      <c r="G204" s="287">
        <f>data!AW62</f>
        <v>0</v>
      </c>
      <c r="H204" s="287">
        <f>data!AX62</f>
        <v>0</v>
      </c>
      <c r="I204" s="287">
        <f>data!AY62</f>
        <v>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70662.740000000005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235831.6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0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0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209262.66</v>
      </c>
      <c r="G213" s="287">
        <f>data!AW85</f>
        <v>0</v>
      </c>
      <c r="H213" s="287">
        <f>data!AX85</f>
        <v>0</v>
      </c>
      <c r="I213" s="287">
        <f>data!AY85</f>
        <v>306494.34000000003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154156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BHC Fairfax Behavioral Health - Monroe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15156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0.40817307692307692</v>
      </c>
      <c r="I234" s="294">
        <f>data!BF60</f>
        <v>1.7519230769230769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26494.75</v>
      </c>
      <c r="I235" s="287">
        <f>data!BF61</f>
        <v>25293.84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4484</v>
      </c>
      <c r="I236" s="287">
        <f>data!BF62</f>
        <v>4281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0</v>
      </c>
      <c r="H238" s="287">
        <f>data!BE64</f>
        <v>1162.3499999999999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2356.5300000000002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15631.98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909.11</v>
      </c>
      <c r="I240" s="287">
        <f>data!BF66</f>
        <v>88022.7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0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3012.17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19617.05</v>
      </c>
      <c r="G243" s="287">
        <f>data!BD69</f>
        <v>0</v>
      </c>
      <c r="H243" s="287">
        <f>data!BE69</f>
        <v>62548.310000000012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15631.98</v>
      </c>
      <c r="E245" s="287">
        <f>data!BB85</f>
        <v>0</v>
      </c>
      <c r="F245" s="287">
        <f>data!BC85</f>
        <v>19617.05</v>
      </c>
      <c r="G245" s="287">
        <f>data!BD85</f>
        <v>0</v>
      </c>
      <c r="H245" s="287">
        <f>data!BE85</f>
        <v>100967.22</v>
      </c>
      <c r="I245" s="287">
        <f>data!BF85</f>
        <v>117597.54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0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BHC Fairfax Behavioral Health - Monroe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1.1817307692307693</v>
      </c>
      <c r="F266" s="294">
        <f>data!BJ60</f>
        <v>0.60480769230769227</v>
      </c>
      <c r="G266" s="294">
        <f>data!BK60</f>
        <v>0.76201923076923073</v>
      </c>
      <c r="H266" s="294">
        <f>data!BL60</f>
        <v>0.83125000000000004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76720.11</v>
      </c>
      <c r="F267" s="287">
        <f>data!BJ61</f>
        <v>59219.02</v>
      </c>
      <c r="G267" s="287">
        <f>data!BK61</f>
        <v>42392.030000000006</v>
      </c>
      <c r="H267" s="287">
        <f>data!BL61</f>
        <v>57797.62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12984</v>
      </c>
      <c r="F268" s="287">
        <f>data!BJ62</f>
        <v>10022</v>
      </c>
      <c r="G268" s="287">
        <f>data!BK62</f>
        <v>7175</v>
      </c>
      <c r="H268" s="287">
        <f>data!BL62</f>
        <v>9782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25782.3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5494.71</v>
      </c>
      <c r="F272" s="287">
        <f>data!BJ66</f>
        <v>0</v>
      </c>
      <c r="G272" s="287">
        <f>data!BK66</f>
        <v>2238.33</v>
      </c>
      <c r="H272" s="287">
        <f>data!BL66</f>
        <v>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9658.5799999999945</v>
      </c>
      <c r="F275" s="287">
        <f>data!BJ69</f>
        <v>186.68000000000757</v>
      </c>
      <c r="G275" s="287">
        <f>data!BK69</f>
        <v>3069.8600000000006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0</v>
      </c>
      <c r="E277" s="287">
        <f>data!BI85</f>
        <v>130639.70000000001</v>
      </c>
      <c r="F277" s="287">
        <f>data!BJ85</f>
        <v>69427.7</v>
      </c>
      <c r="G277" s="287">
        <f>data!BK85</f>
        <v>54875.220000000008</v>
      </c>
      <c r="H277" s="287">
        <f>data!BL85</f>
        <v>67579.62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BHC Fairfax Behavioral Health - Monroe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0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0.45384615384615384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17315.97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35475.800000000003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2931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6004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0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21274.85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0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500034.42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33505.750000000058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1303.2700000000041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575061.99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42783.070000000007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0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BHC Fairfax Behavioral Health - Monroe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0.45288461538461539</v>
      </c>
      <c r="E330" s="294">
        <f>data!BW60</f>
        <v>0</v>
      </c>
      <c r="F330" s="294">
        <f>data!BX60</f>
        <v>9.2788461538461542E-2</v>
      </c>
      <c r="G330" s="294">
        <f>data!BY60</f>
        <v>0</v>
      </c>
      <c r="H330" s="294">
        <f>data!BZ60</f>
        <v>0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23705.770000000004</v>
      </c>
      <c r="E331" s="306">
        <f>data!BW61</f>
        <v>0</v>
      </c>
      <c r="F331" s="306">
        <f>data!BX61</f>
        <v>9888.3799999999992</v>
      </c>
      <c r="G331" s="306">
        <f>data!BY61</f>
        <v>0</v>
      </c>
      <c r="H331" s="306">
        <f>data!BZ61</f>
        <v>0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4012</v>
      </c>
      <c r="E332" s="306">
        <f>data!BW62</f>
        <v>0</v>
      </c>
      <c r="F332" s="306">
        <f>data!BX62</f>
        <v>1674</v>
      </c>
      <c r="G332" s="306">
        <f>data!BY62</f>
        <v>0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4411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894.89</v>
      </c>
      <c r="E334" s="306">
        <f>data!BW64</f>
        <v>0</v>
      </c>
      <c r="F334" s="306">
        <f>data!BX64</f>
        <v>0</v>
      </c>
      <c r="G334" s="306">
        <f>data!BY64</f>
        <v>0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5059.419999999991</v>
      </c>
      <c r="E339" s="306">
        <f>data!BW69</f>
        <v>0</v>
      </c>
      <c r="F339" s="306">
        <f>data!BX69</f>
        <v>0</v>
      </c>
      <c r="G339" s="306">
        <f>data!BY69</f>
        <v>0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33672.079999999994</v>
      </c>
      <c r="E341" s="287">
        <f>data!BW85</f>
        <v>4411</v>
      </c>
      <c r="F341" s="287">
        <f>data!BX85</f>
        <v>11562.38</v>
      </c>
      <c r="G341" s="287">
        <f>data!BY85</f>
        <v>0</v>
      </c>
      <c r="H341" s="287">
        <f>data!BZ85</f>
        <v>0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BHC Fairfax Behavioral Health - Monroe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0.3403846153846154</v>
      </c>
      <c r="E362" s="309"/>
      <c r="F362" s="297"/>
      <c r="G362" s="297"/>
      <c r="H362" s="297"/>
      <c r="I362" s="310">
        <f>data!CE60</f>
        <v>22.993749999999999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33991.360000000001</v>
      </c>
      <c r="E363" s="311"/>
      <c r="F363" s="311"/>
      <c r="G363" s="311"/>
      <c r="H363" s="311"/>
      <c r="I363" s="306">
        <f>data!CE61</f>
        <v>2244793.98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5753</v>
      </c>
      <c r="E364" s="311"/>
      <c r="F364" s="311"/>
      <c r="G364" s="311"/>
      <c r="H364" s="311"/>
      <c r="I364" s="306">
        <f>data!CE62</f>
        <v>379915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981577.22</v>
      </c>
      <c r="E365" s="311"/>
      <c r="F365" s="311"/>
      <c r="G365" s="311"/>
      <c r="H365" s="311"/>
      <c r="I365" s="306">
        <f>data!CE63</f>
        <v>985988.22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0</v>
      </c>
      <c r="E366" s="311"/>
      <c r="F366" s="311"/>
      <c r="G366" s="311"/>
      <c r="H366" s="311"/>
      <c r="I366" s="306">
        <f>data!CE64</f>
        <v>168630.26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2356.5300000000002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18726</v>
      </c>
      <c r="E368" s="311"/>
      <c r="F368" s="311"/>
      <c r="G368" s="311"/>
      <c r="H368" s="311"/>
      <c r="I368" s="306">
        <f>data!CE66</f>
        <v>483818.62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350950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503046.58999999997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812741</v>
      </c>
      <c r="E371" s="306">
        <f>data!CD69</f>
        <v>0</v>
      </c>
      <c r="F371" s="311"/>
      <c r="G371" s="311"/>
      <c r="H371" s="311"/>
      <c r="I371" s="306">
        <f>data!CE69</f>
        <v>951918.21000000008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0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1852788.58</v>
      </c>
      <c r="E373" s="306">
        <f>data!CD85</f>
        <v>0</v>
      </c>
      <c r="F373" s="311"/>
      <c r="G373" s="311"/>
      <c r="H373" s="311"/>
      <c r="I373" s="287">
        <f>data!CE85</f>
        <v>6071417.4100000001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11758886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0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11758886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15156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11805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3644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12606.44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12.078365384615385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1" transitionEvaluation="1" transitionEntry="1" codeName="Sheet12">
    <tabColor rgb="FF92D050"/>
    <pageSetUpPr autoPageBreaks="0"/>
  </sheetPr>
  <dimension ref="A1:CF717"/>
  <sheetViews>
    <sheetView zoomScale="70" zoomScaleNormal="70" workbookViewId="0"/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514898</v>
      </c>
      <c r="C49" s="270">
        <f>IF($B$49,(ROUND((($B$49/$CE$62)*C62),0)))</f>
        <v>0</v>
      </c>
      <c r="D49" s="270">
        <f t="shared" ref="D49:BO49" si="0">IF($B$49,(ROUND((($B$49/$CE$62)*D62),0)))</f>
        <v>0</v>
      </c>
      <c r="E49" s="270">
        <f t="shared" si="0"/>
        <v>0</v>
      </c>
      <c r="F49" s="270">
        <f t="shared" si="0"/>
        <v>0</v>
      </c>
      <c r="G49" s="270">
        <f t="shared" si="0"/>
        <v>0</v>
      </c>
      <c r="H49" s="270">
        <f>IF($B$49,(ROUND((($B$49/$CE$62)*H62),0)))</f>
        <v>352073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0</v>
      </c>
      <c r="Q49" s="270">
        <f t="shared" si="0"/>
        <v>0</v>
      </c>
      <c r="R49" s="270">
        <f t="shared" si="0"/>
        <v>0</v>
      </c>
      <c r="S49" s="270">
        <f t="shared" si="0"/>
        <v>0</v>
      </c>
      <c r="T49" s="270">
        <f t="shared" si="0"/>
        <v>0</v>
      </c>
      <c r="U49" s="270">
        <f t="shared" si="0"/>
        <v>0</v>
      </c>
      <c r="V49" s="270">
        <f t="shared" si="0"/>
        <v>0</v>
      </c>
      <c r="W49" s="270">
        <f t="shared" si="0"/>
        <v>0</v>
      </c>
      <c r="X49" s="270">
        <f t="shared" si="0"/>
        <v>0</v>
      </c>
      <c r="Y49" s="270">
        <f t="shared" si="0"/>
        <v>0</v>
      </c>
      <c r="Z49" s="270">
        <f t="shared" si="0"/>
        <v>0</v>
      </c>
      <c r="AA49" s="270">
        <f t="shared" si="0"/>
        <v>0</v>
      </c>
      <c r="AB49" s="270">
        <f t="shared" si="0"/>
        <v>20325</v>
      </c>
      <c r="AC49" s="270">
        <f t="shared" si="0"/>
        <v>0</v>
      </c>
      <c r="AD49" s="270">
        <f t="shared" si="0"/>
        <v>0</v>
      </c>
      <c r="AE49" s="270">
        <f t="shared" si="0"/>
        <v>0</v>
      </c>
      <c r="AF49" s="270">
        <f t="shared" si="0"/>
        <v>0</v>
      </c>
      <c r="AG49" s="270">
        <f t="shared" si="0"/>
        <v>0</v>
      </c>
      <c r="AH49" s="270">
        <f t="shared" si="0"/>
        <v>0</v>
      </c>
      <c r="AI49" s="270">
        <f t="shared" si="0"/>
        <v>0</v>
      </c>
      <c r="AJ49" s="270">
        <f t="shared" si="0"/>
        <v>0</v>
      </c>
      <c r="AK49" s="270">
        <f t="shared" si="0"/>
        <v>0</v>
      </c>
      <c r="AL49" s="270">
        <f t="shared" si="0"/>
        <v>0</v>
      </c>
      <c r="AM49" s="270">
        <f t="shared" si="0"/>
        <v>6663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23170</v>
      </c>
      <c r="AW49" s="270">
        <f t="shared" si="0"/>
        <v>0</v>
      </c>
      <c r="AX49" s="270">
        <f t="shared" si="0"/>
        <v>0</v>
      </c>
      <c r="AY49" s="270">
        <f t="shared" si="0"/>
        <v>0</v>
      </c>
      <c r="AZ49" s="270">
        <f t="shared" si="0"/>
        <v>0</v>
      </c>
      <c r="BA49" s="270">
        <f t="shared" si="0"/>
        <v>0</v>
      </c>
      <c r="BB49" s="270">
        <f t="shared" si="0"/>
        <v>0</v>
      </c>
      <c r="BC49" s="270">
        <f t="shared" si="0"/>
        <v>0</v>
      </c>
      <c r="BD49" s="270">
        <f t="shared" si="0"/>
        <v>0</v>
      </c>
      <c r="BE49" s="270">
        <f t="shared" si="0"/>
        <v>6534</v>
      </c>
      <c r="BF49" s="270">
        <f t="shared" si="0"/>
        <v>6238</v>
      </c>
      <c r="BG49" s="270">
        <f t="shared" si="0"/>
        <v>0</v>
      </c>
      <c r="BH49" s="270">
        <f t="shared" si="0"/>
        <v>0</v>
      </c>
      <c r="BI49" s="270">
        <f t="shared" si="0"/>
        <v>15651</v>
      </c>
      <c r="BJ49" s="270">
        <f t="shared" si="0"/>
        <v>14604</v>
      </c>
      <c r="BK49" s="270">
        <f t="shared" si="0"/>
        <v>10013</v>
      </c>
      <c r="BL49" s="270">
        <f t="shared" si="0"/>
        <v>18877</v>
      </c>
      <c r="BM49" s="270">
        <f t="shared" si="0"/>
        <v>0</v>
      </c>
      <c r="BN49" s="270">
        <f t="shared" si="0"/>
        <v>154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8749</v>
      </c>
      <c r="BS49" s="270">
        <f t="shared" si="1"/>
        <v>0</v>
      </c>
      <c r="BT49" s="270">
        <f t="shared" si="1"/>
        <v>0</v>
      </c>
      <c r="BU49" s="270">
        <f t="shared" si="1"/>
        <v>0</v>
      </c>
      <c r="BV49" s="270">
        <f t="shared" si="1"/>
        <v>6054</v>
      </c>
      <c r="BW49" s="270">
        <f t="shared" si="1"/>
        <v>0</v>
      </c>
      <c r="BX49" s="270">
        <f t="shared" si="1"/>
        <v>17411</v>
      </c>
      <c r="BY49" s="270">
        <f t="shared" si="1"/>
        <v>0</v>
      </c>
      <c r="BZ49" s="270">
        <f t="shared" si="1"/>
        <v>0</v>
      </c>
      <c r="CA49" s="270">
        <f t="shared" si="1"/>
        <v>0</v>
      </c>
      <c r="CB49" s="270">
        <f t="shared" si="1"/>
        <v>0</v>
      </c>
      <c r="CC49" s="270">
        <f t="shared" si="1"/>
        <v>8383</v>
      </c>
      <c r="CD49" s="270">
        <f t="shared" si="1"/>
        <v>0</v>
      </c>
      <c r="CE49" s="32">
        <f>SUM(C49:CD49)</f>
        <v>514899</v>
      </c>
    </row>
    <row r="50" spans="1:83" x14ac:dyDescent="0.35">
      <c r="A50" s="20" t="s">
        <v>218</v>
      </c>
      <c r="B50" s="270">
        <f>B48+B49</f>
        <v>514898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347413</v>
      </c>
      <c r="C53" s="270">
        <f>IF($B$53,ROUND(($B$53/($CE$91+$CF$91)*C91),0))</f>
        <v>0</v>
      </c>
      <c r="D53" s="270">
        <f t="shared" ref="D53:BO53" si="2">IF($B$53,ROUND(($B$53/($CE$91+$CF$91)*D91),0))</f>
        <v>0</v>
      </c>
      <c r="E53" s="270">
        <f t="shared" si="2"/>
        <v>0</v>
      </c>
      <c r="F53" s="270">
        <f t="shared" si="2"/>
        <v>0</v>
      </c>
      <c r="G53" s="270">
        <f t="shared" si="2"/>
        <v>0</v>
      </c>
      <c r="H53" s="270">
        <f t="shared" si="2"/>
        <v>347413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0</v>
      </c>
      <c r="Q53" s="270">
        <f t="shared" si="2"/>
        <v>0</v>
      </c>
      <c r="R53" s="270">
        <f t="shared" si="2"/>
        <v>0</v>
      </c>
      <c r="S53" s="270">
        <f t="shared" si="2"/>
        <v>0</v>
      </c>
      <c r="T53" s="270">
        <f t="shared" si="2"/>
        <v>0</v>
      </c>
      <c r="U53" s="270">
        <f t="shared" si="2"/>
        <v>0</v>
      </c>
      <c r="V53" s="270">
        <f t="shared" si="2"/>
        <v>0</v>
      </c>
      <c r="W53" s="270">
        <f t="shared" si="2"/>
        <v>0</v>
      </c>
      <c r="X53" s="270">
        <f t="shared" si="2"/>
        <v>0</v>
      </c>
      <c r="Y53" s="270">
        <f t="shared" si="2"/>
        <v>0</v>
      </c>
      <c r="Z53" s="270">
        <f t="shared" si="2"/>
        <v>0</v>
      </c>
      <c r="AA53" s="270">
        <f t="shared" si="2"/>
        <v>0</v>
      </c>
      <c r="AB53" s="270">
        <f t="shared" si="2"/>
        <v>0</v>
      </c>
      <c r="AC53" s="270">
        <f t="shared" si="2"/>
        <v>0</v>
      </c>
      <c r="AD53" s="270">
        <f t="shared" si="2"/>
        <v>0</v>
      </c>
      <c r="AE53" s="270">
        <f t="shared" si="2"/>
        <v>0</v>
      </c>
      <c r="AF53" s="270">
        <f t="shared" si="2"/>
        <v>0</v>
      </c>
      <c r="AG53" s="270">
        <f t="shared" si="2"/>
        <v>0</v>
      </c>
      <c r="AH53" s="270">
        <f t="shared" si="2"/>
        <v>0</v>
      </c>
      <c r="AI53" s="270">
        <f t="shared" si="2"/>
        <v>0</v>
      </c>
      <c r="AJ53" s="270">
        <f t="shared" si="2"/>
        <v>0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0</v>
      </c>
      <c r="AZ53" s="270">
        <f t="shared" si="2"/>
        <v>0</v>
      </c>
      <c r="BA53" s="270">
        <f t="shared" si="2"/>
        <v>0</v>
      </c>
      <c r="BB53" s="270">
        <f t="shared" si="2"/>
        <v>0</v>
      </c>
      <c r="BC53" s="270">
        <f t="shared" si="2"/>
        <v>0</v>
      </c>
      <c r="BD53" s="270">
        <f t="shared" si="2"/>
        <v>0</v>
      </c>
      <c r="BE53" s="270">
        <f t="shared" si="2"/>
        <v>0</v>
      </c>
      <c r="BF53" s="270">
        <f t="shared" si="2"/>
        <v>0</v>
      </c>
      <c r="BG53" s="270">
        <f t="shared" si="2"/>
        <v>0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0</v>
      </c>
      <c r="BM53" s="270">
        <f t="shared" si="2"/>
        <v>0</v>
      </c>
      <c r="BN53" s="270">
        <f t="shared" si="2"/>
        <v>0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0</v>
      </c>
      <c r="BT53" s="270">
        <f t="shared" si="3"/>
        <v>0</v>
      </c>
      <c r="BU53" s="270">
        <f t="shared" si="3"/>
        <v>0</v>
      </c>
      <c r="BV53" s="270">
        <f t="shared" si="3"/>
        <v>0</v>
      </c>
      <c r="BW53" s="270">
        <f t="shared" si="3"/>
        <v>0</v>
      </c>
      <c r="BX53" s="270">
        <f t="shared" si="3"/>
        <v>0</v>
      </c>
      <c r="BY53" s="270">
        <f t="shared" si="3"/>
        <v>0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0</v>
      </c>
      <c r="CD53" s="270">
        <f t="shared" si="3"/>
        <v>0</v>
      </c>
      <c r="CE53" s="32">
        <f>SUM(C53:CD53)</f>
        <v>347413</v>
      </c>
    </row>
    <row r="54" spans="1:83" x14ac:dyDescent="0.35">
      <c r="A54" s="20" t="s">
        <v>218</v>
      </c>
      <c r="B54" s="270">
        <f>B52+B53</f>
        <v>347413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/>
      <c r="F60" s="213"/>
      <c r="G60" s="213"/>
      <c r="H60" s="213">
        <v>5992</v>
      </c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>
        <v>15156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/>
      <c r="D61" s="243"/>
      <c r="E61" s="243"/>
      <c r="F61" s="243"/>
      <c r="G61" s="243"/>
      <c r="H61" s="243">
        <v>19.600000000000001</v>
      </c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>
        <v>0.71</v>
      </c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>
        <v>0.44</v>
      </c>
      <c r="AN61" s="244"/>
      <c r="AO61" s="244"/>
      <c r="AP61" s="244"/>
      <c r="AQ61" s="244"/>
      <c r="AR61" s="244"/>
      <c r="AS61" s="244"/>
      <c r="AT61" s="244"/>
      <c r="AU61" s="244"/>
      <c r="AV61" s="245">
        <v>1.9</v>
      </c>
      <c r="AW61" s="245"/>
      <c r="AX61" s="245"/>
      <c r="AY61" s="244">
        <v>0.99</v>
      </c>
      <c r="AZ61" s="244"/>
      <c r="BA61" s="245"/>
      <c r="BB61" s="245"/>
      <c r="BC61" s="245"/>
      <c r="BD61" s="245"/>
      <c r="BE61" s="244">
        <v>0.54</v>
      </c>
      <c r="BF61" s="245">
        <v>2.84</v>
      </c>
      <c r="BG61" s="245"/>
      <c r="BH61" s="245"/>
      <c r="BI61" s="245">
        <v>1.56</v>
      </c>
      <c r="BJ61" s="245">
        <v>0.8</v>
      </c>
      <c r="BK61" s="245">
        <v>1</v>
      </c>
      <c r="BL61" s="245">
        <v>1.63</v>
      </c>
      <c r="BM61" s="245"/>
      <c r="BN61" s="245"/>
      <c r="BO61" s="245"/>
      <c r="BP61" s="245"/>
      <c r="BQ61" s="245"/>
      <c r="BR61" s="245">
        <v>0.6</v>
      </c>
      <c r="BS61" s="245"/>
      <c r="BT61" s="245"/>
      <c r="BU61" s="245"/>
      <c r="BV61" s="245">
        <v>0.74</v>
      </c>
      <c r="BW61" s="245"/>
      <c r="BX61" s="245">
        <v>0.92</v>
      </c>
      <c r="BY61" s="245"/>
      <c r="BZ61" s="245"/>
      <c r="CA61" s="245"/>
      <c r="CB61" s="245"/>
      <c r="CC61" s="245">
        <v>0.45</v>
      </c>
      <c r="CD61" s="247" t="s">
        <v>233</v>
      </c>
      <c r="CE61" s="268">
        <f t="shared" ref="CE61:CE69" si="4">SUM(C61:CD61)</f>
        <v>34.720000000000006</v>
      </c>
    </row>
    <row r="62" spans="1:83" x14ac:dyDescent="0.35">
      <c r="A62" s="39" t="s">
        <v>248</v>
      </c>
      <c r="B62" s="20"/>
      <c r="C62" s="213"/>
      <c r="D62" s="213"/>
      <c r="E62" s="213"/>
      <c r="F62" s="213"/>
      <c r="G62" s="213"/>
      <c r="H62" s="213">
        <v>1887786</v>
      </c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>
        <v>108979</v>
      </c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>
        <v>35726</v>
      </c>
      <c r="AN62" s="214"/>
      <c r="AO62" s="214"/>
      <c r="AP62" s="214"/>
      <c r="AQ62" s="214"/>
      <c r="AR62" s="214"/>
      <c r="AS62" s="214"/>
      <c r="AT62" s="214"/>
      <c r="AU62" s="214"/>
      <c r="AV62" s="228">
        <v>124238</v>
      </c>
      <c r="AW62" s="228"/>
      <c r="AX62" s="228"/>
      <c r="AY62" s="214"/>
      <c r="AZ62" s="214"/>
      <c r="BA62" s="228"/>
      <c r="BB62" s="228"/>
      <c r="BC62" s="228"/>
      <c r="BD62" s="228"/>
      <c r="BE62" s="214">
        <v>35034</v>
      </c>
      <c r="BF62" s="228">
        <v>33446</v>
      </c>
      <c r="BG62" s="228"/>
      <c r="BH62" s="228"/>
      <c r="BI62" s="228">
        <v>83922</v>
      </c>
      <c r="BJ62" s="228">
        <v>78306</v>
      </c>
      <c r="BK62" s="228">
        <v>53691</v>
      </c>
      <c r="BL62" s="228">
        <v>101215</v>
      </c>
      <c r="BM62" s="228"/>
      <c r="BN62" s="228">
        <v>827</v>
      </c>
      <c r="BO62" s="228"/>
      <c r="BP62" s="228"/>
      <c r="BQ62" s="228"/>
      <c r="BR62" s="228">
        <v>46910</v>
      </c>
      <c r="BS62" s="228"/>
      <c r="BT62" s="228"/>
      <c r="BU62" s="228"/>
      <c r="BV62" s="228">
        <v>32460</v>
      </c>
      <c r="BW62" s="228"/>
      <c r="BX62" s="228">
        <v>93354</v>
      </c>
      <c r="BY62" s="228"/>
      <c r="BZ62" s="228"/>
      <c r="CA62" s="228"/>
      <c r="CB62" s="228"/>
      <c r="CC62" s="228">
        <v>44947</v>
      </c>
      <c r="CD62" s="29" t="s">
        <v>233</v>
      </c>
      <c r="CE62" s="32">
        <f t="shared" si="4"/>
        <v>2760841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>ROUND(H48+H49,0)</f>
        <v>352073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20325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6663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23170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6534</v>
      </c>
      <c r="BF63" s="269">
        <f t="shared" si="5"/>
        <v>6238</v>
      </c>
      <c r="BG63" s="269">
        <f t="shared" si="5"/>
        <v>0</v>
      </c>
      <c r="BH63" s="269">
        <f t="shared" si="5"/>
        <v>0</v>
      </c>
      <c r="BI63" s="269">
        <f t="shared" si="5"/>
        <v>15651</v>
      </c>
      <c r="BJ63" s="269">
        <f t="shared" si="5"/>
        <v>14604</v>
      </c>
      <c r="BK63" s="269">
        <f t="shared" si="5"/>
        <v>10013</v>
      </c>
      <c r="BL63" s="269">
        <f t="shared" si="5"/>
        <v>18877</v>
      </c>
      <c r="BM63" s="269">
        <f t="shared" si="5"/>
        <v>0</v>
      </c>
      <c r="BN63" s="269">
        <f t="shared" si="5"/>
        <v>154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8749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6054</v>
      </c>
      <c r="BW63" s="269">
        <f t="shared" si="6"/>
        <v>0</v>
      </c>
      <c r="BX63" s="269">
        <f t="shared" si="6"/>
        <v>17411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8383</v>
      </c>
      <c r="CD63" s="29" t="s">
        <v>233</v>
      </c>
      <c r="CE63" s="32">
        <f t="shared" si="4"/>
        <v>514899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>
        <v>41704</v>
      </c>
      <c r="BX64" s="228"/>
      <c r="BY64" s="228"/>
      <c r="BZ64" s="228"/>
      <c r="CA64" s="228"/>
      <c r="CB64" s="228"/>
      <c r="CC64" s="228">
        <v>997908</v>
      </c>
      <c r="CD64" s="29" t="s">
        <v>233</v>
      </c>
      <c r="CE64" s="32">
        <f t="shared" si="4"/>
        <v>1039612</v>
      </c>
    </row>
    <row r="65" spans="1:83" x14ac:dyDescent="0.35">
      <c r="A65" s="39" t="s">
        <v>250</v>
      </c>
      <c r="B65" s="20"/>
      <c r="C65" s="213"/>
      <c r="D65" s="213"/>
      <c r="E65" s="213"/>
      <c r="F65" s="213"/>
      <c r="G65" s="213"/>
      <c r="H65" s="213">
        <v>2215</v>
      </c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>
        <v>101756</v>
      </c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>
        <v>2044</v>
      </c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>
        <v>147030</v>
      </c>
      <c r="AZ65" s="214"/>
      <c r="BA65" s="228"/>
      <c r="BB65" s="228"/>
      <c r="BC65" s="228"/>
      <c r="BD65" s="228"/>
      <c r="BE65" s="214">
        <v>883</v>
      </c>
      <c r="BF65" s="228">
        <v>589</v>
      </c>
      <c r="BG65" s="228"/>
      <c r="BH65" s="228"/>
      <c r="BI65" s="228">
        <v>37533</v>
      </c>
      <c r="BJ65" s="228"/>
      <c r="BK65" s="228"/>
      <c r="BL65" s="228"/>
      <c r="BM65" s="228"/>
      <c r="BN65" s="228">
        <v>213</v>
      </c>
      <c r="BO65" s="228"/>
      <c r="BP65" s="228"/>
      <c r="BQ65" s="228"/>
      <c r="BR65" s="228"/>
      <c r="BS65" s="228"/>
      <c r="BT65" s="228"/>
      <c r="BU65" s="228"/>
      <c r="BV65" s="228">
        <v>5284</v>
      </c>
      <c r="BW65" s="228"/>
      <c r="BX65" s="228"/>
      <c r="BY65" s="228"/>
      <c r="BZ65" s="228"/>
      <c r="CA65" s="228"/>
      <c r="CB65" s="228"/>
      <c r="CC65" s="228"/>
      <c r="CD65" s="29" t="s">
        <v>233</v>
      </c>
      <c r="CE65" s="32">
        <f t="shared" si="4"/>
        <v>297547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2527</v>
      </c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233</v>
      </c>
      <c r="CE66" s="32">
        <f t="shared" si="4"/>
        <v>2527</v>
      </c>
    </row>
    <row r="67" spans="1:83" x14ac:dyDescent="0.35">
      <c r="A67" s="39" t="s">
        <v>252</v>
      </c>
      <c r="B67" s="20"/>
      <c r="C67" s="213"/>
      <c r="D67" s="213"/>
      <c r="E67" s="213"/>
      <c r="F67" s="213"/>
      <c r="G67" s="213"/>
      <c r="H67" s="213">
        <v>14243</v>
      </c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>
        <v>43473</v>
      </c>
      <c r="V67" s="214"/>
      <c r="W67" s="214"/>
      <c r="X67" s="214"/>
      <c r="Y67" s="214">
        <v>48661</v>
      </c>
      <c r="Z67" s="214"/>
      <c r="AA67" s="214"/>
      <c r="AB67" s="240">
        <v>11102</v>
      </c>
      <c r="AC67" s="214"/>
      <c r="AD67" s="214"/>
      <c r="AE67" s="214"/>
      <c r="AF67" s="214"/>
      <c r="AG67" s="214">
        <v>124212</v>
      </c>
      <c r="AH67" s="214"/>
      <c r="AI67" s="214"/>
      <c r="AJ67" s="214"/>
      <c r="AK67" s="214"/>
      <c r="AL67" s="214"/>
      <c r="AM67" s="214">
        <v>9269</v>
      </c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271753</v>
      </c>
      <c r="AZ67" s="214"/>
      <c r="BA67" s="228">
        <v>22304</v>
      </c>
      <c r="BB67" s="228"/>
      <c r="BC67" s="228"/>
      <c r="BD67" s="228"/>
      <c r="BE67" s="214">
        <v>2592</v>
      </c>
      <c r="BF67" s="228">
        <v>88745</v>
      </c>
      <c r="BG67" s="228"/>
      <c r="BH67" s="228"/>
      <c r="BI67" s="228">
        <v>3136</v>
      </c>
      <c r="BJ67" s="228"/>
      <c r="BK67" s="228"/>
      <c r="BL67" s="228"/>
      <c r="BM67" s="228"/>
      <c r="BN67" s="228">
        <v>15886</v>
      </c>
      <c r="BO67" s="228"/>
      <c r="BP67" s="228"/>
      <c r="BQ67" s="228"/>
      <c r="BR67" s="228"/>
      <c r="BS67" s="228"/>
      <c r="BT67" s="228"/>
      <c r="BU67" s="228"/>
      <c r="BV67" s="228">
        <v>1367</v>
      </c>
      <c r="BW67" s="228"/>
      <c r="BX67" s="228"/>
      <c r="BY67" s="228"/>
      <c r="BZ67" s="228"/>
      <c r="CA67" s="228"/>
      <c r="CB67" s="228"/>
      <c r="CC67" s="228">
        <v>28430</v>
      </c>
      <c r="CD67" s="29" t="s">
        <v>233</v>
      </c>
      <c r="CE67" s="32">
        <f t="shared" si="4"/>
        <v>685173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347413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347413</v>
      </c>
    </row>
    <row r="69" spans="1:83" x14ac:dyDescent="0.35">
      <c r="A69" s="39" t="s">
        <v>253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3950</v>
      </c>
      <c r="BF69" s="228"/>
      <c r="BG69" s="228"/>
      <c r="BH69" s="228"/>
      <c r="BI69" s="228"/>
      <c r="BJ69" s="228"/>
      <c r="BK69" s="228"/>
      <c r="BL69" s="228"/>
      <c r="BM69" s="228"/>
      <c r="BN69" s="228">
        <v>487144</v>
      </c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233</v>
      </c>
      <c r="CE69" s="32">
        <f t="shared" si="4"/>
        <v>491094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867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525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37939</v>
      </c>
      <c r="BD70" s="32">
        <f t="shared" si="9"/>
        <v>0</v>
      </c>
      <c r="BE70" s="32">
        <f t="shared" si="9"/>
        <v>51138</v>
      </c>
      <c r="BF70" s="32">
        <f t="shared" si="9"/>
        <v>0</v>
      </c>
      <c r="BG70" s="32">
        <f>SUM(BG71:BG84)</f>
        <v>6837</v>
      </c>
      <c r="BH70" s="32">
        <f t="shared" si="9"/>
        <v>0</v>
      </c>
      <c r="BI70" s="32">
        <f t="shared" si="9"/>
        <v>11944</v>
      </c>
      <c r="BJ70" s="32">
        <f t="shared" si="9"/>
        <v>261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25478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5286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932768</v>
      </c>
      <c r="CD70" s="32">
        <f t="shared" si="10"/>
        <v>0</v>
      </c>
      <c r="CE70" s="32">
        <f>SUM(CE71:CE85)</f>
        <v>1073043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5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/>
      <c r="F84" s="30"/>
      <c r="G84" s="24"/>
      <c r="H84" s="24">
        <v>867</v>
      </c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>
        <v>525</v>
      </c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>
        <v>37939</v>
      </c>
      <c r="BD84" s="30"/>
      <c r="BE84" s="30">
        <v>51138</v>
      </c>
      <c r="BF84" s="30"/>
      <c r="BG84" s="30">
        <v>6837</v>
      </c>
      <c r="BH84" s="31"/>
      <c r="BI84" s="30">
        <v>11944</v>
      </c>
      <c r="BJ84" s="30">
        <v>261</v>
      </c>
      <c r="BK84" s="30"/>
      <c r="BL84" s="30"/>
      <c r="BM84" s="30"/>
      <c r="BN84" s="30">
        <v>25478</v>
      </c>
      <c r="BO84" s="30"/>
      <c r="BP84" s="30"/>
      <c r="BQ84" s="30"/>
      <c r="BR84" s="30"/>
      <c r="BS84" s="30"/>
      <c r="BT84" s="30"/>
      <c r="BU84" s="30"/>
      <c r="BV84" s="30">
        <v>5286</v>
      </c>
      <c r="BW84" s="30"/>
      <c r="BX84" s="30"/>
      <c r="BY84" s="30"/>
      <c r="BZ84" s="30"/>
      <c r="CA84" s="30"/>
      <c r="CB84" s="30"/>
      <c r="CC84" s="30">
        <v>932768</v>
      </c>
      <c r="CD84" s="35"/>
      <c r="CE84" s="32">
        <f t="shared" si="11"/>
        <v>1073043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2604597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43473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48661</v>
      </c>
      <c r="Z86" s="32">
        <f t="shared" si="12"/>
        <v>0</v>
      </c>
      <c r="AA86" s="32">
        <f t="shared" si="12"/>
        <v>0</v>
      </c>
      <c r="AB86" s="32">
        <f t="shared" si="12"/>
        <v>242687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124212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53702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147408</v>
      </c>
      <c r="AW86" s="32">
        <f t="shared" si="12"/>
        <v>0</v>
      </c>
      <c r="AX86" s="32">
        <f t="shared" si="12"/>
        <v>0</v>
      </c>
      <c r="AY86" s="32">
        <f t="shared" si="12"/>
        <v>418783</v>
      </c>
      <c r="AZ86" s="32">
        <f t="shared" si="12"/>
        <v>0</v>
      </c>
      <c r="BA86" s="32">
        <f t="shared" si="12"/>
        <v>22304</v>
      </c>
      <c r="BB86" s="32">
        <f t="shared" si="12"/>
        <v>0</v>
      </c>
      <c r="BC86" s="32">
        <f t="shared" si="12"/>
        <v>37939</v>
      </c>
      <c r="BD86" s="32">
        <f t="shared" si="12"/>
        <v>0</v>
      </c>
      <c r="BE86" s="32">
        <f t="shared" si="12"/>
        <v>102658</v>
      </c>
      <c r="BF86" s="32">
        <f t="shared" si="12"/>
        <v>129018</v>
      </c>
      <c r="BG86" s="32">
        <f t="shared" si="12"/>
        <v>6837</v>
      </c>
      <c r="BH86" s="32">
        <f t="shared" si="12"/>
        <v>0</v>
      </c>
      <c r="BI86" s="32">
        <f t="shared" si="12"/>
        <v>152186</v>
      </c>
      <c r="BJ86" s="32">
        <f t="shared" si="12"/>
        <v>93171</v>
      </c>
      <c r="BK86" s="32">
        <f t="shared" si="12"/>
        <v>63704</v>
      </c>
      <c r="BL86" s="32">
        <f t="shared" si="12"/>
        <v>120092</v>
      </c>
      <c r="BM86" s="32">
        <f t="shared" si="12"/>
        <v>0</v>
      </c>
      <c r="BN86" s="32">
        <f t="shared" si="12"/>
        <v>529702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55659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50451</v>
      </c>
      <c r="BW86" s="32">
        <f t="shared" si="13"/>
        <v>41704</v>
      </c>
      <c r="BX86" s="32">
        <f t="shared" si="13"/>
        <v>110765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2012436</v>
      </c>
      <c r="CD86" s="32">
        <f t="shared" si="13"/>
        <v>0</v>
      </c>
      <c r="CE86" s="32">
        <f>SUM(C86:CD86)</f>
        <v>7212149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/>
      <c r="D88" s="213"/>
      <c r="E88" s="213"/>
      <c r="F88" s="213"/>
      <c r="G88" s="213"/>
      <c r="H88" s="213">
        <v>18139060</v>
      </c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18139060</v>
      </c>
    </row>
    <row r="89" spans="1:84" x14ac:dyDescent="0.35">
      <c r="A89" s="26" t="s">
        <v>273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0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18139060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18139060</v>
      </c>
    </row>
    <row r="91" spans="1:84" x14ac:dyDescent="0.35">
      <c r="A91" s="39" t="s">
        <v>275</v>
      </c>
      <c r="B91" s="32"/>
      <c r="C91" s="213"/>
      <c r="D91" s="213"/>
      <c r="E91" s="213"/>
      <c r="F91" s="213"/>
      <c r="G91" s="213"/>
      <c r="H91" s="213">
        <v>15156</v>
      </c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233</v>
      </c>
      <c r="CE91" s="32">
        <f t="shared" si="14"/>
        <v>15156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>
        <v>17976</v>
      </c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17976</v>
      </c>
      <c r="CF92" s="32">
        <f>AY60-CE92</f>
        <v>-17976</v>
      </c>
    </row>
    <row r="93" spans="1:84" x14ac:dyDescent="0.35">
      <c r="A93" s="26" t="s">
        <v>277</v>
      </c>
      <c r="B93" s="20"/>
      <c r="C93" s="213"/>
      <c r="D93" s="213"/>
      <c r="E93" s="213"/>
      <c r="F93" s="213"/>
      <c r="G93" s="213"/>
      <c r="H93" s="213">
        <v>5200</v>
      </c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5200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>
        <v>25378</v>
      </c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25378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/>
      <c r="F95" s="243"/>
      <c r="G95" s="243"/>
      <c r="H95" s="243">
        <v>19.600000000000001</v>
      </c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19.600000000000001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/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/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/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>
        <v>1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449</v>
      </c>
      <c r="D128" s="220">
        <v>5992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34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34</v>
      </c>
    </row>
    <row r="145" spans="1:6" x14ac:dyDescent="0.35">
      <c r="A145" s="20" t="s">
        <v>325</v>
      </c>
      <c r="B145" s="46" t="s">
        <v>284</v>
      </c>
      <c r="C145" s="47"/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303</v>
      </c>
      <c r="C155" s="50">
        <v>120</v>
      </c>
      <c r="D155" s="50">
        <v>26</v>
      </c>
      <c r="E155" s="32">
        <f>SUM(B155:D155)</f>
        <v>449</v>
      </c>
    </row>
    <row r="156" spans="1:6" x14ac:dyDescent="0.35">
      <c r="A156" s="20" t="s">
        <v>227</v>
      </c>
      <c r="B156" s="50">
        <v>3852</v>
      </c>
      <c r="C156" s="50">
        <v>1422</v>
      </c>
      <c r="D156" s="50">
        <v>718</v>
      </c>
      <c r="E156" s="32">
        <f>SUM(B156:D156)</f>
        <v>5992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10777200</v>
      </c>
      <c r="C158" s="50">
        <v>3981600</v>
      </c>
      <c r="D158" s="50">
        <v>3380260</v>
      </c>
      <c r="E158" s="32">
        <f>SUM(B158:D158)</f>
        <v>18139060</v>
      </c>
      <c r="F158" s="18"/>
    </row>
    <row r="159" spans="1:6" x14ac:dyDescent="0.35">
      <c r="A159" s="20" t="s">
        <v>273</v>
      </c>
      <c r="B159" s="50"/>
      <c r="C159" s="50"/>
      <c r="D159" s="50"/>
      <c r="E159" s="32">
        <f>SUM(B159:D159)</f>
        <v>0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211141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22080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100623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211786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46427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-77159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514898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487144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3950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491094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52834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14042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66876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37191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131837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169028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/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0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/>
      <c r="C212" s="216"/>
      <c r="D212" s="220"/>
      <c r="E212" s="32">
        <f t="shared" ref="E212:E220" si="16">SUM(B212:C212)-D212</f>
        <v>0</v>
      </c>
    </row>
    <row r="213" spans="1:5" x14ac:dyDescent="0.35">
      <c r="A213" s="20" t="s">
        <v>367</v>
      </c>
      <c r="B213" s="220"/>
      <c r="C213" s="216"/>
      <c r="D213" s="220"/>
      <c r="E213" s="32">
        <f t="shared" si="16"/>
        <v>0</v>
      </c>
    </row>
    <row r="214" spans="1:5" x14ac:dyDescent="0.35">
      <c r="A214" s="20" t="s">
        <v>368</v>
      </c>
      <c r="B214" s="220"/>
      <c r="C214" s="216"/>
      <c r="D214" s="220"/>
      <c r="E214" s="32">
        <f t="shared" si="16"/>
        <v>0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572858.25</v>
      </c>
      <c r="C217" s="216">
        <v>704.59</v>
      </c>
      <c r="D217" s="220">
        <v>298.38</v>
      </c>
      <c r="E217" s="32">
        <f t="shared" si="16"/>
        <v>573264.46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3226502</v>
      </c>
      <c r="C219" s="216"/>
      <c r="D219" s="220"/>
      <c r="E219" s="32">
        <f t="shared" si="16"/>
        <v>3226502</v>
      </c>
    </row>
    <row r="220" spans="1:5" x14ac:dyDescent="0.35">
      <c r="A220" s="20" t="s">
        <v>374</v>
      </c>
      <c r="B220" s="220">
        <v>6286.72</v>
      </c>
      <c r="C220" s="216">
        <v>7216.72</v>
      </c>
      <c r="D220" s="220">
        <v>6286.72</v>
      </c>
      <c r="E220" s="32">
        <f t="shared" si="16"/>
        <v>7216.72</v>
      </c>
    </row>
    <row r="221" spans="1:5" x14ac:dyDescent="0.35">
      <c r="A221" s="20" t="s">
        <v>215</v>
      </c>
      <c r="B221" s="32">
        <f>SUM(B212:B220)</f>
        <v>3805646.97</v>
      </c>
      <c r="C221" s="266">
        <f>SUM(C212:C220)</f>
        <v>7921.31</v>
      </c>
      <c r="D221" s="32">
        <f>SUM(D212:D220)</f>
        <v>6585.1</v>
      </c>
      <c r="E221" s="32">
        <f>SUM(E212:E220)</f>
        <v>3806983.18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/>
      <c r="C227" s="216"/>
      <c r="D227" s="220"/>
      <c r="E227" s="32">
        <f t="shared" si="17"/>
        <v>0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/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465460.02</v>
      </c>
      <c r="C230" s="216">
        <v>27413.45</v>
      </c>
      <c r="D230" s="220">
        <v>298.38</v>
      </c>
      <c r="E230" s="32">
        <f t="shared" si="17"/>
        <v>492575.09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1595085.1</v>
      </c>
      <c r="C232" s="216">
        <v>319999.65999999997</v>
      </c>
      <c r="D232" s="220"/>
      <c r="E232" s="32">
        <f t="shared" si="17"/>
        <v>1915084.76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2060545.12</v>
      </c>
      <c r="C234" s="266">
        <f>SUM(C225:C233)</f>
        <v>347413.11</v>
      </c>
      <c r="D234" s="32">
        <f>SUM(D225:D233)</f>
        <v>298.38</v>
      </c>
      <c r="E234" s="32">
        <f>SUM(E225:E233)</f>
        <v>2407659.85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6" t="s">
        <v>377</v>
      </c>
      <c r="C237" s="346"/>
      <c r="D237" s="38"/>
      <c r="E237" s="38"/>
    </row>
    <row r="238" spans="1:5" x14ac:dyDescent="0.35">
      <c r="A238" s="56" t="s">
        <v>377</v>
      </c>
      <c r="B238" s="38"/>
      <c r="C238" s="216">
        <v>215308</v>
      </c>
      <c r="D238" s="40">
        <f>C238</f>
        <v>215308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5431633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4146738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94649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1020562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10693582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/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69055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/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69055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>
        <v>95659</v>
      </c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930868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1026527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12004472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-62122.92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1131103.83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427269.36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65191.71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/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84133.58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62555.79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853592.63000000012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/>
      <c r="D284" s="20"/>
      <c r="E284" s="20"/>
    </row>
    <row r="285" spans="1:5" x14ac:dyDescent="0.35">
      <c r="A285" s="20" t="s">
        <v>367</v>
      </c>
      <c r="B285" s="46" t="s">
        <v>284</v>
      </c>
      <c r="C285" s="216"/>
      <c r="D285" s="20"/>
      <c r="E285" s="20"/>
    </row>
    <row r="286" spans="1:5" x14ac:dyDescent="0.35">
      <c r="A286" s="20" t="s">
        <v>368</v>
      </c>
      <c r="B286" s="46" t="s">
        <v>284</v>
      </c>
      <c r="C286" s="216"/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573264.47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3226501.56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7216.72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3806982.7500000005</v>
      </c>
      <c r="E292" s="20"/>
    </row>
    <row r="293" spans="1:5" x14ac:dyDescent="0.35">
      <c r="A293" s="20" t="s">
        <v>416</v>
      </c>
      <c r="B293" s="46" t="s">
        <v>284</v>
      </c>
      <c r="C293" s="47">
        <v>2407659.85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1399322.9000000004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/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0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2252915.5300000003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63984.31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/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>
        <v>5512.76</v>
      </c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69497.069999999992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1028989.74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1028989.74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1028989.74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1154428.72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2252915.5300000003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2252915.5300000003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18139060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/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18139060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215308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10693582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69055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>
        <v>1026527</v>
      </c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12004472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6134588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/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0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6134588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2760841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514899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1039612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297547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2527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685173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347413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491094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66877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169028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/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837135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837135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7212146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-1077558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-1077558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-1077558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15156</v>
      </c>
      <c r="E613" s="258">
        <f>SUM(C625:D648)+SUM(C669:D714)</f>
        <v>4570003</v>
      </c>
      <c r="F613" s="258">
        <f>CE65-(AX65+BD65+BE65+BG65+BJ65+BN65+BP65+BQ65+CB65+CC65+CD65)</f>
        <v>296451</v>
      </c>
      <c r="G613" s="256">
        <f>CE92-(AX92+AY92+BD92+BE92+BG92+BJ92+BN92+BP92+BQ92+CB92+CC92+CD92)</f>
        <v>17976</v>
      </c>
      <c r="H613" s="261">
        <f>CE61-(AX61+AY61+AZ61+BD61+BE61+BG61+BJ61+BN61+BO61+BP61+BQ61+BR61+CB61+CC61+CD61)</f>
        <v>31.340000000000007</v>
      </c>
      <c r="I613" s="256">
        <f>CE93-(AX93+AY93+AZ93+BD93+BE93+BF93+BG93+BJ93+BN93+BO93+BP93+BQ93+BR93+CB93+CC93+CD93)</f>
        <v>5200</v>
      </c>
      <c r="J613" s="256">
        <f>CE94-(AX94+AY94+AZ94+BA94+BD94+BE94+BF94+BG94+BJ94+BN94+BO94+BP94+BQ94+BR94+CB94+CC94+CD94)</f>
        <v>25378</v>
      </c>
      <c r="K613" s="256">
        <f>CE90-(AW90+AX90+AY90+AZ90+BA90+BB90+BC90+BD90+BE90+BF90+BG90+BH90+BI90+BJ90+BK90+BL90+BM90+BN90+BO90+BP90+BQ90+BR90+BS90+BT90+BU90+BV90+BW90+BX90+CB90+CC90+CD90)</f>
        <v>18139060</v>
      </c>
      <c r="L613" s="262">
        <f>CE95-(AW95+AX95+AY95+AZ95+BA95+BB95+BC95+BD95+BE95+BF95+BG95+BH95+BI95+BJ95+BK95+BL95+BM95+BN95+BO95+BP95+BQ95+BR95+BS95+BT95+BU95+BV95+BW95+BX95+BY95+BZ95+CA95+CB95+CC95+CD95)</f>
        <v>19.600000000000001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102658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102658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93171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6837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529702</v>
      </c>
      <c r="D620" s="256">
        <f>(D616/D613)*BN91</f>
        <v>0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2012436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2642146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0</v>
      </c>
      <c r="D625" s="256">
        <f>(D616/D613)*BD91</f>
        <v>0</v>
      </c>
      <c r="E625" s="258">
        <f>(E624/E613)*SUM(C625:D625)</f>
        <v>0</v>
      </c>
      <c r="F625" s="258">
        <f>SUM(C625:E625)</f>
        <v>0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418783</v>
      </c>
      <c r="D626" s="256">
        <f>(D616/D613)*AY91</f>
        <v>0</v>
      </c>
      <c r="E626" s="258">
        <f>(E624/E613)*SUM(C626:D626)</f>
        <v>242119.2783282637</v>
      </c>
      <c r="F626" s="258">
        <f>(F625/F613)*AY65</f>
        <v>0</v>
      </c>
      <c r="G626" s="256">
        <f>SUM(C626:F626)</f>
        <v>660902.27832826367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55659</v>
      </c>
      <c r="D627" s="256">
        <f>(D616/D613)*BR91</f>
        <v>0</v>
      </c>
      <c r="E627" s="258">
        <f>(E624/E613)*SUM(C627:D627)</f>
        <v>32179.235815381307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87838.235815381311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129018</v>
      </c>
      <c r="D630" s="256">
        <f>(D616/D613)*BF91</f>
        <v>0</v>
      </c>
      <c r="E630" s="258">
        <f>(E624/E613)*SUM(C630:D630)</f>
        <v>74591.721849635549</v>
      </c>
      <c r="F630" s="258">
        <f>(F625/F613)*BF65</f>
        <v>0</v>
      </c>
      <c r="G630" s="256">
        <f>(G626/G613)*BF92</f>
        <v>0</v>
      </c>
      <c r="H630" s="258">
        <f>(H629/H613)*BF61</f>
        <v>7959.814604839913</v>
      </c>
      <c r="I630" s="256">
        <f>SUM(C630:H630)</f>
        <v>211569.53645447546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22304</v>
      </c>
      <c r="D631" s="256">
        <f>(D616/D613)*BA91</f>
        <v>0</v>
      </c>
      <c r="E631" s="258">
        <f>(E624/E613)*SUM(C631:D631)</f>
        <v>12895.051575239668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35199.051575239668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37939</v>
      </c>
      <c r="D634" s="256">
        <f>(D616/D613)*BC91</f>
        <v>0</v>
      </c>
      <c r="E634" s="258">
        <f>(E624/E613)*SUM(C634:D634)</f>
        <v>21934.422601910766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152186</v>
      </c>
      <c r="D635" s="256">
        <f>(D616/D613)*BI91</f>
        <v>0</v>
      </c>
      <c r="E635" s="258">
        <f>(E624/E613)*SUM(C635:D635)</f>
        <v>87986.294791491397</v>
      </c>
      <c r="F635" s="258">
        <f>(F625/F613)*BI65</f>
        <v>0</v>
      </c>
      <c r="G635" s="256">
        <f>(G626/G613)*BI92</f>
        <v>0</v>
      </c>
      <c r="H635" s="258">
        <f>(H629/H613)*BI61</f>
        <v>4372.2925294191073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63704</v>
      </c>
      <c r="D636" s="256">
        <f>(D616/D613)*BK91</f>
        <v>0</v>
      </c>
      <c r="E636" s="258">
        <f>(E624/E613)*SUM(C636:D636)</f>
        <v>36830.450392264516</v>
      </c>
      <c r="F636" s="258">
        <f>(F625/F613)*BK65</f>
        <v>0</v>
      </c>
      <c r="G636" s="256">
        <f>(G626/G613)*BK92</f>
        <v>0</v>
      </c>
      <c r="H636" s="258">
        <f>(H629/H613)*BK61</f>
        <v>2802.7516214225047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120092</v>
      </c>
      <c r="D638" s="256">
        <f>(D616/D613)*BL91</f>
        <v>0</v>
      </c>
      <c r="E638" s="258">
        <f>(E624/E613)*SUM(C638:D638)</f>
        <v>69431.157360728219</v>
      </c>
      <c r="F638" s="258">
        <f>(F625/F613)*BL65</f>
        <v>0</v>
      </c>
      <c r="G638" s="256">
        <f>(G626/G613)*BL92</f>
        <v>0</v>
      </c>
      <c r="H638" s="258">
        <f>(H629/H613)*BL61</f>
        <v>4568.4851429186829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>
        <f>(G626/G613)*BS92</f>
        <v>0</v>
      </c>
      <c r="H640" s="258">
        <f>(H629/H613)*BS61</f>
        <v>0</v>
      </c>
      <c r="I640" s="256">
        <f>(I630/I613)*BS93</f>
        <v>0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50451</v>
      </c>
      <c r="D643" s="256">
        <f>(D616/D613)*BV91</f>
        <v>0</v>
      </c>
      <c r="E643" s="258">
        <f>(E624/E613)*SUM(C643:D643)</f>
        <v>29168.232022167165</v>
      </c>
      <c r="F643" s="258">
        <f>(F625/F613)*BV65</f>
        <v>0</v>
      </c>
      <c r="G643" s="256">
        <f>(G626/G613)*BV92</f>
        <v>0</v>
      </c>
      <c r="H643" s="258">
        <f>(H629/H613)*BV61</f>
        <v>2074.0361998526537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41704</v>
      </c>
      <c r="D644" s="256">
        <f>(D616/D613)*BW91</f>
        <v>0</v>
      </c>
      <c r="E644" s="258">
        <f>(E624/E613)*SUM(C644:D644)</f>
        <v>24111.156334908315</v>
      </c>
      <c r="F644" s="258">
        <f>(F625/F613)*BW65</f>
        <v>0</v>
      </c>
      <c r="G644" s="256">
        <f>(G626/G613)*BW92</f>
        <v>0</v>
      </c>
      <c r="H644" s="258">
        <f>(H629/H613)*BW61</f>
        <v>0</v>
      </c>
      <c r="I644" s="256">
        <f>(I630/I613)*BW93</f>
        <v>0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110765</v>
      </c>
      <c r="D645" s="256">
        <f>(D616/D613)*BX91</f>
        <v>0</v>
      </c>
      <c r="E645" s="258">
        <f>(E624/E613)*SUM(C645:D645)</f>
        <v>64038.754830139071</v>
      </c>
      <c r="F645" s="258">
        <f>(F625/F613)*BX65</f>
        <v>0</v>
      </c>
      <c r="G645" s="256">
        <f>(G626/G613)*BX92</f>
        <v>0</v>
      </c>
      <c r="H645" s="258">
        <f>(H629/H613)*BX61</f>
        <v>2578.5314917087044</v>
      </c>
      <c r="I645" s="256">
        <f>(I630/I613)*BX93</f>
        <v>0</v>
      </c>
      <c r="J645" s="256">
        <f>(J631/J613)*BX94</f>
        <v>0</v>
      </c>
      <c r="K645" s="258">
        <f>SUM(C632:J645)</f>
        <v>926737.56531893124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0</v>
      </c>
      <c r="D646" s="256">
        <f>(D616/D613)*BY91</f>
        <v>0</v>
      </c>
      <c r="E646" s="258">
        <f>(E624/E613)*SUM(C646:D646)</f>
        <v>0</v>
      </c>
      <c r="F646" s="258">
        <f>(F625/F613)*BY65</f>
        <v>0</v>
      </c>
      <c r="G646" s="256">
        <f>(G626/G613)*BY92</f>
        <v>0</v>
      </c>
      <c r="H646" s="258">
        <f>(H629/H613)*BY61</f>
        <v>0</v>
      </c>
      <c r="I646" s="256">
        <f>(I630/I613)*BY93</f>
        <v>0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0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3947409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>
        <f>(G626/G613)*C92</f>
        <v>0</v>
      </c>
      <c r="H669" s="258">
        <f>(H629/H613)*C61</f>
        <v>0</v>
      </c>
      <c r="I669" s="256">
        <f>(I630/I613)*C93</f>
        <v>0</v>
      </c>
      <c r="J669" s="256">
        <f>(J631/J613)*C94</f>
        <v>0</v>
      </c>
      <c r="K669" s="256">
        <f>(K645/K613)*C90</f>
        <v>0</v>
      </c>
      <c r="L669" s="256">
        <f>(L648/L613)*C95</f>
        <v>0</v>
      </c>
      <c r="M669" s="231">
        <f t="shared" ref="M669:M714" si="18">ROUND(SUM(D669:L669),0)</f>
        <v>0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0</v>
      </c>
      <c r="D671" s="256">
        <f>(D616/D613)*E91</f>
        <v>0</v>
      </c>
      <c r="E671" s="258">
        <f>(E624/E613)*SUM(C671:D671)</f>
        <v>0</v>
      </c>
      <c r="F671" s="258">
        <f>(F625/F613)*E65</f>
        <v>0</v>
      </c>
      <c r="G671" s="256">
        <f>(G626/G613)*E92</f>
        <v>0</v>
      </c>
      <c r="H671" s="258">
        <f>(H629/H613)*E61</f>
        <v>0</v>
      </c>
      <c r="I671" s="256">
        <f>(I630/I613)*E93</f>
        <v>0</v>
      </c>
      <c r="J671" s="256">
        <f>(J631/J613)*E94</f>
        <v>0</v>
      </c>
      <c r="K671" s="256">
        <f>(K645/K613)*E90</f>
        <v>0</v>
      </c>
      <c r="L671" s="256">
        <f>(L648/L613)*E95</f>
        <v>0</v>
      </c>
      <c r="M671" s="231">
        <f t="shared" si="18"/>
        <v>0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2604597</v>
      </c>
      <c r="D674" s="256">
        <f>(D616/D613)*H91</f>
        <v>102658</v>
      </c>
      <c r="E674" s="258">
        <f>(E624/E613)*SUM(C674:D674)</f>
        <v>1565198.7469658118</v>
      </c>
      <c r="F674" s="258">
        <f>(F625/F613)*H65</f>
        <v>0</v>
      </c>
      <c r="G674" s="256">
        <f>(G626/G613)*H92</f>
        <v>660902.27832826355</v>
      </c>
      <c r="H674" s="258">
        <f>(H629/H613)*H61</f>
        <v>54933.931779881095</v>
      </c>
      <c r="I674" s="256">
        <f>(I630/I613)*H93</f>
        <v>211569.53645447546</v>
      </c>
      <c r="J674" s="256">
        <f>(J631/J613)*H94</f>
        <v>35199.051575239668</v>
      </c>
      <c r="K674" s="256">
        <f>(K645/K613)*H90</f>
        <v>926737.56531893124</v>
      </c>
      <c r="L674" s="256">
        <f>(L648/L613)*H95</f>
        <v>0</v>
      </c>
      <c r="M674" s="231">
        <f t="shared" si="18"/>
        <v>3557199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>
        <f>(J631/J613)*J94</f>
        <v>0</v>
      </c>
      <c r="K676" s="256">
        <f>(K645/K613)*J90</f>
        <v>0</v>
      </c>
      <c r="L676" s="256">
        <f>(L648/L613)*J95</f>
        <v>0</v>
      </c>
      <c r="M676" s="231">
        <f t="shared" si="18"/>
        <v>0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>
        <f>(J631/J613)*K94</f>
        <v>0</v>
      </c>
      <c r="K677" s="256">
        <f>(K645/K613)*K90</f>
        <v>0</v>
      </c>
      <c r="L677" s="256">
        <f>(L648/L613)*K95</f>
        <v>0</v>
      </c>
      <c r="M677" s="231">
        <f t="shared" si="18"/>
        <v>0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>
        <f>(J631/J613)*O94</f>
        <v>0</v>
      </c>
      <c r="K681" s="256">
        <f>(K645/K613)*O90</f>
        <v>0</v>
      </c>
      <c r="L681" s="256">
        <f>(L648/L613)*O95</f>
        <v>0</v>
      </c>
      <c r="M681" s="231">
        <f t="shared" si="18"/>
        <v>0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0</v>
      </c>
      <c r="D682" s="256">
        <f>(D616/D613)*P91</f>
        <v>0</v>
      </c>
      <c r="E682" s="258">
        <f>(E624/E613)*SUM(C682:D682)</f>
        <v>0</v>
      </c>
      <c r="F682" s="258">
        <f>(F625/F613)*P65</f>
        <v>0</v>
      </c>
      <c r="G682" s="256">
        <f>(G626/G613)*P92</f>
        <v>0</v>
      </c>
      <c r="H682" s="258">
        <f>(H629/H613)*P61</f>
        <v>0</v>
      </c>
      <c r="I682" s="256">
        <f>(I630/I613)*P93</f>
        <v>0</v>
      </c>
      <c r="J682" s="256">
        <f>(J631/J613)*P94</f>
        <v>0</v>
      </c>
      <c r="K682" s="256">
        <f>(K645/K613)*P90</f>
        <v>0</v>
      </c>
      <c r="L682" s="256">
        <f>(L648/L613)*P95</f>
        <v>0</v>
      </c>
      <c r="M682" s="231">
        <f t="shared" si="18"/>
        <v>0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>
        <f>(G626/G613)*Q92</f>
        <v>0</v>
      </c>
      <c r="H683" s="258">
        <f>(H629/H613)*Q61</f>
        <v>0</v>
      </c>
      <c r="I683" s="256">
        <f>(I630/I613)*Q93</f>
        <v>0</v>
      </c>
      <c r="J683" s="256">
        <f>(J631/J613)*Q94</f>
        <v>0</v>
      </c>
      <c r="K683" s="256">
        <f>(K645/K613)*Q90</f>
        <v>0</v>
      </c>
      <c r="L683" s="256">
        <f>(L648/L613)*Q95</f>
        <v>0</v>
      </c>
      <c r="M683" s="231">
        <f t="shared" si="18"/>
        <v>0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0</v>
      </c>
      <c r="D684" s="256">
        <f>(D616/D613)*R91</f>
        <v>0</v>
      </c>
      <c r="E684" s="258">
        <f>(E624/E613)*SUM(C684:D684)</f>
        <v>0</v>
      </c>
      <c r="F684" s="258">
        <f>(F625/F613)*R65</f>
        <v>0</v>
      </c>
      <c r="G684" s="256">
        <f>(G626/G613)*R92</f>
        <v>0</v>
      </c>
      <c r="H684" s="258">
        <f>(H629/H613)*R61</f>
        <v>0</v>
      </c>
      <c r="I684" s="256">
        <f>(I630/I613)*R93</f>
        <v>0</v>
      </c>
      <c r="J684" s="256">
        <f>(J631/J613)*R94</f>
        <v>0</v>
      </c>
      <c r="K684" s="256">
        <f>(K645/K613)*R90</f>
        <v>0</v>
      </c>
      <c r="L684" s="256">
        <f>(L648/L613)*R95</f>
        <v>0</v>
      </c>
      <c r="M684" s="231">
        <f t="shared" si="18"/>
        <v>0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0</v>
      </c>
      <c r="D685" s="256">
        <f>(D616/D613)*S91</f>
        <v>0</v>
      </c>
      <c r="E685" s="258">
        <f>(E624/E613)*SUM(C685:D685)</f>
        <v>0</v>
      </c>
      <c r="F685" s="258">
        <f>(F625/F613)*S65</f>
        <v>0</v>
      </c>
      <c r="G685" s="256">
        <f>(G626/G613)*S92</f>
        <v>0</v>
      </c>
      <c r="H685" s="258">
        <f>(H629/H613)*S61</f>
        <v>0</v>
      </c>
      <c r="I685" s="256">
        <f>(I630/I613)*S93</f>
        <v>0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0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>
        <f>(G626/G613)*T92</f>
        <v>0</v>
      </c>
      <c r="H686" s="258">
        <f>(H629/H613)*T61</f>
        <v>0</v>
      </c>
      <c r="I686" s="256">
        <f>(I630/I613)*T93</f>
        <v>0</v>
      </c>
      <c r="J686" s="256">
        <f>(J631/J613)*T94</f>
        <v>0</v>
      </c>
      <c r="K686" s="256">
        <f>(K645/K613)*T90</f>
        <v>0</v>
      </c>
      <c r="L686" s="256">
        <f>(L648/L613)*T95</f>
        <v>0</v>
      </c>
      <c r="M686" s="231">
        <f t="shared" si="18"/>
        <v>0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43473</v>
      </c>
      <c r="D687" s="256">
        <f>(D616/D613)*U91</f>
        <v>0</v>
      </c>
      <c r="E687" s="258">
        <f>(E624/E613)*SUM(C687:D687)</f>
        <v>25133.90320706573</v>
      </c>
      <c r="F687" s="258">
        <f>(F625/F613)*U65</f>
        <v>0</v>
      </c>
      <c r="G687" s="256">
        <f>(G626/G613)*U92</f>
        <v>0</v>
      </c>
      <c r="H687" s="258">
        <f>(H629/H613)*U61</f>
        <v>0</v>
      </c>
      <c r="I687" s="256">
        <f>(I630/I613)*U93</f>
        <v>0</v>
      </c>
      <c r="J687" s="256">
        <f>(J631/J613)*U94</f>
        <v>0</v>
      </c>
      <c r="K687" s="256">
        <f>(K645/K613)*U90</f>
        <v>0</v>
      </c>
      <c r="L687" s="256">
        <f>(L648/L613)*U95</f>
        <v>0</v>
      </c>
      <c r="M687" s="231">
        <f t="shared" si="18"/>
        <v>25134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>
        <f>(G626/G613)*V92</f>
        <v>0</v>
      </c>
      <c r="H688" s="258">
        <f>(H629/H613)*V61</f>
        <v>0</v>
      </c>
      <c r="I688" s="256">
        <f>(I630/I613)*V93</f>
        <v>0</v>
      </c>
      <c r="J688" s="256">
        <f>(J631/J613)*V94</f>
        <v>0</v>
      </c>
      <c r="K688" s="256">
        <f>(K645/K613)*V90</f>
        <v>0</v>
      </c>
      <c r="L688" s="256">
        <f>(L648/L613)*V95</f>
        <v>0</v>
      </c>
      <c r="M688" s="231">
        <f t="shared" si="18"/>
        <v>0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>
        <f>(G626/G613)*W92</f>
        <v>0</v>
      </c>
      <c r="H689" s="258">
        <f>(H629/H613)*W61</f>
        <v>0</v>
      </c>
      <c r="I689" s="256">
        <f>(I630/I613)*W93</f>
        <v>0</v>
      </c>
      <c r="J689" s="256">
        <f>(J631/J613)*W94</f>
        <v>0</v>
      </c>
      <c r="K689" s="256">
        <f>(K645/K613)*W90</f>
        <v>0</v>
      </c>
      <c r="L689" s="256">
        <f>(L648/L613)*W95</f>
        <v>0</v>
      </c>
      <c r="M689" s="231">
        <f t="shared" si="18"/>
        <v>0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>
        <f>(G626/G613)*X92</f>
        <v>0</v>
      </c>
      <c r="H690" s="258">
        <f>(H629/H613)*X61</f>
        <v>0</v>
      </c>
      <c r="I690" s="256">
        <f>(I630/I613)*X93</f>
        <v>0</v>
      </c>
      <c r="J690" s="256">
        <f>(J631/J613)*X94</f>
        <v>0</v>
      </c>
      <c r="K690" s="256">
        <f>(K645/K613)*X90</f>
        <v>0</v>
      </c>
      <c r="L690" s="256">
        <f>(L648/L613)*X95</f>
        <v>0</v>
      </c>
      <c r="M690" s="231">
        <f t="shared" si="18"/>
        <v>0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48661</v>
      </c>
      <c r="D691" s="256">
        <f>(D616/D613)*Y91</f>
        <v>0</v>
      </c>
      <c r="E691" s="258">
        <f>(E624/E613)*SUM(C691:D691)</f>
        <v>28133.344005682276</v>
      </c>
      <c r="F691" s="258">
        <f>(F625/F613)*Y65</f>
        <v>0</v>
      </c>
      <c r="G691" s="256">
        <f>(G626/G613)*Y92</f>
        <v>0</v>
      </c>
      <c r="H691" s="258">
        <f>(H629/H613)*Y61</f>
        <v>0</v>
      </c>
      <c r="I691" s="256">
        <f>(I630/I613)*Y93</f>
        <v>0</v>
      </c>
      <c r="J691" s="256">
        <f>(J631/J613)*Y94</f>
        <v>0</v>
      </c>
      <c r="K691" s="256">
        <f>(K645/K613)*Y90</f>
        <v>0</v>
      </c>
      <c r="L691" s="256">
        <f>(L648/L613)*Y95</f>
        <v>0</v>
      </c>
      <c r="M691" s="231">
        <f t="shared" si="18"/>
        <v>28133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>
        <f>(G626/G613)*AA92</f>
        <v>0</v>
      </c>
      <c r="H693" s="258">
        <f>(H629/H613)*AA61</f>
        <v>0</v>
      </c>
      <c r="I693" s="256">
        <f>(I630/I613)*AA93</f>
        <v>0</v>
      </c>
      <c r="J693" s="256">
        <f>(J631/J613)*AA94</f>
        <v>0</v>
      </c>
      <c r="K693" s="256">
        <f>(K645/K613)*AA90</f>
        <v>0</v>
      </c>
      <c r="L693" s="256">
        <f>(L648/L613)*AA95</f>
        <v>0</v>
      </c>
      <c r="M693" s="231">
        <f t="shared" si="18"/>
        <v>0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242687</v>
      </c>
      <c r="D694" s="256">
        <f>(D616/D613)*AB91</f>
        <v>0</v>
      </c>
      <c r="E694" s="258">
        <f>(E624/E613)*SUM(C694:D694)</f>
        <v>140309.42349534563</v>
      </c>
      <c r="F694" s="258">
        <f>(F625/F613)*AB65</f>
        <v>0</v>
      </c>
      <c r="G694" s="256">
        <f>(G626/G613)*AB92</f>
        <v>0</v>
      </c>
      <c r="H694" s="258">
        <f>(H629/H613)*AB61</f>
        <v>1989.9536512099783</v>
      </c>
      <c r="I694" s="256">
        <f>(I630/I613)*AB93</f>
        <v>0</v>
      </c>
      <c r="J694" s="256">
        <f>(J631/J613)*AB94</f>
        <v>0</v>
      </c>
      <c r="K694" s="256">
        <f>(K645/K613)*AB90</f>
        <v>0</v>
      </c>
      <c r="L694" s="256">
        <f>(L648/L613)*AB95</f>
        <v>0</v>
      </c>
      <c r="M694" s="231">
        <f t="shared" si="18"/>
        <v>142299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0</v>
      </c>
      <c r="D695" s="256">
        <f>(D616/D613)*AC91</f>
        <v>0</v>
      </c>
      <c r="E695" s="258">
        <f>(E624/E613)*SUM(C695:D695)</f>
        <v>0</v>
      </c>
      <c r="F695" s="258">
        <f>(F625/F613)*AC65</f>
        <v>0</v>
      </c>
      <c r="G695" s="256">
        <f>(G626/G613)*AC92</f>
        <v>0</v>
      </c>
      <c r="H695" s="258">
        <f>(H629/H613)*AC61</f>
        <v>0</v>
      </c>
      <c r="I695" s="256">
        <f>(I630/I613)*AC93</f>
        <v>0</v>
      </c>
      <c r="J695" s="256">
        <f>(J631/J613)*AC94</f>
        <v>0</v>
      </c>
      <c r="K695" s="256">
        <f>(K645/K613)*AC90</f>
        <v>0</v>
      </c>
      <c r="L695" s="256">
        <f>(L648/L613)*AC95</f>
        <v>0</v>
      </c>
      <c r="M695" s="231">
        <f t="shared" si="18"/>
        <v>0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>
        <f>(G626/G613)*AD92</f>
        <v>0</v>
      </c>
      <c r="H696" s="258">
        <f>(H629/H613)*AD61</f>
        <v>0</v>
      </c>
      <c r="I696" s="256">
        <f>(I630/I613)*AD93</f>
        <v>0</v>
      </c>
      <c r="J696" s="256">
        <f>(J631/J613)*AD94</f>
        <v>0</v>
      </c>
      <c r="K696" s="256">
        <f>(K645/K613)*AD90</f>
        <v>0</v>
      </c>
      <c r="L696" s="256">
        <f>(L648/L613)*AD95</f>
        <v>0</v>
      </c>
      <c r="M696" s="231">
        <f t="shared" si="18"/>
        <v>0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0</v>
      </c>
      <c r="D697" s="256">
        <f>(D616/D613)*AE91</f>
        <v>0</v>
      </c>
      <c r="E697" s="258">
        <f>(E624/E613)*SUM(C697:D697)</f>
        <v>0</v>
      </c>
      <c r="F697" s="258">
        <f>(F625/F613)*AE65</f>
        <v>0</v>
      </c>
      <c r="G697" s="256">
        <f>(G626/G613)*AE92</f>
        <v>0</v>
      </c>
      <c r="H697" s="258">
        <f>(H629/H613)*AE61</f>
        <v>0</v>
      </c>
      <c r="I697" s="256">
        <f>(I630/I613)*AE93</f>
        <v>0</v>
      </c>
      <c r="J697" s="256">
        <f>(J631/J613)*AE94</f>
        <v>0</v>
      </c>
      <c r="K697" s="256">
        <f>(K645/K613)*AE90</f>
        <v>0</v>
      </c>
      <c r="L697" s="256">
        <f>(L648/L613)*AE95</f>
        <v>0</v>
      </c>
      <c r="M697" s="231">
        <f t="shared" si="18"/>
        <v>0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124212</v>
      </c>
      <c r="D699" s="256">
        <f>(D616/D613)*AG91</f>
        <v>0</v>
      </c>
      <c r="E699" s="258">
        <f>(E624/E613)*SUM(C699:D699)</f>
        <v>71813.134247833106</v>
      </c>
      <c r="F699" s="258">
        <f>(F625/F613)*AG65</f>
        <v>0</v>
      </c>
      <c r="G699" s="256">
        <f>(G626/G613)*AG92</f>
        <v>0</v>
      </c>
      <c r="H699" s="258">
        <f>(H629/H613)*AG61</f>
        <v>0</v>
      </c>
      <c r="I699" s="256">
        <f>(I630/I613)*AG93</f>
        <v>0</v>
      </c>
      <c r="J699" s="256">
        <f>(J631/J613)*AG94</f>
        <v>0</v>
      </c>
      <c r="K699" s="256">
        <f>(K645/K613)*AG90</f>
        <v>0</v>
      </c>
      <c r="L699" s="256">
        <f>(L648/L613)*AG95</f>
        <v>0</v>
      </c>
      <c r="M699" s="231">
        <f t="shared" si="18"/>
        <v>71813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0</v>
      </c>
      <c r="D702" s="256">
        <f>(D616/D613)*AJ91</f>
        <v>0</v>
      </c>
      <c r="E702" s="258">
        <f>(E624/E613)*SUM(C702:D702)</f>
        <v>0</v>
      </c>
      <c r="F702" s="258">
        <f>(F625/F613)*AJ65</f>
        <v>0</v>
      </c>
      <c r="G702" s="256">
        <f>(G626/G613)*AJ92</f>
        <v>0</v>
      </c>
      <c r="H702" s="258">
        <f>(H629/H613)*AJ61</f>
        <v>0</v>
      </c>
      <c r="I702" s="256">
        <f>(I630/I613)*AJ93</f>
        <v>0</v>
      </c>
      <c r="J702" s="256">
        <f>(J631/J613)*AJ94</f>
        <v>0</v>
      </c>
      <c r="K702" s="256">
        <f>(K645/K613)*AJ90</f>
        <v>0</v>
      </c>
      <c r="L702" s="256">
        <f>(L648/L613)*AJ95</f>
        <v>0</v>
      </c>
      <c r="M702" s="231">
        <f t="shared" si="18"/>
        <v>0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53702</v>
      </c>
      <c r="D705" s="256">
        <f>(D616/D613)*AM91</f>
        <v>0</v>
      </c>
      <c r="E705" s="258">
        <f>(E624/E613)*SUM(C705:D705)</f>
        <v>31047.796794006485</v>
      </c>
      <c r="F705" s="258">
        <f>(F625/F613)*AM65</f>
        <v>0</v>
      </c>
      <c r="G705" s="256">
        <f>(G626/G613)*AM92</f>
        <v>0</v>
      </c>
      <c r="H705" s="258">
        <f>(H629/H613)*AM61</f>
        <v>1233.210713425902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32281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147408</v>
      </c>
      <c r="D714" s="256">
        <f>(D616/D613)*AV91</f>
        <v>0</v>
      </c>
      <c r="E714" s="258">
        <f>(E624/E613)*SUM(C714:D714)</f>
        <v>85223.895382125571</v>
      </c>
      <c r="F714" s="258">
        <f>(F625/F613)*AV65</f>
        <v>0</v>
      </c>
      <c r="G714" s="256">
        <f>(G626/G613)*AV92</f>
        <v>0</v>
      </c>
      <c r="H714" s="258">
        <f>(H629/H613)*AV61</f>
        <v>5325.2280807027591</v>
      </c>
      <c r="I714" s="256">
        <f>(I630/I613)*AV93</f>
        <v>0</v>
      </c>
      <c r="J714" s="256">
        <f>(J631/J613)*AV94</f>
        <v>0</v>
      </c>
      <c r="K714" s="256">
        <f>(K645/K613)*AV90</f>
        <v>0</v>
      </c>
      <c r="L714" s="256">
        <f>(L648/L613)*AV95</f>
        <v>0</v>
      </c>
      <c r="M714" s="231">
        <f t="shared" si="18"/>
        <v>90549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7212149</v>
      </c>
      <c r="D716" s="231">
        <f>SUM(D617:D648)+SUM(D669:D714)</f>
        <v>102658</v>
      </c>
      <c r="E716" s="231">
        <f>SUM(E625:E648)+SUM(E669:E714)</f>
        <v>2642146.0000000005</v>
      </c>
      <c r="F716" s="231">
        <f>SUM(F626:F649)+SUM(F669:F714)</f>
        <v>0</v>
      </c>
      <c r="G716" s="231">
        <f>SUM(G627:G648)+SUM(G669:G714)</f>
        <v>660902.27832826355</v>
      </c>
      <c r="H716" s="231">
        <f>SUM(H630:H648)+SUM(H669:H714)</f>
        <v>87838.235815381297</v>
      </c>
      <c r="I716" s="231">
        <f>SUM(I631:I648)+SUM(I669:I714)</f>
        <v>211569.53645447546</v>
      </c>
      <c r="J716" s="231">
        <f>SUM(J632:J648)+SUM(J669:J714)</f>
        <v>35199.051575239668</v>
      </c>
      <c r="K716" s="231">
        <f>SUM(K669:K714)</f>
        <v>926737.56531893124</v>
      </c>
      <c r="L716" s="231">
        <f>SUM(L669:L714)</f>
        <v>0</v>
      </c>
      <c r="M716" s="231">
        <f>SUM(M669:M714)</f>
        <v>3947408</v>
      </c>
      <c r="N716" s="250" t="s">
        <v>669</v>
      </c>
    </row>
    <row r="717" spans="1:14" s="231" customFormat="1" ht="12.65" customHeight="1" x14ac:dyDescent="0.3">
      <c r="C717" s="253">
        <f>CE86</f>
        <v>7212149</v>
      </c>
      <c r="D717" s="231">
        <f>D616</f>
        <v>102658</v>
      </c>
      <c r="E717" s="231">
        <f>E624</f>
        <v>2642146</v>
      </c>
      <c r="F717" s="231">
        <f>F625</f>
        <v>0</v>
      </c>
      <c r="G717" s="231">
        <f>G626</f>
        <v>660902.27832826367</v>
      </c>
      <c r="H717" s="231">
        <f>H629</f>
        <v>87838.235815381311</v>
      </c>
      <c r="I717" s="231">
        <f>I630</f>
        <v>211569.53645447546</v>
      </c>
      <c r="J717" s="231">
        <f>J631</f>
        <v>35199.051575239668</v>
      </c>
      <c r="K717" s="231">
        <f>K645</f>
        <v>926737.56531893124</v>
      </c>
      <c r="L717" s="231">
        <f>L648</f>
        <v>0</v>
      </c>
      <c r="M717" s="231">
        <f>C649</f>
        <v>3947409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30" fitToWidth="0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/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923</v>
      </c>
      <c r="C2" s="12" t="str">
        <f>SUBSTITUTE(LEFT(data!C98,49),",","")</f>
        <v>BHC Fairfax Behavioral Health - Monroe</v>
      </c>
      <c r="D2" s="12" t="str">
        <f>LEFT(data!C99,49)</f>
        <v>14701 179th Ave SE</v>
      </c>
      <c r="E2" s="12" t="str">
        <f>RIGHT(data!C100,100)</f>
        <v>Monroe</v>
      </c>
      <c r="F2" s="12" t="str">
        <f>RIGHT(data!C101,100)</f>
        <v>WA</v>
      </c>
      <c r="G2" s="12" t="str">
        <f>RIGHT(data!C102,100)</f>
        <v/>
      </c>
      <c r="H2" s="12" t="str">
        <f>RIGHT(data!C103,100)</f>
        <v>Snohomish</v>
      </c>
      <c r="I2" s="12" t="str">
        <f>LEFT(data!C104,49)</f>
        <v>Christopher West</v>
      </c>
      <c r="J2" s="12" t="str">
        <f>LEFT(data!C105,49)</f>
        <v>Brady Gustafson</v>
      </c>
      <c r="K2" s="12" t="str">
        <f>LEFT(data!C107,49)</f>
        <v>425-821-2000</v>
      </c>
      <c r="L2" s="12" t="str">
        <f>LEFT(data!C107,49)</f>
        <v>425-821-2000</v>
      </c>
      <c r="M2" s="12" t="str">
        <f>LEFT(data!C109,49)</f>
        <v>Nicole Bryan</v>
      </c>
      <c r="N2" s="12" t="str">
        <f>LEFT(data!C110,49)</f>
        <v>nicole.bryan@uhsinc.com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workbookViewId="0"/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923</v>
      </c>
      <c r="B2" s="224" t="str">
        <f>RIGHT(data!C96,4)</f>
        <v>2022</v>
      </c>
      <c r="C2" s="16" t="s">
        <v>1123</v>
      </c>
      <c r="D2" s="223">
        <f>ROUND(data!C181,0)</f>
        <v>170524</v>
      </c>
      <c r="E2" s="223">
        <f>ROUND(data!C182,0)</f>
        <v>17833</v>
      </c>
      <c r="F2" s="223">
        <f>ROUND(data!C183,0)</f>
        <v>69700</v>
      </c>
      <c r="G2" s="223">
        <f>ROUND(data!C184,0)</f>
        <v>136409</v>
      </c>
      <c r="H2" s="223">
        <f>ROUND(data!C185,0)</f>
        <v>0</v>
      </c>
      <c r="I2" s="223">
        <f>ROUND(data!C186,0)</f>
        <v>35393</v>
      </c>
      <c r="J2" s="223">
        <f>ROUND(data!C187+data!C188,0)</f>
        <v>-49945</v>
      </c>
      <c r="K2" s="223">
        <f>ROUND(data!C191,0)</f>
        <v>500034</v>
      </c>
      <c r="L2" s="223">
        <f>ROUND(data!C192,0)</f>
        <v>3012</v>
      </c>
      <c r="M2" s="223">
        <f>ROUND(data!C195,0)</f>
        <v>43988</v>
      </c>
      <c r="N2" s="223">
        <f>ROUND(data!C196,0)</f>
        <v>15945</v>
      </c>
      <c r="O2" s="223">
        <f>ROUND(data!C199,0)</f>
        <v>50347</v>
      </c>
      <c r="P2" s="223">
        <f>ROUND(data!C200,0)</f>
        <v>125989</v>
      </c>
      <c r="Q2" s="223">
        <f>ROUND(data!C201,0)</f>
        <v>0</v>
      </c>
      <c r="R2" s="223">
        <f>ROUND(data!C204,0)</f>
        <v>0</v>
      </c>
      <c r="S2" s="223">
        <f>ROUND(data!C205,0)</f>
        <v>0</v>
      </c>
      <c r="T2" s="223">
        <f>ROUND(data!B211,0)</f>
        <v>0</v>
      </c>
      <c r="U2" s="223">
        <f>ROUND(data!C211,0)</f>
        <v>0</v>
      </c>
      <c r="V2" s="223">
        <f>ROUND(data!D211,0)</f>
        <v>0</v>
      </c>
      <c r="W2" s="223">
        <f>ROUND(data!B212,0)</f>
        <v>0</v>
      </c>
      <c r="X2" s="223">
        <f>ROUND(data!C212,0)</f>
        <v>0</v>
      </c>
      <c r="Y2" s="223">
        <f>ROUND(data!D212,0)</f>
        <v>0</v>
      </c>
      <c r="Z2" s="223">
        <f>ROUND(data!B213,0)</f>
        <v>0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573264</v>
      </c>
      <c r="AJ2" s="223">
        <f>ROUND(data!C216,0)</f>
        <v>77727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3226502</v>
      </c>
      <c r="AP2" s="223">
        <f>ROUND(data!C218,0)</f>
        <v>54930</v>
      </c>
      <c r="AQ2" s="223">
        <f>ROUND(data!D218,0)</f>
        <v>0</v>
      </c>
      <c r="AR2" s="223">
        <f>ROUND(data!B219,0)</f>
        <v>7217</v>
      </c>
      <c r="AS2" s="223">
        <f>ROUND(data!C219,0)</f>
        <v>0</v>
      </c>
      <c r="AT2" s="223">
        <f>ROUND(data!D219,0)</f>
        <v>7217</v>
      </c>
      <c r="AU2" s="223">
        <v>0</v>
      </c>
      <c r="AV2" s="223">
        <v>0</v>
      </c>
      <c r="AW2" s="223">
        <v>0</v>
      </c>
      <c r="AX2" s="223">
        <f>ROUND(data!B225,0)</f>
        <v>0</v>
      </c>
      <c r="AY2" s="223">
        <f>ROUND(data!C225,0)</f>
        <v>0</v>
      </c>
      <c r="AZ2" s="223">
        <f>ROUND(data!D225,0)</f>
        <v>0</v>
      </c>
      <c r="BA2" s="223">
        <f>ROUND(data!B226,0)</f>
        <v>0</v>
      </c>
      <c r="BB2" s="223">
        <f>ROUND(data!C226,0)</f>
        <v>0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492575</v>
      </c>
      <c r="BK2" s="223">
        <f>ROUND(data!C229,0)</f>
        <v>29729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1915085</v>
      </c>
      <c r="BQ2" s="223">
        <f>ROUND(data!C231,0)</f>
        <v>321220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1631198</v>
      </c>
      <c r="BW2" s="223">
        <f>ROUND(data!C240,0)</f>
        <v>3801249</v>
      </c>
      <c r="BX2" s="223">
        <f>ROUND(data!C241,0)</f>
        <v>0</v>
      </c>
      <c r="BY2" s="223">
        <f>ROUND(data!C242,0)</f>
        <v>155223</v>
      </c>
      <c r="BZ2" s="223">
        <f>ROUND(data!C243,0)</f>
        <v>1225673</v>
      </c>
      <c r="CA2" s="223">
        <f>ROUND(data!C244,0)</f>
        <v>0</v>
      </c>
      <c r="CB2" s="223">
        <f>ROUND(data!C247,0)</f>
        <v>0</v>
      </c>
      <c r="CC2" s="223">
        <f>ROUND(data!C249,0)</f>
        <v>98990</v>
      </c>
      <c r="CD2" s="223">
        <f>ROUND(data!C250,0)</f>
        <v>0</v>
      </c>
      <c r="CE2" s="223">
        <f>ROUND(data!C254+data!C255,0)</f>
        <v>820687</v>
      </c>
      <c r="CF2" s="223">
        <f>data!D237</f>
        <v>118494.68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/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923</v>
      </c>
      <c r="B2" s="16" t="str">
        <f>RIGHT(data!C96,4)</f>
        <v>2022</v>
      </c>
      <c r="C2" s="16" t="s">
        <v>1123</v>
      </c>
      <c r="D2" s="222">
        <f>ROUND(data!C127,0)</f>
        <v>498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3935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34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34</v>
      </c>
      <c r="X2" s="222">
        <f>ROUND(data!C145,0)</f>
        <v>0</v>
      </c>
      <c r="Y2" s="222">
        <f>ROUND(data!B154,0)</f>
        <v>198</v>
      </c>
      <c r="Z2" s="222">
        <f>ROUND(data!B155,0)</f>
        <v>1238</v>
      </c>
      <c r="AA2" s="222">
        <f>ROUND(data!B156,0)</f>
        <v>0</v>
      </c>
      <c r="AB2" s="222">
        <f>ROUND(data!B157,0)</f>
        <v>3469200</v>
      </c>
      <c r="AC2" s="222">
        <f>ROUND(data!B158,0)</f>
        <v>0</v>
      </c>
      <c r="AD2" s="222">
        <f>ROUND(data!C154,0)</f>
        <v>222</v>
      </c>
      <c r="AE2" s="222">
        <f>ROUND(data!C155,0)</f>
        <v>1798</v>
      </c>
      <c r="AF2" s="222">
        <f>ROUND(data!C156,0)</f>
        <v>0</v>
      </c>
      <c r="AG2" s="222">
        <f>ROUND(data!C157,0)</f>
        <v>5026000</v>
      </c>
      <c r="AH2" s="222">
        <f>ROUND(data!C158,0)</f>
        <v>0</v>
      </c>
      <c r="AI2" s="222">
        <f>ROUND(data!D154,0)</f>
        <v>78</v>
      </c>
      <c r="AJ2" s="222">
        <f>ROUND(data!D155,0)</f>
        <v>899</v>
      </c>
      <c r="AK2" s="222">
        <f>ROUND(data!D156,0)</f>
        <v>0</v>
      </c>
      <c r="AL2" s="222">
        <f>ROUND(data!D157,0)</f>
        <v>3263686</v>
      </c>
      <c r="AM2" s="222">
        <f>ROUND(data!D158,0)</f>
        <v>0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workbookViewId="0"/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923</v>
      </c>
      <c r="B2" s="224" t="str">
        <f>RIGHT(data!C96,4)</f>
        <v>2022</v>
      </c>
      <c r="C2" s="16" t="s">
        <v>1123</v>
      </c>
      <c r="D2" s="222">
        <f>ROUND(data!C266,0)</f>
        <v>-21972</v>
      </c>
      <c r="E2" s="222">
        <f>ROUND(data!C267,0)</f>
        <v>0</v>
      </c>
      <c r="F2" s="222">
        <f>ROUND(data!C268,0)</f>
        <v>1946753</v>
      </c>
      <c r="G2" s="222">
        <f>ROUND(data!C269,0)</f>
        <v>539585</v>
      </c>
      <c r="H2" s="222">
        <f>ROUND(data!C270,0)</f>
        <v>44816</v>
      </c>
      <c r="I2" s="222">
        <f>ROUND(data!C271,0)</f>
        <v>0</v>
      </c>
      <c r="J2" s="222">
        <f>ROUND(data!C272,0)</f>
        <v>0</v>
      </c>
      <c r="K2" s="222">
        <f>ROUND(data!C273,0)</f>
        <v>95488</v>
      </c>
      <c r="L2" s="222">
        <f>ROUND(data!C274,0)</f>
        <v>64651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0</v>
      </c>
      <c r="R2" s="222">
        <f>ROUND(data!C284,0)</f>
        <v>0</v>
      </c>
      <c r="S2" s="222">
        <f>ROUND(data!C285,0)</f>
        <v>0</v>
      </c>
      <c r="T2" s="222">
        <f>ROUND(data!C286,0)</f>
        <v>0</v>
      </c>
      <c r="U2" s="222">
        <f>ROUND(data!C287,0)</f>
        <v>0</v>
      </c>
      <c r="V2" s="222">
        <f>ROUND(data!C288,0)</f>
        <v>650992</v>
      </c>
      <c r="W2" s="222">
        <f>ROUND(data!C289,0)</f>
        <v>3281432</v>
      </c>
      <c r="X2" s="222">
        <f>ROUND(data!C290,0)</f>
        <v>0</v>
      </c>
      <c r="Y2" s="222">
        <f>ROUND(data!C291,0)</f>
        <v>0</v>
      </c>
      <c r="Z2" s="222">
        <f>ROUND(data!C292,0)</f>
        <v>2758609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33518</v>
      </c>
      <c r="AK2" s="222">
        <f>ROUND(data!C316,0)</f>
        <v>0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9622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3377869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-657044</v>
      </c>
      <c r="BJ2" s="222">
        <f>ROUND(data!C349,0)</f>
        <v>0</v>
      </c>
      <c r="BK2" s="222">
        <f>ROUND(data!CE60,2)</f>
        <v>22.99</v>
      </c>
      <c r="BL2" s="222">
        <f>ROUND(data!C358,0)</f>
        <v>11758886</v>
      </c>
      <c r="BM2" s="222">
        <f>ROUND(data!C359,0)</f>
        <v>0</v>
      </c>
      <c r="BN2" s="222">
        <f>ROUND(data!C363,0)</f>
        <v>6813343</v>
      </c>
      <c r="BO2" s="222">
        <f>ROUND(data!C364,0)</f>
        <v>98990</v>
      </c>
      <c r="BP2" s="222">
        <f>ROUND(data!C365,0)</f>
        <v>820687</v>
      </c>
      <c r="BQ2" s="222">
        <f>ROUND(data!D381,0)</f>
        <v>0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0</v>
      </c>
      <c r="CC2" s="222">
        <f>ROUND(data!C382,0)</f>
        <v>0</v>
      </c>
      <c r="CD2" s="222">
        <f>ROUND(data!C389,0)</f>
        <v>2244794</v>
      </c>
      <c r="CE2" s="222">
        <f>ROUND(data!C390,0)</f>
        <v>379913</v>
      </c>
      <c r="CF2" s="222">
        <f>ROUND(data!C391,0)</f>
        <v>985988</v>
      </c>
      <c r="CG2" s="222">
        <f>ROUND(data!C392,0)</f>
        <v>168630</v>
      </c>
      <c r="CH2" s="222">
        <f>ROUND(data!C393,0)</f>
        <v>2357</v>
      </c>
      <c r="CI2" s="222">
        <f>ROUND(data!C394,0)</f>
        <v>483819</v>
      </c>
      <c r="CJ2" s="222">
        <f>ROUND(data!C395,0)</f>
        <v>350950</v>
      </c>
      <c r="CK2" s="222">
        <f>ROUND(data!C396,0)</f>
        <v>503047</v>
      </c>
      <c r="CL2" s="222">
        <f>ROUND(data!C397,0)</f>
        <v>59933</v>
      </c>
      <c r="CM2" s="222">
        <f>ROUND(data!C398,0)</f>
        <v>176336</v>
      </c>
      <c r="CN2" s="222">
        <f>ROUND(data!C399,0)</f>
        <v>0</v>
      </c>
      <c r="CO2" s="222">
        <f>ROUND(data!C362,0)</f>
        <v>118495</v>
      </c>
      <c r="CP2" s="222">
        <f>ROUND(data!D415,0)</f>
        <v>715651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715651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/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923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923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923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0</v>
      </c>
      <c r="F4" s="212">
        <f>ROUND(data!E60,2)</f>
        <v>0</v>
      </c>
      <c r="G4" s="222">
        <f>ROUND(data!E61,0)</f>
        <v>0</v>
      </c>
      <c r="H4" s="222">
        <f>ROUND(data!E62,0)</f>
        <v>0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0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0</v>
      </c>
      <c r="AF4" s="222">
        <f>ROUND(data!E87,0)</f>
        <v>0</v>
      </c>
      <c r="AG4" s="222">
        <f>IF(data!E90&gt;0,ROUND(data!E90,0),0)</f>
        <v>0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0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923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923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923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3935</v>
      </c>
      <c r="F7" s="212">
        <f>ROUND(data!H60,2)</f>
        <v>12.75</v>
      </c>
      <c r="G7" s="222">
        <f>ROUND(data!H61,0)</f>
        <v>1512441</v>
      </c>
      <c r="H7" s="222">
        <f>ROUND(data!H62,0)</f>
        <v>255968</v>
      </c>
      <c r="I7" s="222">
        <f>ROUND(data!H63,0)</f>
        <v>0</v>
      </c>
      <c r="J7" s="222">
        <f>ROUND(data!H64,0)</f>
        <v>3014</v>
      </c>
      <c r="K7" s="222">
        <f>ROUND(data!H65,0)</f>
        <v>0</v>
      </c>
      <c r="L7" s="222">
        <f>ROUND(data!H66,0)</f>
        <v>13958</v>
      </c>
      <c r="M7" s="66">
        <f>ROUND(data!H67,0)</f>
        <v>350950</v>
      </c>
      <c r="N7" s="222">
        <f>ROUND(data!H68,0)</f>
        <v>0</v>
      </c>
      <c r="O7" s="222">
        <f>ROUND(data!H69,0)</f>
        <v>484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484</v>
      </c>
      <c r="AD7" s="222">
        <f>ROUND(data!H84,0)</f>
        <v>0</v>
      </c>
      <c r="AE7" s="222">
        <f>ROUND(data!H89,0)</f>
        <v>11758886</v>
      </c>
      <c r="AF7" s="222">
        <f>ROUND(data!H87,0)</f>
        <v>11758886</v>
      </c>
      <c r="AG7" s="222">
        <f>IF(data!H90&gt;0,ROUND(data!H90,0),0)</f>
        <v>15156</v>
      </c>
      <c r="AH7" s="222">
        <f>IF(data!H91&gt;0,ROUND(data!H91,0),0)</f>
        <v>11805</v>
      </c>
      <c r="AI7" s="222">
        <f>IF(data!H92&gt;0,ROUND(data!H92,0),0)</f>
        <v>3644</v>
      </c>
      <c r="AJ7" s="222">
        <f>IF(data!H93&gt;0,ROUND(data!H93,0),0)</f>
        <v>12606</v>
      </c>
      <c r="AK7" s="212">
        <f>IF(data!H94&gt;0,ROUND(data!H94,2),0)</f>
        <v>12.08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923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923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923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923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923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923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923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923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923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923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923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923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923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0</v>
      </c>
      <c r="G20" s="222">
        <f>ROUND(data!U61,0)</f>
        <v>0</v>
      </c>
      <c r="H20" s="222">
        <f>ROUND(data!U62,0)</f>
        <v>0</v>
      </c>
      <c r="I20" s="222">
        <f>ROUND(data!U63,0)</f>
        <v>0</v>
      </c>
      <c r="J20" s="222">
        <f>ROUND(data!U64,0)</f>
        <v>0</v>
      </c>
      <c r="K20" s="222">
        <f>ROUND(data!U65,0)</f>
        <v>0</v>
      </c>
      <c r="L20" s="222">
        <f>ROUND(data!U66,0)</f>
        <v>30056</v>
      </c>
      <c r="M20" s="66">
        <f>ROUND(data!U67,0)</f>
        <v>0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0</v>
      </c>
      <c r="AF20" s="222">
        <f>ROUND(data!U87,0)</f>
        <v>0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923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923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923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923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0</v>
      </c>
      <c r="G24" s="222">
        <f>ROUND(data!Y61,0)</f>
        <v>0</v>
      </c>
      <c r="H24" s="222">
        <f>ROUND(data!Y62,0)</f>
        <v>0</v>
      </c>
      <c r="I24" s="222">
        <f>ROUND(data!Y63,0)</f>
        <v>0</v>
      </c>
      <c r="J24" s="222">
        <f>ROUND(data!Y64,0)</f>
        <v>0</v>
      </c>
      <c r="K24" s="222">
        <f>ROUND(data!Y65,0)</f>
        <v>0</v>
      </c>
      <c r="L24" s="222">
        <f>ROUND(data!Y66,0)</f>
        <v>16269</v>
      </c>
      <c r="M24" s="66">
        <f>ROUND(data!Y67,0)</f>
        <v>0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0</v>
      </c>
      <c r="AF24" s="222">
        <f>ROUND(data!Y87,0)</f>
        <v>0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923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923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923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0.73</v>
      </c>
      <c r="G27" s="222">
        <f>ROUND(data!AB61,0)</f>
        <v>116732</v>
      </c>
      <c r="H27" s="222">
        <f>ROUND(data!AB62,0)</f>
        <v>19756</v>
      </c>
      <c r="I27" s="222">
        <f>ROUND(data!AB63,0)</f>
        <v>0</v>
      </c>
      <c r="J27" s="222">
        <f>ROUND(data!AB64,0)</f>
        <v>65307</v>
      </c>
      <c r="K27" s="222">
        <f>ROUND(data!AB65,0)</f>
        <v>0</v>
      </c>
      <c r="L27" s="222">
        <f>ROUND(data!AB66,0)</f>
        <v>12858</v>
      </c>
      <c r="M27" s="66">
        <f>ROUND(data!AB67,0)</f>
        <v>0</v>
      </c>
      <c r="N27" s="222">
        <f>ROUND(data!AB68,0)</f>
        <v>0</v>
      </c>
      <c r="O27" s="222">
        <f>ROUND(data!AB69,0)</f>
        <v>3745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3745</v>
      </c>
      <c r="AD27" s="222">
        <f>ROUND(data!AB84,0)</f>
        <v>0</v>
      </c>
      <c r="AE27" s="222">
        <f>ROUND(data!AB89,0)</f>
        <v>0</v>
      </c>
      <c r="AF27" s="222">
        <f>ROUND(data!AB87,0)</f>
        <v>0</v>
      </c>
      <c r="AG27" s="222">
        <f>IF(data!AB90&gt;0,ROUND(data!AB90,0),0)</f>
        <v>0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923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923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923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0</v>
      </c>
      <c r="AF30" s="222">
        <f>ROUND(data!AE87,0)</f>
        <v>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923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923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0</v>
      </c>
      <c r="G32" s="222">
        <f>ROUND(data!AG61,0)</f>
        <v>0</v>
      </c>
      <c r="H32" s="222">
        <f>ROUND(data!AG62,0)</f>
        <v>0</v>
      </c>
      <c r="I32" s="222">
        <f>ROUND(data!AG63,0)</f>
        <v>0</v>
      </c>
      <c r="J32" s="222">
        <f>ROUND(data!AG64,0)</f>
        <v>0</v>
      </c>
      <c r="K32" s="222">
        <f>ROUND(data!AG65,0)</f>
        <v>0</v>
      </c>
      <c r="L32" s="222">
        <f>ROUND(data!AG66,0)</f>
        <v>22047</v>
      </c>
      <c r="M32" s="66">
        <f>ROUND(data!AG67,0)</f>
        <v>0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923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923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923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923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923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923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0.33</v>
      </c>
      <c r="G38" s="222">
        <f>ROUND(data!AM61,0)</f>
        <v>28354</v>
      </c>
      <c r="H38" s="222">
        <f>ROUND(data!AM62,0)</f>
        <v>4799</v>
      </c>
      <c r="I38" s="222">
        <f>ROUND(data!AM63,0)</f>
        <v>0</v>
      </c>
      <c r="J38" s="222">
        <f>ROUND(data!AM64,0)</f>
        <v>1807</v>
      </c>
      <c r="K38" s="222">
        <f>ROUND(data!AM65,0)</f>
        <v>0</v>
      </c>
      <c r="L38" s="222">
        <f>ROUND(data!AM66,0)</f>
        <v>500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923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923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923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923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923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923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923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923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923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2.3199999999999998</v>
      </c>
      <c r="G47" s="222">
        <f>ROUND(data!AV61,0)</f>
        <v>178973</v>
      </c>
      <c r="H47" s="222">
        <f>ROUND(data!AV62,0)</f>
        <v>30290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923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923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923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0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70663</v>
      </c>
      <c r="K50" s="222">
        <f>ROUND(data!AY65,0)</f>
        <v>0</v>
      </c>
      <c r="L50" s="222">
        <f>ROUND(data!AY66,0)</f>
        <v>235832</v>
      </c>
      <c r="M50" s="66">
        <f>ROUND(data!AY67,0)</f>
        <v>0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923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923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15632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923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923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19617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19617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923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923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15156</v>
      </c>
      <c r="F56" s="212">
        <f>ROUND(data!BE60,2)</f>
        <v>0.41</v>
      </c>
      <c r="G56" s="222">
        <f>ROUND(data!BE61,0)</f>
        <v>26495</v>
      </c>
      <c r="H56" s="222">
        <f>ROUND(data!BE62,0)</f>
        <v>4484</v>
      </c>
      <c r="I56" s="222">
        <f>ROUND(data!BE63,0)</f>
        <v>0</v>
      </c>
      <c r="J56" s="222">
        <f>ROUND(data!BE64,0)</f>
        <v>1162</v>
      </c>
      <c r="K56" s="222">
        <f>ROUND(data!BE65,0)</f>
        <v>2357</v>
      </c>
      <c r="L56" s="222">
        <f>ROUND(data!BE66,0)</f>
        <v>909</v>
      </c>
      <c r="M56" s="66">
        <f>ROUND(data!BE67,0)</f>
        <v>0</v>
      </c>
      <c r="N56" s="222">
        <f>ROUND(data!BE68,0)</f>
        <v>3012</v>
      </c>
      <c r="O56" s="222">
        <f>ROUND(data!BE69,0)</f>
        <v>62548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62548</v>
      </c>
      <c r="AD56" s="222">
        <f>ROUND(data!BE84,0)</f>
        <v>0</v>
      </c>
      <c r="AE56" s="222"/>
      <c r="AF56" s="222"/>
      <c r="AG56" s="222">
        <f>IF(data!BE90&gt;0,ROUND(data!BE90,0),0)</f>
        <v>0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923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1.75</v>
      </c>
      <c r="G57" s="222">
        <f>ROUND(data!BF61,0)</f>
        <v>25294</v>
      </c>
      <c r="H57" s="222">
        <f>ROUND(data!BF62,0)</f>
        <v>4281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88023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923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923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923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1.18</v>
      </c>
      <c r="G60" s="222">
        <f>ROUND(data!BI61,0)</f>
        <v>76720</v>
      </c>
      <c r="H60" s="222">
        <f>ROUND(data!BI62,0)</f>
        <v>12984</v>
      </c>
      <c r="I60" s="222">
        <f>ROUND(data!BI63,0)</f>
        <v>0</v>
      </c>
      <c r="J60" s="222">
        <f>ROUND(data!BI64,0)</f>
        <v>25782</v>
      </c>
      <c r="K60" s="222">
        <f>ROUND(data!BI65,0)</f>
        <v>0</v>
      </c>
      <c r="L60" s="222">
        <f>ROUND(data!BI66,0)</f>
        <v>5495</v>
      </c>
      <c r="M60" s="66">
        <f>ROUND(data!BI67,0)</f>
        <v>0</v>
      </c>
      <c r="N60" s="222">
        <f>ROUND(data!BI68,0)</f>
        <v>0</v>
      </c>
      <c r="O60" s="222">
        <f>ROUND(data!BI69,0)</f>
        <v>9659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9659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923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0.6</v>
      </c>
      <c r="G61" s="222">
        <f>ROUND(data!BJ61,0)</f>
        <v>59219</v>
      </c>
      <c r="H61" s="222">
        <f>ROUND(data!BJ62,0)</f>
        <v>10022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187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187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923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0.76</v>
      </c>
      <c r="G62" s="222">
        <f>ROUND(data!BK61,0)</f>
        <v>42392</v>
      </c>
      <c r="H62" s="222">
        <f>ROUND(data!BK62,0)</f>
        <v>7175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2238</v>
      </c>
      <c r="M62" s="66">
        <f>ROUND(data!BK67,0)</f>
        <v>0</v>
      </c>
      <c r="N62" s="222">
        <f>ROUND(data!BK68,0)</f>
        <v>0</v>
      </c>
      <c r="O62" s="222">
        <f>ROUND(data!BK69,0)</f>
        <v>3070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3070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923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0.83</v>
      </c>
      <c r="G63" s="222">
        <f>ROUND(data!BL61,0)</f>
        <v>57798</v>
      </c>
      <c r="H63" s="222">
        <f>ROUND(data!BL62,0)</f>
        <v>9782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923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923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0</v>
      </c>
      <c r="G65" s="222">
        <f>ROUND(data!BN61,0)</f>
        <v>17316</v>
      </c>
      <c r="H65" s="222">
        <f>ROUND(data!BN62,0)</f>
        <v>2931</v>
      </c>
      <c r="I65" s="222">
        <f>ROUND(data!BN63,0)</f>
        <v>0</v>
      </c>
      <c r="J65" s="222">
        <f>ROUND(data!BN64,0)</f>
        <v>0</v>
      </c>
      <c r="K65" s="222">
        <f>ROUND(data!BN65,0)</f>
        <v>0</v>
      </c>
      <c r="L65" s="222">
        <f>ROUND(data!BN66,0)</f>
        <v>21275</v>
      </c>
      <c r="M65" s="66">
        <f>ROUND(data!BN67,0)</f>
        <v>0</v>
      </c>
      <c r="N65" s="222">
        <f>ROUND(data!BN68,0)</f>
        <v>500034</v>
      </c>
      <c r="O65" s="222">
        <f>ROUND(data!BN69,0)</f>
        <v>33506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33506</v>
      </c>
      <c r="AD65" s="222">
        <f>ROUND(data!BN84,0)</f>
        <v>0</v>
      </c>
      <c r="AE65" s="222"/>
      <c r="AF65" s="222"/>
      <c r="AG65" s="222">
        <f>IF(data!BN90&gt;0,ROUND(data!BN90,0),0)</f>
        <v>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923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923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923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923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0.45</v>
      </c>
      <c r="G69" s="222">
        <f>ROUND(data!BR61,0)</f>
        <v>35476</v>
      </c>
      <c r="H69" s="222">
        <f>ROUND(data!BR62,0)</f>
        <v>6004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1303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1303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923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923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923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923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0.45</v>
      </c>
      <c r="G73" s="222">
        <f>ROUND(data!BV61,0)</f>
        <v>23706</v>
      </c>
      <c r="H73" s="222">
        <f>ROUND(data!BV62,0)</f>
        <v>4012</v>
      </c>
      <c r="I73" s="222">
        <f>ROUND(data!BV63,0)</f>
        <v>0</v>
      </c>
      <c r="J73" s="222">
        <f>ROUND(data!BV64,0)</f>
        <v>895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5059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5059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923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4411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923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0.09</v>
      </c>
      <c r="G75" s="222">
        <f>ROUND(data!BX61,0)</f>
        <v>9888</v>
      </c>
      <c r="H75" s="222">
        <f>ROUND(data!BX62,0)</f>
        <v>1674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923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0</v>
      </c>
      <c r="G76" s="222">
        <f>ROUND(data!BY61,0)</f>
        <v>0</v>
      </c>
      <c r="H76" s="222">
        <f>ROUND(data!BY62,0)</f>
        <v>0</v>
      </c>
      <c r="I76" s="222">
        <f>ROUND(data!BY63,0)</f>
        <v>0</v>
      </c>
      <c r="J76" s="222">
        <f>ROUND(data!BY64,0)</f>
        <v>0</v>
      </c>
      <c r="K76" s="222">
        <f>ROUND(data!BY65,0)</f>
        <v>0</v>
      </c>
      <c r="L76" s="222">
        <f>ROUND(data!BY66,0)</f>
        <v>0</v>
      </c>
      <c r="M76" s="66">
        <f>ROUND(data!BY67,0)</f>
        <v>0</v>
      </c>
      <c r="N76" s="222">
        <f>ROUND(data!BY68,0)</f>
        <v>0</v>
      </c>
      <c r="O76" s="222">
        <f>ROUND(data!BY69,0)</f>
        <v>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923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923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923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923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0.34</v>
      </c>
      <c r="G80" s="222">
        <f>ROUND(data!CC61,0)</f>
        <v>33991</v>
      </c>
      <c r="H80" s="222">
        <f>ROUND(data!CC62,0)</f>
        <v>5753</v>
      </c>
      <c r="I80" s="222">
        <f>ROUND(data!CC63,0)</f>
        <v>981577</v>
      </c>
      <c r="J80" s="222">
        <f>ROUND(data!CC64,0)</f>
        <v>0</v>
      </c>
      <c r="K80" s="222">
        <f>ROUND(data!CC65,0)</f>
        <v>0</v>
      </c>
      <c r="L80" s="222">
        <f>ROUND(data!CC66,0)</f>
        <v>18726</v>
      </c>
      <c r="M80" s="66">
        <f>ROUND(data!CC67,0)</f>
        <v>0</v>
      </c>
      <c r="N80" s="222">
        <f>ROUND(data!CC68,0)</f>
        <v>0</v>
      </c>
      <c r="O80" s="222">
        <f>ROUND(data!CC69,0)</f>
        <v>812741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812741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workbookViewId="0">
      <selection activeCell="H22" sqref="H22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BHC Fairfax Behavioral Health - Monroe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H-923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14701 179th Ave SE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Monroe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workbookViewId="0">
      <selection activeCell="I20" sqref="I2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923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>IF(B15=0,"",IF(C15=0,"",IF(D15=0,"",IF(E15=0,"",IF(G15/F15-1&lt;-0.25,G15/F15-1,IF(G15/F15-1&gt;0.25,G15/F15-1,""))))))</f>
        <v/>
      </c>
      <c r="I15" s="275" t="str">
        <f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ref="H16:H59" si="2">IF(B16=0,"",IF(C16=0,"",IF(D16=0,"",IF(E16=0,"",IF(G16/F16-1&lt;-0.25,G16/F16-1,IF(G16/F16-1&gt;0.25,G16/F16-1,""))))))</f>
        <v/>
      </c>
      <c r="I16" s="275" t="str">
        <f t="shared" ref="I16:I46" si="3">IF(H16&gt;ABS(25%),"Please provide explanation for the fluctuation noted here","")</f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0</v>
      </c>
      <c r="C17" s="275">
        <f>data!E85</f>
        <v>0</v>
      </c>
      <c r="D17" s="275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2604597</v>
      </c>
      <c r="C20" s="275">
        <f>data!H85</f>
        <v>2136814.89</v>
      </c>
      <c r="D20" s="275">
        <f>'Prior Year'!H60</f>
        <v>5992</v>
      </c>
      <c r="E20" s="1">
        <f>data!H59</f>
        <v>3935</v>
      </c>
      <c r="F20" s="238">
        <f t="shared" si="0"/>
        <v>434.67907209612815</v>
      </c>
      <c r="G20" s="238">
        <f t="shared" si="1"/>
        <v>543.02792630241424</v>
      </c>
      <c r="H20" s="6" t="str">
        <f>IF(B20=0,"",IF(C20=0,"",IF(D20=0,"",IF(E20=0,"",IF(G20/F20-1&lt;-0.25,G20/F20-1,IF(G20/F20-1&gt;0.25,G20/F20-1,""))))))</f>
        <v/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0</v>
      </c>
      <c r="C28" s="275">
        <f>data!P85</f>
        <v>0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0</v>
      </c>
      <c r="C31" s="275">
        <f>data!S85</f>
        <v>0</v>
      </c>
      <c r="D31" s="275" t="s">
        <v>725</v>
      </c>
      <c r="E31" s="4" t="s">
        <v>725</v>
      </c>
      <c r="F31" s="238" t="str">
        <f t="shared" si="0"/>
        <v/>
      </c>
      <c r="G31" s="238" t="str">
        <f t="shared" ref="G31:G32" si="4">IFERROR(IF(C31=0,"",IF(E31=0,"",C31/E31)),"")</f>
        <v/>
      </c>
      <c r="H31" s="6" t="str">
        <f t="shared" si="2"/>
        <v/>
      </c>
      <c r="I31" s="275" t="str">
        <f t="shared" si="3"/>
        <v>Please provide explanation for the fluctuation noted here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43473</v>
      </c>
      <c r="C33" s="275">
        <f>data!U85</f>
        <v>30056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48661</v>
      </c>
      <c r="C37" s="275">
        <f>data!Y85</f>
        <v>16269.49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5"/>
        <v/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242687</v>
      </c>
      <c r="C40" s="275">
        <f>data!AB85</f>
        <v>218397.76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0</v>
      </c>
      <c r="C41" s="275">
        <f>data!AC85</f>
        <v>0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0</v>
      </c>
      <c r="C43" s="275">
        <f>data!AE85</f>
        <v>0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124212</v>
      </c>
      <c r="C45" s="275">
        <f>data!AG85</f>
        <v>22047.360000000001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0</v>
      </c>
      <c r="C48" s="275">
        <f>data!AJ85</f>
        <v>0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53702</v>
      </c>
      <c r="C51" s="275">
        <f>data!AM85</f>
        <v>35459.78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147408</v>
      </c>
      <c r="C60" s="275">
        <f>data!AV85</f>
        <v>209262.66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418783</v>
      </c>
      <c r="C63" s="275">
        <f>data!AY85</f>
        <v>306494.34000000003</v>
      </c>
      <c r="D63" s="275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5"/>
        <v/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22304</v>
      </c>
      <c r="C65" s="275">
        <f>data!BA85</f>
        <v>15631.98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0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37939</v>
      </c>
      <c r="C67" s="275">
        <f>data!BC85</f>
        <v>19617.05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0</v>
      </c>
      <c r="C68" s="275">
        <f>data!BD85</f>
        <v>0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102658</v>
      </c>
      <c r="C69" s="275">
        <f>data!BE85</f>
        <v>100967.22</v>
      </c>
      <c r="D69" s="275">
        <f>'Prior Year'!BE60</f>
        <v>15156</v>
      </c>
      <c r="E69" s="1">
        <f>data!BE59</f>
        <v>15156</v>
      </c>
      <c r="F69" s="238">
        <f>IF(B69=0,"",IF(D69=0,"",B69/D69))</f>
        <v>6.773423066772235</v>
      </c>
      <c r="G69" s="238">
        <f t="shared" si="5"/>
        <v>6.6618646080760096</v>
      </c>
      <c r="H69" s="6" t="str">
        <f>IF(B69=0,"",IF(C69=0,"",IF(D69=0,"",IF(E69=0,"",IF(G69/F69-1&lt;-0.25,G69/F69-1,IF(G69/F69-1&gt;0.25,G69/F69-1,""))))))</f>
        <v/>
      </c>
      <c r="I69" s="275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5">
        <f>'Prior Year'!BF86</f>
        <v>129018</v>
      </c>
      <c r="C70" s="275">
        <f>data!BF85</f>
        <v>117597.54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6837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152186</v>
      </c>
      <c r="C73" s="275">
        <f>data!BI85</f>
        <v>130639.70000000001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93171</v>
      </c>
      <c r="C74" s="275">
        <f>data!BJ85</f>
        <v>69427.7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63704</v>
      </c>
      <c r="C75" s="275">
        <f>data!BK85</f>
        <v>54875.220000000008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120092</v>
      </c>
      <c r="C76" s="275">
        <f>data!BL85</f>
        <v>67579.62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529702</v>
      </c>
      <c r="C78" s="275">
        <f>data!BN85</f>
        <v>575061.99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55659</v>
      </c>
      <c r="C82" s="275">
        <f>data!BR85</f>
        <v>42783.070000000007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J84" s="344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J85" s="344"/>
      <c r="M85" s="7"/>
    </row>
    <row r="86" spans="1:13" x14ac:dyDescent="0.35">
      <c r="A86" s="1" t="s">
        <v>780</v>
      </c>
      <c r="B86" s="275">
        <f>'Prior Year'!BV86</f>
        <v>50451</v>
      </c>
      <c r="C86" s="275">
        <f>data!BV85</f>
        <v>33672.079999999994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J86" s="344"/>
      <c r="M86" s="7"/>
    </row>
    <row r="87" spans="1:13" x14ac:dyDescent="0.35">
      <c r="A87" s="1" t="s">
        <v>781</v>
      </c>
      <c r="B87" s="275">
        <f>'Prior Year'!BW86</f>
        <v>41704</v>
      </c>
      <c r="C87" s="275">
        <f>data!BW85</f>
        <v>4411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J87" s="344"/>
      <c r="M87" s="7"/>
    </row>
    <row r="88" spans="1:13" x14ac:dyDescent="0.35">
      <c r="A88" s="1" t="s">
        <v>782</v>
      </c>
      <c r="B88" s="275">
        <f>'Prior Year'!BX86</f>
        <v>110765</v>
      </c>
      <c r="C88" s="275">
        <f>data!BX85</f>
        <v>11562.38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J88" s="344"/>
      <c r="M88" s="7"/>
    </row>
    <row r="89" spans="1:13" x14ac:dyDescent="0.35">
      <c r="A89" s="1" t="s">
        <v>783</v>
      </c>
      <c r="B89" s="275">
        <f>'Prior Year'!BY86</f>
        <v>0</v>
      </c>
      <c r="C89" s="275">
        <f>data!BY85</f>
        <v>0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J89" s="344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J90" s="344"/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J91" s="344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J92" s="344"/>
      <c r="M92" s="7"/>
    </row>
    <row r="93" spans="1:13" x14ac:dyDescent="0.35">
      <c r="A93" s="1" t="s">
        <v>787</v>
      </c>
      <c r="B93" s="275">
        <f>'Prior Year'!CC86</f>
        <v>2012436</v>
      </c>
      <c r="C93" s="275">
        <f>data!CC85</f>
        <v>1852788.58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J93" s="344"/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/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0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715650.83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/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H-923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BHC Fairfax Behavioral Health - Monroe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Snohomish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Christopher West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Brady Gustafson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425-821-2000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498</v>
      </c>
      <c r="G23" s="81">
        <f>data!D127</f>
        <v>3935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34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34</v>
      </c>
      <c r="E36" s="78" t="s">
        <v>325</v>
      </c>
      <c r="F36" s="81"/>
      <c r="G36" s="81">
        <f>data!C144</f>
        <v>34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workbookViewId="0"/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BHC Fairfax Behavioral Health - Monroe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198</v>
      </c>
      <c r="C7" s="141">
        <f>data!B155</f>
        <v>1238</v>
      </c>
      <c r="D7" s="141">
        <f>data!B156</f>
        <v>0</v>
      </c>
      <c r="E7" s="141">
        <f>data!B157</f>
        <v>3469200</v>
      </c>
      <c r="F7" s="141">
        <f>data!B158</f>
        <v>0</v>
      </c>
      <c r="G7" s="141">
        <f>data!B157+data!B158</f>
        <v>3469200</v>
      </c>
    </row>
    <row r="8" spans="1:7" ht="20.149999999999999" customHeight="1" x14ac:dyDescent="0.35">
      <c r="A8" s="77" t="s">
        <v>331</v>
      </c>
      <c r="B8" s="141">
        <f>data!C154</f>
        <v>222</v>
      </c>
      <c r="C8" s="141">
        <f>data!C155</f>
        <v>1798</v>
      </c>
      <c r="D8" s="141">
        <f>data!C156</f>
        <v>0</v>
      </c>
      <c r="E8" s="141">
        <f>data!C157</f>
        <v>5026000</v>
      </c>
      <c r="F8" s="141">
        <f>data!C158</f>
        <v>0</v>
      </c>
      <c r="G8" s="141">
        <f>data!C157+data!C158</f>
        <v>5026000</v>
      </c>
    </row>
    <row r="9" spans="1:7" ht="20.149999999999999" customHeight="1" x14ac:dyDescent="0.35">
      <c r="A9" s="77" t="s">
        <v>829</v>
      </c>
      <c r="B9" s="141">
        <f>data!D154</f>
        <v>78</v>
      </c>
      <c r="C9" s="141">
        <f>data!D155</f>
        <v>899</v>
      </c>
      <c r="D9" s="141">
        <f>data!D156</f>
        <v>0</v>
      </c>
      <c r="E9" s="141">
        <f>data!D157</f>
        <v>3263686</v>
      </c>
      <c r="F9" s="141">
        <f>data!D158</f>
        <v>0</v>
      </c>
      <c r="G9" s="141">
        <f>data!D157+data!D158</f>
        <v>3263686</v>
      </c>
    </row>
    <row r="10" spans="1:7" ht="20.149999999999999" customHeight="1" x14ac:dyDescent="0.35">
      <c r="A10" s="92" t="s">
        <v>215</v>
      </c>
      <c r="B10" s="141">
        <f>data!E154</f>
        <v>498</v>
      </c>
      <c r="C10" s="141">
        <f>data!E155</f>
        <v>3935</v>
      </c>
      <c r="D10" s="141">
        <f>data!E156</f>
        <v>0</v>
      </c>
      <c r="E10" s="141">
        <f>data!E157</f>
        <v>11758886</v>
      </c>
      <c r="F10" s="141">
        <f>data!E158</f>
        <v>0</v>
      </c>
      <c r="G10" s="141">
        <f>E10+F10</f>
        <v>11758886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/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BHC Fairfax Behavioral Health - Monroe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170524.03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17832.55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69699.67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136409.32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35392.69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-49945.35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379912.91000000003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500034.42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3012.1699999999837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503046.58999999997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43987.88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15945.099999999999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59932.979999999996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50347.23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125989.17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176336.4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0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B4" workbookViewId="0">
      <selection activeCell="E7" sqref="E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BHC Fairfax Behavioral Health - Monroe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0</v>
      </c>
      <c r="D7" s="81">
        <f>data!C211</f>
        <v>0</v>
      </c>
      <c r="E7" s="81">
        <f>data!D211</f>
        <v>0</v>
      </c>
      <c r="F7" s="81">
        <f>data!E211</f>
        <v>0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0</v>
      </c>
      <c r="D8" s="81">
        <f>data!C212</f>
        <v>0</v>
      </c>
      <c r="E8" s="81">
        <f>data!D212</f>
        <v>0</v>
      </c>
      <c r="F8" s="81">
        <f>data!E212</f>
        <v>0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0</v>
      </c>
      <c r="D9" s="81">
        <f>data!C213</f>
        <v>0</v>
      </c>
      <c r="E9" s="81">
        <f>data!D213</f>
        <v>0</v>
      </c>
      <c r="F9" s="81">
        <f>data!E213</f>
        <v>0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0</v>
      </c>
      <c r="D11" s="81">
        <f>data!C215</f>
        <v>0</v>
      </c>
      <c r="E11" s="81">
        <f>data!D215</f>
        <v>0</v>
      </c>
      <c r="F11" s="81">
        <f>data!E215</f>
        <v>0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573264.47</v>
      </c>
      <c r="D12" s="81">
        <f>data!C216</f>
        <v>77727.48</v>
      </c>
      <c r="E12" s="81">
        <f>data!D216</f>
        <v>0</v>
      </c>
      <c r="F12" s="81">
        <f>data!E216</f>
        <v>650991.94999999995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3226501.56</v>
      </c>
      <c r="D14" s="81">
        <f>data!C218</f>
        <v>54930.37</v>
      </c>
      <c r="E14" s="81">
        <f>data!D218</f>
        <v>0</v>
      </c>
      <c r="F14" s="81">
        <f>data!E218</f>
        <v>3281431.93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7216.72</v>
      </c>
      <c r="D15" s="81">
        <f>data!C219</f>
        <v>0</v>
      </c>
      <c r="E15" s="81">
        <f>data!D219</f>
        <v>7216.72</v>
      </c>
      <c r="F15" s="81">
        <f>data!E219</f>
        <v>0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3806982.7500000005</v>
      </c>
      <c r="D16" s="81">
        <f>data!C220</f>
        <v>132657.85</v>
      </c>
      <c r="E16" s="81">
        <f>data!D220</f>
        <v>7216.72</v>
      </c>
      <c r="F16" s="81">
        <f>data!E220</f>
        <v>3932423.88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0</v>
      </c>
      <c r="D24" s="81">
        <f>data!C225</f>
        <v>0</v>
      </c>
      <c r="E24" s="81">
        <f>data!D225</f>
        <v>0</v>
      </c>
      <c r="F24" s="81">
        <f>data!E225</f>
        <v>0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0</v>
      </c>
      <c r="D25" s="81">
        <f>data!C226</f>
        <v>0</v>
      </c>
      <c r="E25" s="81">
        <f>data!D226</f>
        <v>0</v>
      </c>
      <c r="F25" s="81">
        <f>data!E226</f>
        <v>0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492575.09</v>
      </c>
      <c r="D28" s="81">
        <f>data!C229</f>
        <v>29729.25</v>
      </c>
      <c r="E28" s="81">
        <f>data!D229</f>
        <v>0</v>
      </c>
      <c r="F28" s="81">
        <f>data!E229</f>
        <v>522304.34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1915084.76</v>
      </c>
      <c r="D30" s="81">
        <f>data!C231</f>
        <v>321220.34000000003</v>
      </c>
      <c r="E30" s="81">
        <f>data!D231</f>
        <v>0</v>
      </c>
      <c r="F30" s="81">
        <f>data!E231</f>
        <v>2236305.1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2407659.85</v>
      </c>
      <c r="D32" s="81">
        <f>data!C233</f>
        <v>350949.59</v>
      </c>
      <c r="E32" s="81">
        <f>data!D233</f>
        <v>0</v>
      </c>
      <c r="F32" s="81">
        <f>data!E233</f>
        <v>2758609.44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/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BHC Fairfax Behavioral Health - Monroe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118494.68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1631197.94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3801249.2199999997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155222.62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1225672.92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0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6813342.7000000002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98989.7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0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98989.7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67091.42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753595.96000000008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820687.38000000012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2023-04-27T22:14:22Z</cp:lastPrinted>
  <dcterms:created xsi:type="dcterms:W3CDTF">1999-06-02T22:01:56Z</dcterms:created>
  <dcterms:modified xsi:type="dcterms:W3CDTF">2023-05-25T15:44:19Z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