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AC6FBADB-F88C-4F10-87B0-FCBA8B6A57F8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8" l="1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E83" i="24"/>
  <c r="C414" i="24"/>
  <c r="BY83" i="24"/>
  <c r="BW83" i="24"/>
  <c r="BV83" i="24"/>
  <c r="BR83" i="24"/>
  <c r="BP83" i="24"/>
  <c r="BN83" i="24"/>
  <c r="BK83" i="24"/>
  <c r="BJ83" i="24"/>
  <c r="BI83" i="24"/>
  <c r="BH83" i="24"/>
  <c r="BF83" i="24"/>
  <c r="BE83" i="24"/>
  <c r="BD83" i="24"/>
  <c r="AY83" i="24"/>
  <c r="AV83" i="24"/>
  <c r="AL83" i="24"/>
  <c r="AK83" i="24"/>
  <c r="AJ83" i="24"/>
  <c r="AG83" i="24"/>
  <c r="AE83" i="24"/>
  <c r="AC83" i="24"/>
  <c r="AB83" i="24"/>
  <c r="AA83" i="24"/>
  <c r="Y83" i="24"/>
  <c r="U83" i="24"/>
  <c r="S83" i="24"/>
  <c r="Q83" i="24"/>
  <c r="P83" i="24"/>
  <c r="N83" i="24"/>
  <c r="H83" i="24"/>
  <c r="G83" i="24"/>
  <c r="C83" i="24"/>
  <c r="CE85" i="25"/>
  <c r="CE84" i="24"/>
  <c r="B28" i="27"/>
  <c r="CE83" i="24" l="1"/>
  <c r="H292" i="32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H58" i="32" s="1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E58" i="32" l="1"/>
  <c r="F90" i="32"/>
  <c r="AU48" i="24"/>
  <c r="AU62" i="24" s="1"/>
  <c r="H46" i="31" s="1"/>
  <c r="G48" i="24"/>
  <c r="G62" i="24" s="1"/>
  <c r="G12" i="32" s="1"/>
  <c r="W48" i="24"/>
  <c r="W62" i="24" s="1"/>
  <c r="H22" i="31" s="1"/>
  <c r="BK48" i="24"/>
  <c r="BK62" i="24" s="1"/>
  <c r="H62" i="31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268" i="32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G204" i="32" s="1"/>
  <c r="J48" i="24"/>
  <c r="J62" i="24" s="1"/>
  <c r="H9" i="31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E332" i="32" s="1"/>
  <c r="I48" i="24"/>
  <c r="I62" i="24" s="1"/>
  <c r="I12" i="32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140" i="32" s="1"/>
  <c r="AR48" i="24"/>
  <c r="AR62" i="24" s="1"/>
  <c r="H43" i="31" s="1"/>
  <c r="AZ48" i="24"/>
  <c r="AZ62" i="24" s="1"/>
  <c r="C236" i="32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E12" i="32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G332" i="32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D204" i="32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2" i="7"/>
  <c r="D258" i="24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AC86" i="25" s="1"/>
  <c r="CE68" i="25"/>
  <c r="E234" i="25"/>
  <c r="CE70" i="25"/>
  <c r="CE53" i="25"/>
  <c r="D342" i="25"/>
  <c r="D351" i="25" s="1"/>
  <c r="C12" i="32" l="1"/>
  <c r="H4" i="31"/>
  <c r="H63" i="31"/>
  <c r="G236" i="32"/>
  <c r="I76" i="32"/>
  <c r="H48" i="31"/>
  <c r="H12" i="31"/>
  <c r="H35" i="31"/>
  <c r="H45" i="31"/>
  <c r="H74" i="31"/>
  <c r="H8" i="31"/>
  <c r="H76" i="31"/>
  <c r="D44" i="32"/>
  <c r="D332" i="32"/>
  <c r="G268" i="32"/>
  <c r="I172" i="32"/>
  <c r="C44" i="32"/>
  <c r="AV52" i="24"/>
  <c r="AV67" i="24" s="1"/>
  <c r="AV85" i="24" s="1"/>
  <c r="C60" i="15" s="1"/>
  <c r="H23" i="31"/>
  <c r="BX52" i="24"/>
  <c r="BX67" i="24" s="1"/>
  <c r="BX85" i="24" s="1"/>
  <c r="X52" i="24"/>
  <c r="X67" i="24" s="1"/>
  <c r="X85" i="24" s="1"/>
  <c r="C689" i="24" s="1"/>
  <c r="L52" i="24"/>
  <c r="L67" i="24" s="1"/>
  <c r="E49" i="32" s="1"/>
  <c r="H51" i="31"/>
  <c r="H17" i="31"/>
  <c r="H7" i="31"/>
  <c r="E236" i="32"/>
  <c r="F300" i="32"/>
  <c r="E76" i="32"/>
  <c r="G76" i="32"/>
  <c r="H71" i="31"/>
  <c r="D300" i="32"/>
  <c r="C300" i="32"/>
  <c r="H37" i="31"/>
  <c r="H39" i="3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CE49" i="25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M23" i="31" l="1"/>
  <c r="C113" i="32"/>
  <c r="M47" i="31"/>
  <c r="E17" i="32"/>
  <c r="M61" i="31"/>
  <c r="F337" i="32"/>
  <c r="E85" i="24"/>
  <c r="C670" i="24" s="1"/>
  <c r="F209" i="32"/>
  <c r="M75" i="31"/>
  <c r="M11" i="31"/>
  <c r="L85" i="24"/>
  <c r="E53" i="32" s="1"/>
  <c r="S85" i="24"/>
  <c r="C31" i="15" s="1"/>
  <c r="G31" i="15" s="1"/>
  <c r="M63" i="31"/>
  <c r="BL85" i="24"/>
  <c r="C637" i="24" s="1"/>
  <c r="M22" i="31"/>
  <c r="AD85" i="24"/>
  <c r="I117" i="32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F32" i="15"/>
  <c r="F74" i="15"/>
  <c r="M80" i="31"/>
  <c r="D369" i="32"/>
  <c r="CC85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H36" i="15" s="1"/>
  <c r="I36" i="15" s="1"/>
  <c r="H16" i="15"/>
  <c r="I16" i="15" s="1"/>
  <c r="F16" i="15"/>
  <c r="H23" i="15"/>
  <c r="I23" i="15" s="1"/>
  <c r="F23" i="15"/>
  <c r="F81" i="15"/>
  <c r="H81" i="15"/>
  <c r="I81" i="15" s="1"/>
  <c r="M59" i="31"/>
  <c r="D273" i="32"/>
  <c r="BH85" i="24"/>
  <c r="F43" i="15"/>
  <c r="F46" i="15"/>
  <c r="H46" i="15"/>
  <c r="I46" i="15" s="1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H22" i="15"/>
  <c r="I22" i="15" s="1"/>
  <c r="F22" i="15"/>
  <c r="F78" i="15"/>
  <c r="M5" i="31"/>
  <c r="F17" i="32"/>
  <c r="F85" i="24"/>
  <c r="F47" i="15"/>
  <c r="F77" i="15"/>
  <c r="H77" i="15"/>
  <c r="I77" i="15" s="1"/>
  <c r="M12" i="31"/>
  <c r="F49" i="32"/>
  <c r="M85" i="24"/>
  <c r="F39" i="15"/>
  <c r="C138" i="8"/>
  <c r="D417" i="24"/>
  <c r="F71" i="15"/>
  <c r="M38" i="31"/>
  <c r="D177" i="32"/>
  <c r="AM85" i="24"/>
  <c r="M43" i="31"/>
  <c r="I177" i="32"/>
  <c r="AR85" i="24"/>
  <c r="F65" i="15"/>
  <c r="M65" i="31"/>
  <c r="C305" i="32"/>
  <c r="BN85" i="24"/>
  <c r="H27" i="15"/>
  <c r="I27" i="15" s="1"/>
  <c r="F27" i="15"/>
  <c r="M30" i="31"/>
  <c r="C145" i="32"/>
  <c r="AE85" i="24"/>
  <c r="M3" i="31"/>
  <c r="D17" i="32"/>
  <c r="D85" i="24"/>
  <c r="F88" i="15"/>
  <c r="M66" i="31"/>
  <c r="D305" i="32"/>
  <c r="BO85" i="24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67" i="24"/>
  <c r="CE52" i="24"/>
  <c r="F70" i="15"/>
  <c r="F30" i="15"/>
  <c r="M62" i="31"/>
  <c r="G273" i="32"/>
  <c r="BK85" i="24"/>
  <c r="F75" i="15"/>
  <c r="F55" i="15"/>
  <c r="H55" i="15"/>
  <c r="I55" i="15" s="1"/>
  <c r="F85" i="15"/>
  <c r="H85" i="15"/>
  <c r="I85" i="15" s="1"/>
  <c r="H20" i="15"/>
  <c r="I20" i="15" s="1"/>
  <c r="F20" i="15"/>
  <c r="M50" i="31"/>
  <c r="I209" i="32"/>
  <c r="AY85" i="24"/>
  <c r="F82" i="15"/>
  <c r="F29" i="15"/>
  <c r="H94" i="15"/>
  <c r="I94" i="15" s="1"/>
  <c r="G94" i="15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H18" i="15"/>
  <c r="I18" i="15" s="1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H91" i="15" s="1"/>
  <c r="I91" i="15" s="1"/>
  <c r="C92" i="15"/>
  <c r="G92" i="15" s="1"/>
  <c r="C373" i="32"/>
  <c r="C622" i="24"/>
  <c r="E85" i="32" l="1"/>
  <c r="H54" i="15"/>
  <c r="I54" i="15" s="1"/>
  <c r="C17" i="15"/>
  <c r="G17" i="15" s="1"/>
  <c r="E21" i="32"/>
  <c r="C684" i="24"/>
  <c r="C677" i="24"/>
  <c r="C24" i="15"/>
  <c r="G24" i="15" s="1"/>
  <c r="H277" i="32"/>
  <c r="C42" i="15"/>
  <c r="G42" i="15" s="1"/>
  <c r="C695" i="24"/>
  <c r="C74" i="15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H17" i="15" l="1"/>
  <c r="I17" i="15" s="1"/>
  <c r="H50" i="15"/>
  <c r="I50" i="15" s="1"/>
  <c r="H76" i="15"/>
  <c r="I76" i="15" s="1"/>
  <c r="H40" i="15"/>
  <c r="I40" i="15" s="1"/>
  <c r="G30" i="15"/>
  <c r="H30" i="15" s="1"/>
  <c r="I30" i="15" s="1"/>
  <c r="G71" i="15"/>
  <c r="H71" i="15"/>
  <c r="I71" i="15" s="1"/>
  <c r="H69" i="15"/>
  <c r="I69" i="15" s="1"/>
  <c r="G51" i="15"/>
  <c r="H51" i="15"/>
  <c r="I51" i="15" s="1"/>
  <c r="G26" i="15"/>
  <c r="H26" i="15" s="1"/>
  <c r="I26" i="15" s="1"/>
  <c r="G72" i="15"/>
  <c r="H72" i="15" s="1"/>
  <c r="I72" i="15" s="1"/>
  <c r="G19" i="15"/>
  <c r="H19" i="15" s="1"/>
  <c r="I19" i="15" s="1"/>
  <c r="G74" i="15"/>
  <c r="H74" i="15" s="1"/>
  <c r="I74" i="15" s="1"/>
  <c r="G47" i="15"/>
  <c r="H47" i="15"/>
  <c r="I47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K702" i="25"/>
  <c r="K694" i="25"/>
  <c r="K686" i="25"/>
  <c r="K707" i="25"/>
  <c r="M707" i="25" s="1"/>
  <c r="K699" i="25"/>
  <c r="M699" i="25" s="1"/>
  <c r="K691" i="25"/>
  <c r="K683" i="25"/>
  <c r="K712" i="25"/>
  <c r="K704" i="25"/>
  <c r="K696" i="25"/>
  <c r="K688" i="25"/>
  <c r="K680" i="25"/>
  <c r="K709" i="25"/>
  <c r="K701" i="25"/>
  <c r="K693" i="25"/>
  <c r="K685" i="25"/>
  <c r="K717" i="25"/>
  <c r="K708" i="25"/>
  <c r="K700" i="25"/>
  <c r="K692" i="25"/>
  <c r="K684" i="25"/>
  <c r="K714" i="25"/>
  <c r="K689" i="25"/>
  <c r="K687" i="25"/>
  <c r="K678" i="25"/>
  <c r="K670" i="25"/>
  <c r="K706" i="25"/>
  <c r="K681" i="25"/>
  <c r="K675" i="25"/>
  <c r="K698" i="25"/>
  <c r="M698" i="25" s="1"/>
  <c r="K672" i="25"/>
  <c r="K690" i="25"/>
  <c r="K677" i="25"/>
  <c r="K669" i="25"/>
  <c r="K682" i="25"/>
  <c r="K674" i="25"/>
  <c r="K679" i="25"/>
  <c r="M679" i="25" s="1"/>
  <c r="K671" i="25"/>
  <c r="K713" i="25"/>
  <c r="K703" i="25"/>
  <c r="K673" i="25"/>
  <c r="K697" i="25"/>
  <c r="K711" i="25"/>
  <c r="K676" i="25"/>
  <c r="K705" i="25"/>
  <c r="K695" i="25"/>
  <c r="M695" i="25" s="1"/>
  <c r="M671" i="25" l="1"/>
  <c r="M710" i="25"/>
  <c r="M701" i="25"/>
  <c r="M685" i="25"/>
  <c r="M688" i="25"/>
  <c r="M686" i="25"/>
  <c r="M697" i="25"/>
  <c r="M713" i="25"/>
  <c r="M683" i="25"/>
  <c r="M705" i="25"/>
  <c r="M692" i="25"/>
  <c r="M670" i="25"/>
  <c r="M694" i="25"/>
  <c r="M703" i="25"/>
  <c r="M672" i="25"/>
  <c r="M681" i="25"/>
  <c r="M696" i="25"/>
  <c r="M678" i="25"/>
  <c r="M704" i="25"/>
  <c r="M687" i="25"/>
  <c r="M690" i="25"/>
  <c r="M693" i="25"/>
  <c r="M691" i="25"/>
  <c r="M675" i="25"/>
  <c r="M673" i="25"/>
  <c r="M676" i="25"/>
  <c r="M680" i="25"/>
  <c r="M677" i="25"/>
  <c r="M711" i="25"/>
  <c r="M700" i="25"/>
  <c r="M689" i="25"/>
  <c r="M714" i="25"/>
  <c r="M684" i="25"/>
  <c r="M674" i="25"/>
  <c r="M706" i="25"/>
  <c r="M70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M672" i="24" s="1"/>
  <c r="G23" i="32" s="1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711" i="24"/>
  <c r="D215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<sst xmlns="http://schemas.openxmlformats.org/spreadsheetml/2006/main" count="5779" uniqueCount="1380">
  <si>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</si>
  <si>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</si>
  <si>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</si>
  <si>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</si>
  <si>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</si>
  <si>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</si>
  <si>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</si>
  <si>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</si>
  <si>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</si>
  <si>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</si>
  <si>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</si>
  <si>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</si>
  <si>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</si>
  <si>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</si>
  <si>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</si>
  <si>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</si>
  <si>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</si>
  <si>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</si>
  <si>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</si>
  <si>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</si>
  <si>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</si>
  <si>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</si>
  <si>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</si>
  <si>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</si>
  <si>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</si>
  <si>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</si>
  <si>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</si>
  <si>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</si>
  <si>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</si>
  <si>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</si>
  <si>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</si>
  <si>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</si>
  <si>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</si>
  <si>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</si>
  <si>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</si>
  <si>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</si>
  <si>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</si>
  <si>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</si>
  <si>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</si>
  <si>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</si>
  <si>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</si>
  <si>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</si>
  <si>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</si>
  <si>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</si>
  <si>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</si>
  <si>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</si>
  <si>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</si>
  <si>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</si>
  <si>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</si>
  <si>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</si>
  <si>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</si>
  <si>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</si>
  <si>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</si>
  <si>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</si>
  <si>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</si>
  <si>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</si>
  <si>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</si>
  <si>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</si>
  <si>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</si>
  <si>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</si>
  <si>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</si>
  <si>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</si>
  <si>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</si>
  <si>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</si>
  <si>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</si>
  <si>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</si>
  <si>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</si>
  <si>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</si>
  <si>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</si>
  <si>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</si>
  <si>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</si>
  <si>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</si>
  <si>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</si>
  <si>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</si>
  <si>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</si>
  <si>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</si>
  <si>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</si>
  <si>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</si>
  <si>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</si>
  <si>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</si>
  <si>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</si>
  <si>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</si>
  <si>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</si>
  <si>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</si>
  <si>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</si>
  <si>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</si>
  <si>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</si>
  <si>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</si>
  <si>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</si>
  <si>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</si>
  <si>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</si>
  <si>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</si>
  <si>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</si>
  <si>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</si>
  <si>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</si>
  <si>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</si>
  <si>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</si>
  <si>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</si>
  <si>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</si>
  <si>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</si>
  <si>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</si>
  <si>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</si>
  <si>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</si>
  <si>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</si>
  <si>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</si>
  <si>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</si>
  <si>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</si>
  <si>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</si>
  <si>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</si>
  <si>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</si>
  <si>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</si>
  <si>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</si>
  <si>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</si>
  <si>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</si>
  <si>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</si>
  <si>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</si>
  <si>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</si>
  <si>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</si>
  <si>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</si>
  <si>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</si>
  <si>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</si>
  <si>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</si>
  <si>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</si>
  <si>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</si>
  <si>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</si>
  <si>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</si>
  <si>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</si>
  <si>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</si>
  <si>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</si>
  <si>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</si>
  <si>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</si>
  <si>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</si>
  <si>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</si>
  <si>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</si>
  <si>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</si>
  <si>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</si>
  <si>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</si>
  <si>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</si>
  <si>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</si>
  <si>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</si>
  <si>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</si>
  <si>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</si>
  <si>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</si>
  <si>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</si>
  <si>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</si>
  <si>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</si>
  <si>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</si>
  <si>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</si>
  <si>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</si>
  <si>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</si>
  <si>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</si>
  <si>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</si>
  <si>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</si>
  <si>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</si>
  <si>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</si>
  <si>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</si>
  <si>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</si>
  <si>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</si>
  <si>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</si>
  <si>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</si>
  <si>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</si>
  <si>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</si>
  <si>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</si>
  <si>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</si>
  <si>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</si>
  <si>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</si>
  <si>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</si>
  <si>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</si>
  <si>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</si>
  <si>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</si>
  <si>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</si>
  <si>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</si>
  <si>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</si>
  <si>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</si>
  <si>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</si>
  <si>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</si>
  <si>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</si>
  <si>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</si>
  <si>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</si>
  <si>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</si>
  <si>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</si>
  <si>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</si>
  <si>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</si>
  <si>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</si>
  <si>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</si>
  <si>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</si>
  <si>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</si>
  <si>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</si>
  <si>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</si>
  <si>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</si>
  <si>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</si>
  <si>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</si>
  <si>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</si>
  <si>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</si>
  <si>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</si>
  <si>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</si>
  <si>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</si>
  <si>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</si>
  <si>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</si>
  <si>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</si>
  <si>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</si>
  <si>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</si>
  <si>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</si>
  <si>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</si>
  <si>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</si>
  <si>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</si>
  <si>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</si>
  <si>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</si>
  <si>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</si>
  <si>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</si>
  <si>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</si>
  <si>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</si>
  <si>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</si>
  <si>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</si>
  <si>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</si>
  <si>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</si>
  <si>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</si>
  <si>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</si>
  <si>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</si>
  <si>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</si>
  <si>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</si>
  <si>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</si>
  <si>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</si>
  <si>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</si>
  <si>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</si>
  <si>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</si>
  <si>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</si>
  <si>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</si>
  <si>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</si>
  <si>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</si>
  <si>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</si>
  <si>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</si>
  <si>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</si>
  <si>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</si>
  <si>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</si>
  <si>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</si>
  <si>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</si>
  <si>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</si>
  <si>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</si>
  <si>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</si>
  <si>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</si>
  <si>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</si>
  <si>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</si>
  <si>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</si>
  <si>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</si>
  <si>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</si>
  <si>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</si>
  <si>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</si>
  <si>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</si>
  <si>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</si>
  <si>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</si>
  <si>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</si>
  <si>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</si>
  <si>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</si>
  <si>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</si>
  <si>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</si>
  <si>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</si>
  <si>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</si>
  <si>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</si>
  <si>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</si>
  <si>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</si>
  <si>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</si>
  <si>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</si>
  <si>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</si>
  <si>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</si>
  <si>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</si>
  <si>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</si>
  <si>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</si>
  <si>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</si>
  <si>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</si>
  <si>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</si>
  <si>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</si>
  <si>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</si>
  <si>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</si>
  <si>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</si>
  <si>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</si>
  <si>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</si>
  <si>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</si>
  <si>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</si>
  <si>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</si>
  <si>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</si>
  <si>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</si>
  <si>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</si>
  <si>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</si>
  <si>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</si>
  <si>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</si>
  <si>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</si>
  <si>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</si>
  <si>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</si>
  <si>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</si>
  <si>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</si>
  <si>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</si>
  <si>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</si>
  <si>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</si>
  <si>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</si>
  <si>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</si>
  <si>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</si>
  <si>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</si>
  <si>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</si>
  <si>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</si>
  <si>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</si>
  <si>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</si>
  <si>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</si>
  <si>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</si>
  <si>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</si>
  <si>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</si>
  <si>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</si>
  <si>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</si>
  <si>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</si>
  <si>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</si>
  <si>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</si>
  <si>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</si>
  <si>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</si>
  <si>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</si>
  <si>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</si>
  <si>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</si>
  <si>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</si>
  <si>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</si>
  <si>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</si>
  <si>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</si>
  <si>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</si>
  <si>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</si>
  <si>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</si>
  <si>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</si>
  <si>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</si>
  <si>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</si>
  <si>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</si>
  <si>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</si>
  <si>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</si>
  <si>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</si>
  <si>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</si>
  <si>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</si>
  <si>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</si>
  <si>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</si>
  <si>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</si>
  <si>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</si>
  <si>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</si>
  <si>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</si>
  <si>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</si>
  <si>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</si>
  <si>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</si>
  <si>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</si>
  <si>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</si>
  <si>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</si>
  <si>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</si>
  <si>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</si>
  <si>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</si>
  <si>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</si>
  <si>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</si>
  <si>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</si>
  <si>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</si>
  <si>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</si>
  <si>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</si>
  <si>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</si>
  <si>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</si>
  <si>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</si>
  <si>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</si>
  <si>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</si>
  <si>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</si>
  <si>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</si>
  <si>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</si>
  <si>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</si>
  <si>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</si>
  <si>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</si>
  <si>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</si>
  <si>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</si>
  <si>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</si>
  <si>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</si>
  <si>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</si>
  <si>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</si>
  <si>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</si>
  <si>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</si>
  <si>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</si>
  <si>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</si>
  <si>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</si>
  <si>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</si>
  <si>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</si>
  <si>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</si>
  <si>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</si>
  <si>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</si>
  <si>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</si>
  <si>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</si>
  <si>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</si>
  <si>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</si>
  <si>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</si>
  <si>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</si>
  <si>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</si>
  <si>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</si>
  <si>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</si>
  <si>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</si>
  <si>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</si>
  <si>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</si>
  <si>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</si>
  <si>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</si>
  <si>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</si>
  <si>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</si>
  <si>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</si>
  <si>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</si>
  <si>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</si>
  <si>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</si>
  <si>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</si>
  <si>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</si>
  <si>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</si>
  <si>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</si>
  <si>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</si>
  <si>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</si>
  <si>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</si>
  <si>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</si>
  <si>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</si>
  <si>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</si>
  <si>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</si>
  <si>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</si>
  <si>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</si>
  <si>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</si>
  <si>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</si>
  <si>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</si>
  <si>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</si>
  <si>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</si>
  <si>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</si>
  <si>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</si>
  <si>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</si>
  <si>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</si>
  <si>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</si>
  <si>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</si>
  <si>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</si>
  <si>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</si>
  <si>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</si>
  <si>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</si>
  <si>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</si>
  <si>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</si>
  <si>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</si>
  <si>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</si>
  <si>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</si>
  <si>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</si>
  <si>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</si>
  <si>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</si>
  <si>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</si>
  <si>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</si>
  <si>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</si>
  <si>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</si>
  <si>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</si>
  <si>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</si>
  <si>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</si>
  <si>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</si>
  <si>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</si>
  <si>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</si>
  <si>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</si>
  <si>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</si>
  <si>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</si>
  <si>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</si>
  <si>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</si>
  <si>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</si>
  <si>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</si>
  <si>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</si>
  <si>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</si>
  <si>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</si>
  <si>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</si>
  <si>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</si>
  <si>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</si>
  <si>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</si>
  <si>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</si>
  <si>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</si>
  <si>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</si>
  <si>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</si>
  <si>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</si>
  <si>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</si>
  <si>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</si>
  <si>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</si>
  <si>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</si>
  <si>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</si>
  <si>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</si>
  <si>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</si>
  <si>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</si>
  <si>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</si>
  <si>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</si>
  <si>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</si>
  <si>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</si>
  <si>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</si>
  <si>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</si>
  <si>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</si>
  <si>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</si>
  <si>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</si>
  <si>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</si>
  <si>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</si>
  <si>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</si>
  <si>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</si>
  <si>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</si>
  <si>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</si>
  <si>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</si>
  <si>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</si>
  <si>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</si>
  <si>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</si>
  <si>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</si>
  <si>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</si>
  <si>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</si>
  <si>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</si>
  <si>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</si>
  <si>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</si>
  <si>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</si>
  <si>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</si>
  <si>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</si>
  <si>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</si>
  <si>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</si>
  <si>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</si>
  <si>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</si>
  <si>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</si>
  <si>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</si>
  <si>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</si>
  <si>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</si>
  <si>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</si>
  <si>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</si>
  <si>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</si>
  <si>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</si>
  <si>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</si>
  <si>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</si>
  <si>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</si>
  <si>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</si>
  <si>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</si>
  <si>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</si>
  <si>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</si>
  <si>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</si>
  <si>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</si>
  <si>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</si>
  <si>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</si>
  <si>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</si>
  <si>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</si>
  <si>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</si>
  <si>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</si>
  <si>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</si>
  <si>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</si>
  <si>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</si>
  <si>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</si>
  <si>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</si>
  <si>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</si>
  <si>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</si>
  <si>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</si>
  <si>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</si>
  <si>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</si>
  <si>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</si>
  <si>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</si>
  <si>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</si>
  <si>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</si>
  <si>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</si>
  <si>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</si>
  <si>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</si>
  <si>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</si>
  <si>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</si>
  <si>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</si>
  <si>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</si>
  <si>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</si>
  <si>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</si>
  <si>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</si>
  <si>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</si>
  <si>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</si>
  <si>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</si>
  <si>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</si>
  <si>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</si>
  <si>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</si>
  <si>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</si>
  <si>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</si>
  <si>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</si>
  <si>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</si>
  <si>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</si>
  <si>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</si>
  <si>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</si>
  <si>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</si>
  <si>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</si>
  <si>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</si>
  <si>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</si>
  <si>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</si>
  <si>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</si>
  <si>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</si>
  <si>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</si>
  <si>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</si>
  <si>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</si>
  <si>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</si>
  <si>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</si>
  <si>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</si>
  <si>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</si>
  <si>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</si>
  <si>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</si>
  <si>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</si>
  <si>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</si>
  <si>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</si>
  <si>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</si>
  <si>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</si>
  <si>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</si>
  <si>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</si>
  <si>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</si>
  <si>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</si>
  <si>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</si>
  <si>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</si>
  <si>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</si>
  <si>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</si>
  <si>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</si>
  <si>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</si>
  <si>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</si>
  <si>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</si>
  <si>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</si>
  <si>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</si>
  <si>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</si>
  <si>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</si>
  <si>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</si>
  <si>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</si>
  <si>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</si>
  <si>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</si>
  <si>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</si>
  <si>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</si>
  <si>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</si>
  <si>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</si>
  <si>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</si>
  <si>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</si>
  <si>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</si>
  <si>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</si>
  <si>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</si>
  <si>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</si>
  <si>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</si>
  <si>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</si>
  <si>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</si>
  <si>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</si>
  <si>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</si>
  <si>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</si>
  <si>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</si>
  <si>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</si>
  <si>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</si>
  <si>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</si>
  <si>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</si>
  <si>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</si>
  <si>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</si>
  <si>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</si>
  <si>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</si>
  <si>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</si>
  <si>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</si>
  <si>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</si>
  <si>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</si>
  <si>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</si>
  <si>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</si>
  <si>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</si>
  <si>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</si>
  <si>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</si>
  <si>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</si>
  <si>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</si>
  <si>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</si>
  <si>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</si>
  <si>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</si>
  <si>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</si>
  <si>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</si>
  <si>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</si>
  <si>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</si>
  <si>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</si>
  <si>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</si>
  <si>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</si>
  <si>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</si>
  <si>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</si>
  <si>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</si>
  <si>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</si>
  <si>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</si>
  <si>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</si>
  <si>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</si>
  <si>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</si>
  <si>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</si>
  <si>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</si>
  <si>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</si>
  <si>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</si>
  <si>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</si>
  <si>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</si>
  <si>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</si>
  <si>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</si>
  <si>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</si>
  <si>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</si>
  <si>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</si>
  <si>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</si>
  <si>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</si>
  <si>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</si>
  <si>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</si>
  <si>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</si>
  <si>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</si>
  <si>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</si>
  <si>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</si>
  <si>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</si>
  <si>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</si>
  <si>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</si>
  <si>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</si>
  <si>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</si>
  <si>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</si>
  <si>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</si>
  <si>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</si>
  <si>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</si>
  <si>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</si>
  <si>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</si>
  <si>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</si>
  <si>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</si>
  <si>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</si>
  <si>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</si>
  <si>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</si>
  <si>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</si>
  <si>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</si>
  <si>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</si>
  <si>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</si>
  <si>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</si>
  <si>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</si>
  <si>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</si>
  <si>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</si>
  <si>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</si>
  <si>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</si>
  <si>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</si>
  <si>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</si>
  <si>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</si>
  <si>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</si>
  <si>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</si>
  <si>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</si>
  <si>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</si>
  <si>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</si>
  <si>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</si>
  <si>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</si>
  <si>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</si>
  <si>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</si>
  <si>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</si>
  <si>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</si>
  <si>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</si>
  <si>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</si>
  <si>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</si>
  <si>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</si>
  <si>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</si>
  <si>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</si>
  <si>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</si>
  <si>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</si>
  <si>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</si>
  <si>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</si>
  <si>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</si>
  <si>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</si>
  <si>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</si>
  <si>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</si>
  <si>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</si>
  <si>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</si>
  <si>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</si>
  <si>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</si>
  <si>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</si>
  <si>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</si>
  <si>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</si>
  <si>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</si>
  <si>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</si>
  <si>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</si>
  <si>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</si>
  <si>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</si>
  <si>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</si>
  <si>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</si>
  <si>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</si>
  <si>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</si>
  <si>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</si>
  <si>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</si>
  <si>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</si>
  <si>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</si>
  <si>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</si>
  <si>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</si>
  <si>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</si>
  <si>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</si>
  <si>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</si>
  <si>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</si>
  <si>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</si>
  <si>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</si>
  <si>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</si>
  <si>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</si>
  <si>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</si>
  <si>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</si>
  <si>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</si>
  <si>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</si>
  <si>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</si>
  <si>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</si>
  <si>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</si>
  <si>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</si>
  <si>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</si>
  <si>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</si>
  <si>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</si>
  <si>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</si>
  <si>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</si>
  <si>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</si>
  <si>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</si>
  <si>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</si>
  <si>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</si>
  <si>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</si>
  <si>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</si>
  <si>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</si>
  <si>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</si>
  <si>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</si>
  <si>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</si>
  <si>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</si>
  <si>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</si>
  <si>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</si>
  <si>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</si>
  <si>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</si>
  <si>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</si>
  <si>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</si>
  <si>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</si>
  <si>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</si>
  <si>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</si>
  <si>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</si>
  <si>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</si>
  <si>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</si>
  <si>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</si>
  <si>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</si>
  <si>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</si>
  <si>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</si>
  <si>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</si>
  <si>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</si>
  <si>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</si>
  <si>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</si>
  <si>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</si>
  <si>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</si>
  <si>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</si>
  <si>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</si>
  <si>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</si>
  <si>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</si>
  <si>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</si>
  <si>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</si>
  <si>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</si>
  <si>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</si>
  <si>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</si>
  <si>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</si>
  <si>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</si>
  <si>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</si>
  <si>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</si>
  <si>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</si>
  <si>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</si>
  <si>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</si>
  <si>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</si>
  <si>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</si>
  <si>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</si>
  <si>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</si>
  <si>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</si>
  <si>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</si>
  <si>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</si>
  <si>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</si>
  <si>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</si>
  <si>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</si>
  <si>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</si>
  <si>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</si>
  <si>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</si>
  <si>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</si>
  <si>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</si>
  <si>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</si>
  <si>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</si>
  <si>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</si>
  <si>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</si>
  <si>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</si>
  <si>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</si>
  <si>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</si>
  <si>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</si>
  <si>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</si>
  <si>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</si>
  <si>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</si>
  <si>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</si>
  <si>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</si>
  <si>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</si>
  <si>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</si>
  <si>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</si>
  <si>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</si>
  <si>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</si>
  <si>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</si>
  <si>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</si>
  <si>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</si>
  <si>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</si>
  <si>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</si>
  <si>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</si>
  <si>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</si>
  <si>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</si>
  <si>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</si>
  <si>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</si>
  <si>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</si>
  <si>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</si>
  <si>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</si>
  <si>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</si>
  <si>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</si>
  <si>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</si>
  <si>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</si>
  <si>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</si>
  <si>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</si>
  <si>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</si>
  <si>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</si>
  <si>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</si>
  <si>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</si>
  <si>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</si>
  <si>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</si>
  <si>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</si>
  <si>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</si>
  <si>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</si>
  <si>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</si>
  <si>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</si>
  <si>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</si>
  <si>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</si>
  <si>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</si>
  <si>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</si>
  <si>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</si>
  <si>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</si>
  <si>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</si>
  <si>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</si>
  <si>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</si>
  <si>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</si>
  <si>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</si>
  <si>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</si>
  <si>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</si>
  <si>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</si>
  <si>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</si>
  <si>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</si>
  <si>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</si>
  <si>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</si>
  <si>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</si>
  <si>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</si>
  <si>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</si>
  <si>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</si>
  <si>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</si>
  <si>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</si>
  <si>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</si>
  <si>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</si>
  <si>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</si>
  <si>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</si>
  <si>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</si>
  <si>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</si>
  <si>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</si>
  <si>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</si>
  <si>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</si>
  <si>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</si>
  <si>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</si>
  <si>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</si>
  <si>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</si>
  <si>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</si>
  <si>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</si>
  <si>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</si>
  <si>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</si>
  <si>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</si>
  <si>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</si>
  <si>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</si>
  <si>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</si>
  <si>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</si>
  <si>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</si>
  <si>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</si>
  <si>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</si>
  <si>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</si>
  <si>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</si>
  <si>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</si>
  <si>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</si>
  <si>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</si>
  <si>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</si>
  <si>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</si>
  <si>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</si>
  <si>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</si>
  <si>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</si>
  <si>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</si>
  <si>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</si>
  <si>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</si>
  <si>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</si>
  <si>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</si>
  <si>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</si>
  <si>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</si>
  <si>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</si>
  <si>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</si>
  <si>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</si>
  <si>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</si>
  <si>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</si>
  <si>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</si>
  <si>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</si>
  <si>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</si>
  <si>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</si>
  <si>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</si>
  <si>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</si>
  <si>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</si>
  <si>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</si>
  <si>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</si>
  <si>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</si>
  <si>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</si>
  <si>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</si>
  <si>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</si>
  <si>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</si>
  <si>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</si>
  <si>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</si>
  <si>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</si>
  <si>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</si>
  <si>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</si>
  <si>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</si>
  <si>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</si>
  <si>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</si>
  <si>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</si>
  <si>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</si>
  <si>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</si>
  <si>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</si>
  <si>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</si>
  <si>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</si>
  <si>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</si>
  <si>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</si>
  <si>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</si>
  <si>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</si>
  <si>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</si>
  <si>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</si>
  <si>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</si>
  <si>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</si>
  <si>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</si>
  <si>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</si>
  <si>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</si>
  <si>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</si>
  <si>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</si>
  <si>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</si>
  <si>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</si>
  <si>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</si>
  <si>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</si>
  <si>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</si>
  <si>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</si>
  <si>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</si>
  <si>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</si>
  <si>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</si>
  <si>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</si>
  <si>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</si>
  <si>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</si>
  <si>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</si>
  <si>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</si>
  <si>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</si>
  <si>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</si>
  <si>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</si>
  <si>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</si>
  <si>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</si>
  <si>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</si>
  <si>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</si>
  <si>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</si>
  <si>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</si>
  <si>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</si>
  <si>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</si>
  <si>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</si>
  <si>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</si>
  <si>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</si>
  <si>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</si>
  <si>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</si>
  <si>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</si>
  <si>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</si>
  <si>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</si>
  <si>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</si>
  <si>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</si>
  <si>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</si>
  <si>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</si>
  <si>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</si>
  <si>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</si>
  <si>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</si>
  <si>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</si>
  <si>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</si>
  <si>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</si>
  <si>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</si>
  <si>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</si>
  <si>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</si>
  <si>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</si>
  <si>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</si>
  <si>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</si>
  <si>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</si>
  <si>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</si>
  <si>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</si>
  <si>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</si>
  <si>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</si>
  <si>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</si>
  <si>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</si>
  <si>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</si>
  <si>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</si>
  <si>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</si>
  <si>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</si>
  <si>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</si>
  <si>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</si>
  <si>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</si>
  <si>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</si>
  <si>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</si>
  <si>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</si>
  <si>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</si>
  <si>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</si>
  <si>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</si>
  <si>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</si>
  <si>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</si>
  <si>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</si>
  <si>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</si>
  <si>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</si>
  <si>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</si>
  <si>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</si>
  <si>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</si>
  <si>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</si>
  <si>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</si>
  <si>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</si>
  <si>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</si>
  <si>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</si>
  <si>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</si>
  <si>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</si>
  <si>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</si>
  <si>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</si>
  <si>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</si>
  <si>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</si>
  <si>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</si>
  <si>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</si>
  <si>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</si>
  <si>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</si>
  <si>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</si>
  <si>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</si>
  <si>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</si>
  <si>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</si>
  <si>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</si>
  <si>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</si>
  <si>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</si>
  <si>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</si>
  <si>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</si>
  <si>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</si>
  <si>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</si>
  <si>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</si>
  <si>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</si>
  <si>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</si>
  <si>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</si>
  <si>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</si>
  <si>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</si>
  <si>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</si>
  <si>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</si>
  <si>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</si>
  <si>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</si>
  <si>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</si>
  <si>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</si>
  <si>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</si>
  <si>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</si>
  <si>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</si>
  <si>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</si>
  <si>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</si>
  <si>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</si>
  <si>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</si>
  <si>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</si>
  <si>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</si>
  <si>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</si>
  <si>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</si>
  <si>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</si>
  <si>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</si>
  <si>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</si>
  <si>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</si>
  <si>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</si>
  <si>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</si>
  <si>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</si>
  <si>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</si>
  <si>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</si>
  <si>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</si>
  <si>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</si>
  <si>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</si>
  <si>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</si>
  <si>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</si>
  <si>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</si>
  <si>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</si>
  <si>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</si>
  <si>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</si>
  <si>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</si>
  <si>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</si>
  <si>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</si>
  <si>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</si>
  <si>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</si>
  <si>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</si>
  <si>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</si>
  <si>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</si>
  <si>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</si>
  <si>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</si>
  <si>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</si>
  <si>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</si>
  <si>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</si>
  <si>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</si>
  <si>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</si>
  <si>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</si>
  <si>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</si>
  <si>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</si>
  <si>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</si>
  <si>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</si>
  <si>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</si>
  <si>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</si>
  <si>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</si>
  <si>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</si>
  <si>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</si>
  <si>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</si>
  <si>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</si>
  <si>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</si>
  <si>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</si>
  <si>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</si>
  <si>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</si>
  <si>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</si>
  <si>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</si>
  <si>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</si>
  <si>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</si>
  <si>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</si>
  <si>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</si>
  <si>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</si>
  <si>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</si>
  <si>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</si>
  <si>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</si>
  <si>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</si>
  <si>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</si>
  <si>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</si>
  <si>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</si>
  <si>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</si>
  <si>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</si>
  <si>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</si>
  <si>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</si>
  <si>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</si>
  <si>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</si>
  <si>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</si>
  <si>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</si>
  <si>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</si>
  <si>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</si>
  <si>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</si>
  <si>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</si>
  <si>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</si>
  <si>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</si>
  <si>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</si>
  <si>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</si>
  <si>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</si>
  <si>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</si>
  <si>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</si>
  <si>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</si>
  <si>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</si>
  <si>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</si>
  <si>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</si>
  <si>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</si>
  <si>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</si>
  <si>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</si>
  <si>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</si>
  <si>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</si>
  <si>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</si>
  <si>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</si>
  <si>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</si>
  <si>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</si>
  <si>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</si>
  <si>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</si>
  <si>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</si>
  <si>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</si>
  <si>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</si>
  <si>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</si>
  <si>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</si>
  <si>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</si>
  <si>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</si>
  <si>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</si>
  <si>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</si>
  <si>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</si>
  <si>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</si>
  <si>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</si>
  <si>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</si>
  <si>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</si>
  <si>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</si>
  <si>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</si>
  <si>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</si>
  <si>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</si>
  <si>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</si>
  <si>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</si>
  <si>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</si>
  <si>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</si>
  <si>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</si>
  <si>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</si>
  <si>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</si>
  <si>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</si>
  <si>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</si>
  <si>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</si>
  <si>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</si>
  <si>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</si>
  <si>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</si>
  <si>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</si>
  <si>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</si>
  <si>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</si>
  <si>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</si>
  <si>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</si>
  <si>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</si>
  <si>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</si>
  <si>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</si>
  <si>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</si>
  <si>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</si>
  <si>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</si>
  <si>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</si>
  <si>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</si>
  <si>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</si>
  <si>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</si>
  <si>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</si>
  <si>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</si>
  <si>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</si>
  <si>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</si>
  <si>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</si>
  <si>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</si>
  <si>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</si>
  <si>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</si>
  <si>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</si>
  <si>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</si>
  <si>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</si>
  <si>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</si>
  <si>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</si>
  <si>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</si>
  <si>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</si>
  <si>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</si>
  <si>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</si>
  <si>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</si>
  <si>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</si>
  <si>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</si>
  <si>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</si>
  <si>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</si>
  <si>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</si>
  <si>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</si>
  <si>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</si>
  <si>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</si>
  <si>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</si>
  <si>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</si>
  <si>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</si>
  <si>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</si>
  <si>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</si>
  <si>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</si>
  <si>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</si>
  <si>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</si>
  <si>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</si>
  <si>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</si>
  <si>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</si>
  <si>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</si>
  <si>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</si>
  <si>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</si>
  <si>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</si>
  <si>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</si>
  <si>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</si>
  <si>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</si>
  <si>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</si>
  <si>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</si>
  <si>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</si>
  <si>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</si>
  <si>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</si>
  <si>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</si>
  <si>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</si>
  <si>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</si>
  <si>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</si>
  <si>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</si>
  <si>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</si>
  <si>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</si>
  <si>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</si>
  <si>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</si>
  <si>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</si>
  <si>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</si>
  <si>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</si>
  <si>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</si>
  <si>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</si>
  <si>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</si>
  <si>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</si>
  <si>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</si>
  <si>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</si>
  <si>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</si>
  <si>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</si>
  <si>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</si>
  <si>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</si>
  <si>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</si>
  <si>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</si>
  <si>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</si>
  <si>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</si>
  <si>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</si>
  <si>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</si>
  <si>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</si>
  <si>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</si>
  <si>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</si>
  <si>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</si>
  <si>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</si>
  <si>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</si>
  <si>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</si>
  <si>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</si>
  <si>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</si>
  <si>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</si>
  <si>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</si>
  <si>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</si>
  <si>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</si>
  <si>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</si>
  <si>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</si>
  <si>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</si>
  <si>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</si>
  <si>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6/30/2018</t>
  </si>
  <si>
    <t>022</t>
  </si>
  <si>
    <t>Lourdes Medical Center</t>
  </si>
  <si>
    <t>520 North 4th Avenue</t>
  </si>
  <si>
    <t>Pasco</t>
  </si>
  <si>
    <t>WA</t>
  </si>
  <si>
    <t>Franklin</t>
  </si>
  <si>
    <t>Rob Monical</t>
  </si>
  <si>
    <t>Charlie Pearce</t>
  </si>
  <si>
    <t>Bart Gallant</t>
  </si>
  <si>
    <t>509-547-7704</t>
  </si>
  <si>
    <t>509-542-3070</t>
  </si>
  <si>
    <t>X</t>
  </si>
  <si>
    <t>12/31/2022</t>
  </si>
  <si>
    <t>Mark Holyoak</t>
  </si>
  <si>
    <t>Erika Wier</t>
  </si>
  <si>
    <t>anita.kauffman@lourdesonline.org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</si>
</sst>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8" fontId="23" fillId="4" borderId="14" xfId="0" quotePrefix="1" applyNumberFormat="1" applyFont="1" applyFill="1" applyBorder="1" applyProtection="1">
      <protection locked="0"/>
    </xf>
    <xf numFmtId="39" fontId="23" fillId="0" borderId="1" xfId="0" quotePrefix="1" applyNumberFormat="1" applyFont="1" applyBorder="1" applyProtection="1">
      <protection locked="0"/>
    </xf>
    <xf numFmtId="37" fontId="15" fillId="3" borderId="0" xfId="0" applyFont="1" applyFill="1" applyAlignment="1">
      <alignment horizontal="center" vertical="center"/>
    </xf>
    <xf numFmtId="0" fontId="6" fillId="0" borderId="0" xfId="2">
      <alignment vertical="top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nita.kauffman@lourdesonlin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C111" sqref="C111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1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2" t="s">
        <v>18</v>
      </c>
      <c r="B36" s="333"/>
      <c r="C36" s="334"/>
      <c r="D36" s="333"/>
      <c r="E36" s="333"/>
      <c r="F36" s="333"/>
      <c r="G36" s="333"/>
    </row>
    <row r="37" spans="1:83" x14ac:dyDescent="0.35">
      <c r="A37" s="335" t="s">
        <v>1342</v>
      </c>
      <c r="B37" s="336"/>
      <c r="C37" s="334"/>
      <c r="D37" s="333"/>
      <c r="E37" s="333"/>
      <c r="F37" s="333"/>
      <c r="G37" s="333"/>
    </row>
    <row r="38" spans="1:83" x14ac:dyDescent="0.35">
      <c r="A38" s="339" t="s">
        <v>1361</v>
      </c>
      <c r="B38" s="336"/>
      <c r="C38" s="334"/>
      <c r="D38" s="333"/>
      <c r="E38" s="333"/>
      <c r="F38" s="333"/>
      <c r="G38" s="333"/>
    </row>
    <row r="39" spans="1:83" x14ac:dyDescent="0.35">
      <c r="A39" s="338" t="s">
        <v>1343</v>
      </c>
      <c r="B39" s="333"/>
      <c r="C39" s="334"/>
      <c r="D39" s="333"/>
      <c r="E39" s="333"/>
      <c r="F39" s="333"/>
      <c r="G39" s="333"/>
    </row>
    <row r="40" spans="1:83" x14ac:dyDescent="0.35">
      <c r="A40" s="339" t="s">
        <v>1362</v>
      </c>
      <c r="B40" s="333"/>
      <c r="C40" s="334"/>
      <c r="D40" s="333"/>
      <c r="E40" s="333"/>
      <c r="F40" s="333"/>
      <c r="G40" s="333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2">
        <v>6423331</v>
      </c>
      <c r="C48" s="32">
        <f>IF($B$48,(ROUND((($B$48/$CE$61)*C61),0)))</f>
        <v>3681</v>
      </c>
      <c r="D48" s="32">
        <f t="shared" ref="D48:BO48" si="0">IF($B$48,(ROUND((($B$48/$CE$61)*D61),0)))</f>
        <v>0</v>
      </c>
      <c r="E48" s="32">
        <f t="shared" si="0"/>
        <v>509827</v>
      </c>
      <c r="F48" s="32">
        <f t="shared" si="0"/>
        <v>0</v>
      </c>
      <c r="G48" s="32">
        <f t="shared" si="0"/>
        <v>184827</v>
      </c>
      <c r="H48" s="32">
        <f t="shared" si="0"/>
        <v>1962</v>
      </c>
      <c r="I48" s="32">
        <f t="shared" si="0"/>
        <v>8034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240591</v>
      </c>
      <c r="O48" s="32">
        <f t="shared" si="0"/>
        <v>0</v>
      </c>
      <c r="P48" s="32">
        <f t="shared" si="0"/>
        <v>450570</v>
      </c>
      <c r="Q48" s="32">
        <f t="shared" si="0"/>
        <v>79350</v>
      </c>
      <c r="R48" s="32">
        <f t="shared" si="0"/>
        <v>0</v>
      </c>
      <c r="S48" s="32">
        <f t="shared" si="0"/>
        <v>50327</v>
      </c>
      <c r="T48" s="32">
        <f t="shared" si="0"/>
        <v>0</v>
      </c>
      <c r="U48" s="32">
        <f t="shared" si="0"/>
        <v>148416</v>
      </c>
      <c r="V48" s="32">
        <f t="shared" si="0"/>
        <v>0</v>
      </c>
      <c r="W48" s="32">
        <f t="shared" si="0"/>
        <v>44917</v>
      </c>
      <c r="X48" s="32">
        <f t="shared" si="0"/>
        <v>49660</v>
      </c>
      <c r="Y48" s="32">
        <f t="shared" si="0"/>
        <v>218772</v>
      </c>
      <c r="Z48" s="32">
        <f t="shared" si="0"/>
        <v>0</v>
      </c>
      <c r="AA48" s="32">
        <f t="shared" si="0"/>
        <v>50829</v>
      </c>
      <c r="AB48" s="32">
        <f t="shared" si="0"/>
        <v>207121</v>
      </c>
      <c r="AC48" s="32">
        <f t="shared" si="0"/>
        <v>100788</v>
      </c>
      <c r="AD48" s="32">
        <f t="shared" si="0"/>
        <v>0</v>
      </c>
      <c r="AE48" s="32">
        <f t="shared" si="0"/>
        <v>296829</v>
      </c>
      <c r="AF48" s="32">
        <f t="shared" si="0"/>
        <v>0</v>
      </c>
      <c r="AG48" s="32">
        <f t="shared" si="0"/>
        <v>339152</v>
      </c>
      <c r="AH48" s="32">
        <f t="shared" si="0"/>
        <v>0</v>
      </c>
      <c r="AI48" s="32">
        <f t="shared" si="0"/>
        <v>0</v>
      </c>
      <c r="AJ48" s="32">
        <f t="shared" si="0"/>
        <v>1913780</v>
      </c>
      <c r="AK48" s="32">
        <f t="shared" si="0"/>
        <v>222429</v>
      </c>
      <c r="AL48" s="32">
        <f t="shared" si="0"/>
        <v>36582</v>
      </c>
      <c r="AM48" s="32">
        <f t="shared" si="0"/>
        <v>0</v>
      </c>
      <c r="AN48" s="32">
        <f t="shared" si="0"/>
        <v>0</v>
      </c>
      <c r="AO48" s="32">
        <f t="shared" si="0"/>
        <v>68340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115009</v>
      </c>
      <c r="AW48" s="32">
        <f t="shared" si="0"/>
        <v>0</v>
      </c>
      <c r="AX48" s="32">
        <f t="shared" si="0"/>
        <v>0</v>
      </c>
      <c r="AY48" s="32">
        <f t="shared" si="0"/>
        <v>0</v>
      </c>
      <c r="AZ48" s="32">
        <f t="shared" si="0"/>
        <v>0</v>
      </c>
      <c r="BA48" s="32">
        <f t="shared" si="0"/>
        <v>995</v>
      </c>
      <c r="BB48" s="32">
        <f t="shared" si="0"/>
        <v>0</v>
      </c>
      <c r="BC48" s="32">
        <f t="shared" si="0"/>
        <v>0</v>
      </c>
      <c r="BD48" s="32">
        <f t="shared" si="0"/>
        <v>65988</v>
      </c>
      <c r="BE48" s="32">
        <f t="shared" si="0"/>
        <v>102872</v>
      </c>
      <c r="BF48" s="32">
        <f t="shared" si="0"/>
        <v>-886</v>
      </c>
      <c r="BG48" s="32">
        <f t="shared" si="0"/>
        <v>0</v>
      </c>
      <c r="BH48" s="32">
        <f t="shared" si="0"/>
        <v>124727</v>
      </c>
      <c r="BI48" s="32">
        <f t="shared" si="0"/>
        <v>23873</v>
      </c>
      <c r="BJ48" s="32">
        <f t="shared" si="0"/>
        <v>94852</v>
      </c>
      <c r="BK48" s="32">
        <f t="shared" si="0"/>
        <v>0</v>
      </c>
      <c r="BL48" s="32">
        <f t="shared" si="0"/>
        <v>51137</v>
      </c>
      <c r="BM48" s="32">
        <f t="shared" si="0"/>
        <v>360</v>
      </c>
      <c r="BN48" s="32">
        <f t="shared" si="0"/>
        <v>322049</v>
      </c>
      <c r="BO48" s="32">
        <f t="shared" si="0"/>
        <v>0</v>
      </c>
      <c r="BP48" s="32">
        <f t="shared" ref="BP48:CD48" si="1">IF($B$48,(ROUND((($B$48/$CE$61)*BP61),0)))</f>
        <v>17790</v>
      </c>
      <c r="BQ48" s="32">
        <f t="shared" si="1"/>
        <v>0</v>
      </c>
      <c r="BR48" s="32">
        <f t="shared" si="1"/>
        <v>82306</v>
      </c>
      <c r="BS48" s="32">
        <f t="shared" si="1"/>
        <v>0</v>
      </c>
      <c r="BT48" s="32">
        <f t="shared" si="1"/>
        <v>11195</v>
      </c>
      <c r="BU48" s="32">
        <f t="shared" si="1"/>
        <v>0</v>
      </c>
      <c r="BV48" s="32">
        <f t="shared" si="1"/>
        <v>36595</v>
      </c>
      <c r="BW48" s="32">
        <f t="shared" si="1"/>
        <v>10009</v>
      </c>
      <c r="BX48" s="32">
        <f t="shared" si="1"/>
        <v>0</v>
      </c>
      <c r="BY48" s="32">
        <f t="shared" si="1"/>
        <v>133667</v>
      </c>
      <c r="BZ48" s="32">
        <f t="shared" si="1"/>
        <v>0</v>
      </c>
      <c r="CA48" s="32">
        <f t="shared" si="1"/>
        <v>4009</v>
      </c>
      <c r="CB48" s="32">
        <f t="shared" si="1"/>
        <v>0</v>
      </c>
      <c r="CC48" s="32">
        <f t="shared" si="1"/>
        <v>0</v>
      </c>
      <c r="CD48" s="32">
        <f t="shared" si="1"/>
        <v>0</v>
      </c>
      <c r="CE48" s="32">
        <f>SUM(C48:CD48)</f>
        <v>6423331</v>
      </c>
    </row>
    <row r="49" spans="1:83" x14ac:dyDescent="0.35">
      <c r="A49" s="20" t="s">
        <v>218</v>
      </c>
      <c r="B49" s="32">
        <f>B47+B48</f>
        <v>6423331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35">
      <c r="A52" s="39" t="s">
        <v>220</v>
      </c>
      <c r="B52" s="313">
        <v>2338879</v>
      </c>
      <c r="C52" s="32">
        <f>IF($B$52,ROUND(($B$52/($CE$90+$CF$90)*C90),0))</f>
        <v>39178</v>
      </c>
      <c r="D52" s="32">
        <f t="shared" ref="D52:BO52" si="2">IF($B$52,ROUND(($B$52/($CE$90+$CF$90)*D90),0))</f>
        <v>0</v>
      </c>
      <c r="E52" s="32">
        <f t="shared" si="2"/>
        <v>200861</v>
      </c>
      <c r="F52" s="32">
        <f t="shared" si="2"/>
        <v>0</v>
      </c>
      <c r="G52" s="32">
        <f t="shared" si="2"/>
        <v>75354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35914</v>
      </c>
      <c r="O52" s="32">
        <f t="shared" si="2"/>
        <v>0</v>
      </c>
      <c r="P52" s="32">
        <f t="shared" si="2"/>
        <v>476584</v>
      </c>
      <c r="Q52" s="32">
        <f t="shared" si="2"/>
        <v>0</v>
      </c>
      <c r="R52" s="32">
        <f t="shared" si="2"/>
        <v>0</v>
      </c>
      <c r="S52" s="32">
        <f t="shared" si="2"/>
        <v>0</v>
      </c>
      <c r="T52" s="32">
        <f t="shared" si="2"/>
        <v>0</v>
      </c>
      <c r="U52" s="32">
        <f t="shared" si="2"/>
        <v>39335</v>
      </c>
      <c r="V52" s="32">
        <f t="shared" si="2"/>
        <v>0</v>
      </c>
      <c r="W52" s="32">
        <f t="shared" si="2"/>
        <v>17268</v>
      </c>
      <c r="X52" s="32">
        <f t="shared" si="2"/>
        <v>6139</v>
      </c>
      <c r="Y52" s="32">
        <f t="shared" si="2"/>
        <v>41571</v>
      </c>
      <c r="Z52" s="32">
        <f t="shared" si="2"/>
        <v>0</v>
      </c>
      <c r="AA52" s="32">
        <f t="shared" si="2"/>
        <v>15283</v>
      </c>
      <c r="AB52" s="32">
        <f t="shared" si="2"/>
        <v>29235</v>
      </c>
      <c r="AC52" s="32">
        <f t="shared" si="2"/>
        <v>5241</v>
      </c>
      <c r="AD52" s="32">
        <f t="shared" si="2"/>
        <v>0</v>
      </c>
      <c r="AE52" s="32">
        <f t="shared" si="2"/>
        <v>20222</v>
      </c>
      <c r="AF52" s="32">
        <f t="shared" si="2"/>
        <v>0</v>
      </c>
      <c r="AG52" s="32">
        <f t="shared" si="2"/>
        <v>56173</v>
      </c>
      <c r="AH52" s="32">
        <f t="shared" si="2"/>
        <v>0</v>
      </c>
      <c r="AI52" s="32">
        <f t="shared" si="2"/>
        <v>0</v>
      </c>
      <c r="AJ52" s="32">
        <f t="shared" si="2"/>
        <v>43522</v>
      </c>
      <c r="AK52" s="32">
        <f t="shared" si="2"/>
        <v>0</v>
      </c>
      <c r="AL52" s="32">
        <f t="shared" si="2"/>
        <v>2177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15516</v>
      </c>
      <c r="AW52" s="32">
        <f t="shared" si="2"/>
        <v>0</v>
      </c>
      <c r="AX52" s="32">
        <f t="shared" si="2"/>
        <v>0</v>
      </c>
      <c r="AY52" s="32">
        <f t="shared" si="2"/>
        <v>67159</v>
      </c>
      <c r="AZ52" s="32">
        <f t="shared" si="2"/>
        <v>0</v>
      </c>
      <c r="BA52" s="32">
        <f t="shared" si="2"/>
        <v>0</v>
      </c>
      <c r="BB52" s="32">
        <f t="shared" si="2"/>
        <v>0</v>
      </c>
      <c r="BC52" s="32">
        <f t="shared" si="2"/>
        <v>0</v>
      </c>
      <c r="BD52" s="32">
        <f t="shared" si="2"/>
        <v>88186</v>
      </c>
      <c r="BE52" s="32">
        <f t="shared" si="2"/>
        <v>878254</v>
      </c>
      <c r="BF52" s="32">
        <f t="shared" si="2"/>
        <v>24994</v>
      </c>
      <c r="BG52" s="32">
        <f t="shared" si="2"/>
        <v>0</v>
      </c>
      <c r="BH52" s="32">
        <f t="shared" si="2"/>
        <v>29306</v>
      </c>
      <c r="BI52" s="32">
        <f t="shared" si="2"/>
        <v>0</v>
      </c>
      <c r="BJ52" s="32">
        <f t="shared" si="2"/>
        <v>0</v>
      </c>
      <c r="BK52" s="32">
        <f t="shared" si="2"/>
        <v>2049</v>
      </c>
      <c r="BL52" s="32">
        <f t="shared" si="2"/>
        <v>11384</v>
      </c>
      <c r="BM52" s="32">
        <f t="shared" si="2"/>
        <v>18255</v>
      </c>
      <c r="BN52" s="32">
        <f t="shared" si="2"/>
        <v>38884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16832</v>
      </c>
      <c r="BS52" s="32">
        <f t="shared" si="3"/>
        <v>0</v>
      </c>
      <c r="BT52" s="32">
        <f t="shared" si="3"/>
        <v>8378</v>
      </c>
      <c r="BU52" s="32">
        <f t="shared" si="3"/>
        <v>0</v>
      </c>
      <c r="BV52" s="32">
        <f t="shared" si="3"/>
        <v>35221</v>
      </c>
      <c r="BW52" s="32">
        <f t="shared" si="3"/>
        <v>0</v>
      </c>
      <c r="BX52" s="32">
        <f t="shared" si="3"/>
        <v>0</v>
      </c>
      <c r="BY52" s="32">
        <f t="shared" si="3"/>
        <v>0</v>
      </c>
      <c r="BZ52" s="32">
        <f t="shared" si="3"/>
        <v>0</v>
      </c>
      <c r="CA52" s="32">
        <f t="shared" si="3"/>
        <v>402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2338877</v>
      </c>
    </row>
    <row r="53" spans="1:83" x14ac:dyDescent="0.35">
      <c r="A53" s="20" t="s">
        <v>218</v>
      </c>
      <c r="B53" s="32">
        <f>B51+B52</f>
        <v>2338879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/>
      <c r="D59" s="24"/>
      <c r="E59" s="24">
        <v>4109</v>
      </c>
      <c r="F59" s="24"/>
      <c r="G59" s="24">
        <v>1473</v>
      </c>
      <c r="H59" s="24"/>
      <c r="I59" s="24"/>
      <c r="J59" s="24"/>
      <c r="K59" s="24"/>
      <c r="L59" s="24"/>
      <c r="M59" s="24"/>
      <c r="N59" s="24">
        <v>140</v>
      </c>
      <c r="O59" s="24"/>
      <c r="P59" s="30">
        <v>232563</v>
      </c>
      <c r="Q59" s="30"/>
      <c r="R59" s="30">
        <v>232563</v>
      </c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>
        <v>22015</v>
      </c>
      <c r="AH59" s="30"/>
      <c r="AI59" s="30"/>
      <c r="AJ59" s="30">
        <v>73503</v>
      </c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/>
      <c r="AZ59" s="30"/>
      <c r="BA59" s="314"/>
      <c r="BB59" s="314"/>
      <c r="BC59" s="314"/>
      <c r="BD59" s="314"/>
      <c r="BE59" s="30">
        <v>159435.81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/>
      <c r="D60" s="315"/>
      <c r="E60" s="315">
        <v>30.408108461538465</v>
      </c>
      <c r="F60" s="315"/>
      <c r="G60" s="315">
        <v>11.534903894230769</v>
      </c>
      <c r="H60" s="315">
        <v>0.26487499999999997</v>
      </c>
      <c r="I60" s="315">
        <v>0.28846153846153844</v>
      </c>
      <c r="J60" s="315"/>
      <c r="K60" s="315"/>
      <c r="L60" s="315"/>
      <c r="M60" s="315"/>
      <c r="N60" s="315">
        <v>18.429612596153845</v>
      </c>
      <c r="O60" s="315"/>
      <c r="P60" s="316">
        <v>31.318704759615386</v>
      </c>
      <c r="Q60" s="316">
        <v>3.3020673076923077</v>
      </c>
      <c r="R60" s="316">
        <v>1</v>
      </c>
      <c r="S60" s="317">
        <v>4.5181740865384619</v>
      </c>
      <c r="T60" s="317"/>
      <c r="U60" s="318">
        <v>12.313421923076923</v>
      </c>
      <c r="V60" s="316"/>
      <c r="W60" s="316">
        <v>2.1134615384615385</v>
      </c>
      <c r="X60" s="316">
        <v>3.0199663461538462</v>
      </c>
      <c r="Y60" s="316">
        <v>15.504604615384613</v>
      </c>
      <c r="Z60" s="316"/>
      <c r="AA60" s="316">
        <v>1.7620913461538461</v>
      </c>
      <c r="AB60" s="317">
        <v>11.81157423076923</v>
      </c>
      <c r="AC60" s="316">
        <v>5.9911232692307692</v>
      </c>
      <c r="AD60" s="316"/>
      <c r="AE60" s="316">
        <v>20.966470913461539</v>
      </c>
      <c r="AF60" s="316"/>
      <c r="AG60" s="316">
        <v>20.089905865384612</v>
      </c>
      <c r="AH60" s="316"/>
      <c r="AI60" s="316"/>
      <c r="AJ60" s="316">
        <v>57.655926057692305</v>
      </c>
      <c r="AK60" s="316">
        <v>19.178758269230773</v>
      </c>
      <c r="AL60" s="316">
        <v>1.93225</v>
      </c>
      <c r="AM60" s="316"/>
      <c r="AN60" s="316"/>
      <c r="AO60" s="316">
        <v>4.4662047115384613</v>
      </c>
      <c r="AP60" s="316"/>
      <c r="AQ60" s="316"/>
      <c r="AR60" s="316"/>
      <c r="AS60" s="316"/>
      <c r="AT60" s="316"/>
      <c r="AU60" s="316"/>
      <c r="AV60" s="317">
        <v>6.9341496153846158</v>
      </c>
      <c r="AW60" s="317"/>
      <c r="AX60" s="317"/>
      <c r="AY60" s="316">
        <v>8.5703273557692299</v>
      </c>
      <c r="AZ60" s="316"/>
      <c r="BA60" s="317">
        <v>2.5799197596153842</v>
      </c>
      <c r="BB60" s="317"/>
      <c r="BC60" s="317"/>
      <c r="BD60" s="317">
        <v>7.8657389423076918</v>
      </c>
      <c r="BE60" s="316">
        <v>33.419767019230775</v>
      </c>
      <c r="BF60" s="317"/>
      <c r="BG60" s="317"/>
      <c r="BH60" s="317">
        <v>7.0373836538461534</v>
      </c>
      <c r="BI60" s="317"/>
      <c r="BJ60" s="317">
        <v>5.4813227403846154</v>
      </c>
      <c r="BK60" s="317"/>
      <c r="BL60" s="317">
        <v>3.8305721153846153</v>
      </c>
      <c r="BM60" s="317">
        <v>6.5279520673076927</v>
      </c>
      <c r="BN60" s="317">
        <v>6.5081057692307693</v>
      </c>
      <c r="BO60" s="317"/>
      <c r="BP60" s="317">
        <v>0.76367865384615385</v>
      </c>
      <c r="BQ60" s="317"/>
      <c r="BR60" s="317">
        <v>3.4020884615384612</v>
      </c>
      <c r="BS60" s="317"/>
      <c r="BT60" s="317">
        <v>1</v>
      </c>
      <c r="BU60" s="317"/>
      <c r="BV60" s="317">
        <v>7.2796884134615381</v>
      </c>
      <c r="BW60" s="317">
        <v>1.6303076923076925</v>
      </c>
      <c r="BX60" s="317"/>
      <c r="BY60" s="317">
        <v>4.4102589423076921</v>
      </c>
      <c r="BZ60" s="317"/>
      <c r="CA60" s="317">
        <v>0.27149038461538461</v>
      </c>
      <c r="CB60" s="317"/>
      <c r="CC60" s="317"/>
      <c r="CD60" s="247" t="s">
        <v>233</v>
      </c>
      <c r="CE60" s="268">
        <f t="shared" ref="CE60:CE68" si="4">SUM(C60:CD60)</f>
        <v>385.38341831730781</v>
      </c>
    </row>
    <row r="61" spans="1:83" x14ac:dyDescent="0.35">
      <c r="A61" s="39" t="s">
        <v>248</v>
      </c>
      <c r="B61" s="20"/>
      <c r="C61" s="24">
        <v>19184.28</v>
      </c>
      <c r="D61" s="24"/>
      <c r="E61" s="24">
        <v>2657073.83</v>
      </c>
      <c r="F61" s="24"/>
      <c r="G61" s="24">
        <v>963264.06999999983</v>
      </c>
      <c r="H61" s="24">
        <v>10226.970000000003</v>
      </c>
      <c r="I61" s="24">
        <v>41869.449999999997</v>
      </c>
      <c r="J61" s="24"/>
      <c r="K61" s="24"/>
      <c r="L61" s="24"/>
      <c r="M61" s="24"/>
      <c r="N61" s="24">
        <v>1253891.3400000001</v>
      </c>
      <c r="O61" s="24"/>
      <c r="P61" s="30">
        <v>2348240.1799999997</v>
      </c>
      <c r="Q61" s="30">
        <v>413550.21000000008</v>
      </c>
      <c r="R61" s="30"/>
      <c r="S61" s="319">
        <v>262288.69</v>
      </c>
      <c r="T61" s="319"/>
      <c r="U61" s="31">
        <v>773502.69</v>
      </c>
      <c r="V61" s="30"/>
      <c r="W61" s="30">
        <v>234095.44</v>
      </c>
      <c r="X61" s="30">
        <v>258813.94999999998</v>
      </c>
      <c r="Y61" s="30">
        <v>1140176.4200000002</v>
      </c>
      <c r="Z61" s="30"/>
      <c r="AA61" s="30">
        <v>264907.49999999994</v>
      </c>
      <c r="AB61" s="320">
        <v>1079458.1300000001</v>
      </c>
      <c r="AC61" s="30">
        <v>525279.44999999995</v>
      </c>
      <c r="AD61" s="30"/>
      <c r="AE61" s="30">
        <v>1546988.6400000004</v>
      </c>
      <c r="AF61" s="30"/>
      <c r="AG61" s="30">
        <v>1767564.0499999996</v>
      </c>
      <c r="AH61" s="30"/>
      <c r="AI61" s="30"/>
      <c r="AJ61" s="30">
        <v>9974074.9000000022</v>
      </c>
      <c r="AK61" s="30">
        <v>1159237.3600000001</v>
      </c>
      <c r="AL61" s="30">
        <v>190655.15000000002</v>
      </c>
      <c r="AM61" s="30"/>
      <c r="AN61" s="30"/>
      <c r="AO61" s="30">
        <v>356166.26999999996</v>
      </c>
      <c r="AP61" s="30"/>
      <c r="AQ61" s="30"/>
      <c r="AR61" s="30"/>
      <c r="AS61" s="30"/>
      <c r="AT61" s="30"/>
      <c r="AU61" s="30"/>
      <c r="AV61" s="319">
        <v>599392.90000000014</v>
      </c>
      <c r="AW61" s="319"/>
      <c r="AX61" s="319"/>
      <c r="AY61" s="30"/>
      <c r="AZ61" s="30"/>
      <c r="BA61" s="319">
        <v>5183.84</v>
      </c>
      <c r="BB61" s="319"/>
      <c r="BC61" s="319"/>
      <c r="BD61" s="319">
        <v>343908.64</v>
      </c>
      <c r="BE61" s="30">
        <v>536141.77999999991</v>
      </c>
      <c r="BF61" s="319">
        <v>-4618.9500000000007</v>
      </c>
      <c r="BG61" s="319"/>
      <c r="BH61" s="319">
        <v>650043.44000000006</v>
      </c>
      <c r="BI61" s="319">
        <v>124420.18</v>
      </c>
      <c r="BJ61" s="319">
        <v>494341.17</v>
      </c>
      <c r="BK61" s="319"/>
      <c r="BL61" s="319">
        <v>266508.95000000007</v>
      </c>
      <c r="BM61" s="319">
        <v>1876.1800000000003</v>
      </c>
      <c r="BN61" s="319">
        <v>1678428.7500000002</v>
      </c>
      <c r="BO61" s="319"/>
      <c r="BP61" s="319">
        <v>92718.700000000012</v>
      </c>
      <c r="BQ61" s="319"/>
      <c r="BR61" s="319">
        <v>428953.58999999997</v>
      </c>
      <c r="BS61" s="319"/>
      <c r="BT61" s="319">
        <v>58343.44999999999</v>
      </c>
      <c r="BU61" s="319"/>
      <c r="BV61" s="319">
        <v>190724.02000000002</v>
      </c>
      <c r="BW61" s="319">
        <v>52166.010000000009</v>
      </c>
      <c r="BX61" s="319"/>
      <c r="BY61" s="319">
        <v>696636.41</v>
      </c>
      <c r="BZ61" s="319"/>
      <c r="CA61" s="319">
        <v>20896.37</v>
      </c>
      <c r="CB61" s="319"/>
      <c r="CC61" s="319"/>
      <c r="CD61" s="29" t="s">
        <v>233</v>
      </c>
      <c r="CE61" s="32">
        <f t="shared" si="4"/>
        <v>33476574.400000002</v>
      </c>
    </row>
    <row r="62" spans="1:83" x14ac:dyDescent="0.35">
      <c r="A62" s="39" t="s">
        <v>9</v>
      </c>
      <c r="B62" s="20"/>
      <c r="C62" s="32">
        <f>ROUND(C47+C48,0)</f>
        <v>3681</v>
      </c>
      <c r="D62" s="32">
        <f t="shared" ref="D62:BO62" si="5">ROUND(D47+D48,0)</f>
        <v>0</v>
      </c>
      <c r="E62" s="32">
        <f t="shared" si="5"/>
        <v>509827</v>
      </c>
      <c r="F62" s="32">
        <f t="shared" si="5"/>
        <v>0</v>
      </c>
      <c r="G62" s="32">
        <f t="shared" si="5"/>
        <v>184827</v>
      </c>
      <c r="H62" s="32">
        <f t="shared" si="5"/>
        <v>1962</v>
      </c>
      <c r="I62" s="32">
        <f t="shared" si="5"/>
        <v>8034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240591</v>
      </c>
      <c r="O62" s="32">
        <f t="shared" si="5"/>
        <v>0</v>
      </c>
      <c r="P62" s="32">
        <f t="shared" si="5"/>
        <v>450570</v>
      </c>
      <c r="Q62" s="32">
        <f t="shared" si="5"/>
        <v>79350</v>
      </c>
      <c r="R62" s="32">
        <f t="shared" si="5"/>
        <v>0</v>
      </c>
      <c r="S62" s="32">
        <f t="shared" si="5"/>
        <v>50327</v>
      </c>
      <c r="T62" s="32">
        <f t="shared" si="5"/>
        <v>0</v>
      </c>
      <c r="U62" s="32">
        <f t="shared" si="5"/>
        <v>148416</v>
      </c>
      <c r="V62" s="32">
        <f t="shared" si="5"/>
        <v>0</v>
      </c>
      <c r="W62" s="32">
        <f t="shared" si="5"/>
        <v>44917</v>
      </c>
      <c r="X62" s="32">
        <f t="shared" si="5"/>
        <v>49660</v>
      </c>
      <c r="Y62" s="32">
        <f t="shared" si="5"/>
        <v>218772</v>
      </c>
      <c r="Z62" s="32">
        <f t="shared" si="5"/>
        <v>0</v>
      </c>
      <c r="AA62" s="32">
        <f t="shared" si="5"/>
        <v>50829</v>
      </c>
      <c r="AB62" s="32">
        <f t="shared" si="5"/>
        <v>207121</v>
      </c>
      <c r="AC62" s="32">
        <f t="shared" si="5"/>
        <v>100788</v>
      </c>
      <c r="AD62" s="32">
        <f t="shared" si="5"/>
        <v>0</v>
      </c>
      <c r="AE62" s="32">
        <f t="shared" si="5"/>
        <v>296829</v>
      </c>
      <c r="AF62" s="32">
        <f t="shared" si="5"/>
        <v>0</v>
      </c>
      <c r="AG62" s="32">
        <f t="shared" si="5"/>
        <v>339152</v>
      </c>
      <c r="AH62" s="32">
        <f t="shared" si="5"/>
        <v>0</v>
      </c>
      <c r="AI62" s="32">
        <f t="shared" si="5"/>
        <v>0</v>
      </c>
      <c r="AJ62" s="32">
        <f t="shared" si="5"/>
        <v>1913780</v>
      </c>
      <c r="AK62" s="32">
        <f t="shared" si="5"/>
        <v>222429</v>
      </c>
      <c r="AL62" s="32">
        <f t="shared" si="5"/>
        <v>36582</v>
      </c>
      <c r="AM62" s="32">
        <f t="shared" si="5"/>
        <v>0</v>
      </c>
      <c r="AN62" s="32">
        <f t="shared" si="5"/>
        <v>0</v>
      </c>
      <c r="AO62" s="32">
        <f t="shared" si="5"/>
        <v>68340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115009</v>
      </c>
      <c r="AW62" s="32">
        <f t="shared" si="5"/>
        <v>0</v>
      </c>
      <c r="AX62" s="32">
        <f t="shared" si="5"/>
        <v>0</v>
      </c>
      <c r="AY62" s="32">
        <f t="shared" si="5"/>
        <v>0</v>
      </c>
      <c r="AZ62" s="32">
        <f t="shared" si="5"/>
        <v>0</v>
      </c>
      <c r="BA62" s="32">
        <f t="shared" si="5"/>
        <v>995</v>
      </c>
      <c r="BB62" s="32">
        <f t="shared" si="5"/>
        <v>0</v>
      </c>
      <c r="BC62" s="32">
        <f t="shared" si="5"/>
        <v>0</v>
      </c>
      <c r="BD62" s="32">
        <f t="shared" si="5"/>
        <v>65988</v>
      </c>
      <c r="BE62" s="32">
        <f t="shared" si="5"/>
        <v>102872</v>
      </c>
      <c r="BF62" s="32">
        <f t="shared" si="5"/>
        <v>-886</v>
      </c>
      <c r="BG62" s="32">
        <f t="shared" si="5"/>
        <v>0</v>
      </c>
      <c r="BH62" s="32">
        <f t="shared" si="5"/>
        <v>124727</v>
      </c>
      <c r="BI62" s="32">
        <f t="shared" si="5"/>
        <v>23873</v>
      </c>
      <c r="BJ62" s="32">
        <f t="shared" si="5"/>
        <v>94852</v>
      </c>
      <c r="BK62" s="32">
        <f t="shared" si="5"/>
        <v>0</v>
      </c>
      <c r="BL62" s="32">
        <f t="shared" si="5"/>
        <v>51137</v>
      </c>
      <c r="BM62" s="32">
        <f t="shared" si="5"/>
        <v>360</v>
      </c>
      <c r="BN62" s="32">
        <f t="shared" si="5"/>
        <v>322049</v>
      </c>
      <c r="BO62" s="32">
        <f t="shared" si="5"/>
        <v>0</v>
      </c>
      <c r="BP62" s="32">
        <f t="shared" ref="BP62:CC62" si="6">ROUND(BP47+BP48,0)</f>
        <v>17790</v>
      </c>
      <c r="BQ62" s="32">
        <f t="shared" si="6"/>
        <v>0</v>
      </c>
      <c r="BR62" s="32">
        <f t="shared" si="6"/>
        <v>82306</v>
      </c>
      <c r="BS62" s="32">
        <f t="shared" si="6"/>
        <v>0</v>
      </c>
      <c r="BT62" s="32">
        <f t="shared" si="6"/>
        <v>11195</v>
      </c>
      <c r="BU62" s="32">
        <f t="shared" si="6"/>
        <v>0</v>
      </c>
      <c r="BV62" s="32">
        <f t="shared" si="6"/>
        <v>36595</v>
      </c>
      <c r="BW62" s="32">
        <f t="shared" si="6"/>
        <v>10009</v>
      </c>
      <c r="BX62" s="32">
        <f t="shared" si="6"/>
        <v>0</v>
      </c>
      <c r="BY62" s="32">
        <f t="shared" si="6"/>
        <v>133667</v>
      </c>
      <c r="BZ62" s="32">
        <f t="shared" si="6"/>
        <v>0</v>
      </c>
      <c r="CA62" s="32">
        <f t="shared" si="6"/>
        <v>4009</v>
      </c>
      <c r="CB62" s="32">
        <f t="shared" si="6"/>
        <v>0</v>
      </c>
      <c r="CC62" s="32">
        <f t="shared" si="6"/>
        <v>0</v>
      </c>
      <c r="CD62" s="29" t="s">
        <v>233</v>
      </c>
      <c r="CE62" s="32">
        <f t="shared" si="4"/>
        <v>6423331</v>
      </c>
    </row>
    <row r="63" spans="1:83" x14ac:dyDescent="0.35">
      <c r="A63" s="39" t="s">
        <v>249</v>
      </c>
      <c r="B63" s="20"/>
      <c r="C63" s="24"/>
      <c r="D63" s="24"/>
      <c r="E63" s="24"/>
      <c r="F63" s="24"/>
      <c r="G63" s="24">
        <v>117640.75</v>
      </c>
      <c r="H63" s="24"/>
      <c r="I63" s="24"/>
      <c r="J63" s="24"/>
      <c r="K63" s="24"/>
      <c r="L63" s="24"/>
      <c r="M63" s="24"/>
      <c r="N63" s="24">
        <v>43702.37999999999</v>
      </c>
      <c r="O63" s="24"/>
      <c r="P63" s="30"/>
      <c r="Q63" s="30"/>
      <c r="R63" s="30">
        <v>2468363.08</v>
      </c>
      <c r="S63" s="319"/>
      <c r="T63" s="319"/>
      <c r="U63" s="31">
        <v>27218.47</v>
      </c>
      <c r="V63" s="30"/>
      <c r="W63" s="30"/>
      <c r="X63" s="30"/>
      <c r="Y63" s="30"/>
      <c r="Z63" s="30"/>
      <c r="AA63" s="30"/>
      <c r="AB63" s="320"/>
      <c r="AC63" s="30">
        <v>-36000</v>
      </c>
      <c r="AD63" s="30"/>
      <c r="AE63" s="30"/>
      <c r="AF63" s="30"/>
      <c r="AG63" s="30">
        <v>2002348.5899999999</v>
      </c>
      <c r="AH63" s="30"/>
      <c r="AI63" s="30"/>
      <c r="AJ63" s="30">
        <v>904867.64000000013</v>
      </c>
      <c r="AK63" s="30">
        <v>654940.95000000007</v>
      </c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19"/>
      <c r="AW63" s="319"/>
      <c r="AX63" s="319"/>
      <c r="AY63" s="30"/>
      <c r="AZ63" s="30"/>
      <c r="BA63" s="319"/>
      <c r="BB63" s="319"/>
      <c r="BC63" s="319"/>
      <c r="BD63" s="319"/>
      <c r="BE63" s="30"/>
      <c r="BF63" s="319"/>
      <c r="BG63" s="319"/>
      <c r="BH63" s="319"/>
      <c r="BI63" s="319"/>
      <c r="BJ63" s="319"/>
      <c r="BK63" s="319"/>
      <c r="BL63" s="319"/>
      <c r="BM63" s="319"/>
      <c r="BN63" s="319">
        <v>-8000</v>
      </c>
      <c r="BO63" s="319"/>
      <c r="BP63" s="319"/>
      <c r="BQ63" s="319"/>
      <c r="BR63" s="319"/>
      <c r="BS63" s="319"/>
      <c r="BT63" s="319"/>
      <c r="BU63" s="319"/>
      <c r="BV63" s="319"/>
      <c r="BW63" s="319">
        <v>771200</v>
      </c>
      <c r="BX63" s="319"/>
      <c r="BY63" s="319"/>
      <c r="BZ63" s="319"/>
      <c r="CA63" s="319"/>
      <c r="CB63" s="319"/>
      <c r="CC63" s="319"/>
      <c r="CD63" s="29" t="s">
        <v>233</v>
      </c>
      <c r="CE63" s="32">
        <f t="shared" si="4"/>
        <v>6946281.8600000003</v>
      </c>
    </row>
    <row r="64" spans="1:83" x14ac:dyDescent="0.35">
      <c r="A64" s="39" t="s">
        <v>250</v>
      </c>
      <c r="B64" s="20"/>
      <c r="C64" s="24">
        <v>318.74</v>
      </c>
      <c r="D64" s="24">
        <v>20.87</v>
      </c>
      <c r="E64" s="24">
        <v>456769.18000000005</v>
      </c>
      <c r="F64" s="24"/>
      <c r="G64" s="24">
        <v>51249.33</v>
      </c>
      <c r="H64" s="24">
        <v>353.22</v>
      </c>
      <c r="I64" s="24"/>
      <c r="J64" s="24"/>
      <c r="K64" s="24"/>
      <c r="L64" s="24"/>
      <c r="M64" s="24"/>
      <c r="N64" s="24">
        <v>257685.57</v>
      </c>
      <c r="O64" s="24"/>
      <c r="P64" s="30">
        <v>9401812.7499999981</v>
      </c>
      <c r="Q64" s="30">
        <v>13101.369999999999</v>
      </c>
      <c r="R64" s="30">
        <v>123125.91999999998</v>
      </c>
      <c r="S64" s="319">
        <v>310125.75000000006</v>
      </c>
      <c r="T64" s="319">
        <v>39988.26999999999</v>
      </c>
      <c r="U64" s="31">
        <v>864278.90999999992</v>
      </c>
      <c r="V64" s="30"/>
      <c r="W64" s="30">
        <v>2791.2000000000003</v>
      </c>
      <c r="X64" s="30">
        <v>19160.289999999997</v>
      </c>
      <c r="Y64" s="30">
        <v>43659.260000000009</v>
      </c>
      <c r="Z64" s="30"/>
      <c r="AA64" s="30">
        <v>150169.38</v>
      </c>
      <c r="AB64" s="320">
        <v>4700027.0900000017</v>
      </c>
      <c r="AC64" s="30">
        <v>104590.12</v>
      </c>
      <c r="AD64" s="30"/>
      <c r="AE64" s="30">
        <v>87277.839999999982</v>
      </c>
      <c r="AF64" s="30"/>
      <c r="AG64" s="30">
        <v>295769.66000000003</v>
      </c>
      <c r="AH64" s="30"/>
      <c r="AI64" s="30"/>
      <c r="AJ64" s="30">
        <v>588131.25</v>
      </c>
      <c r="AK64" s="30">
        <v>87270.85</v>
      </c>
      <c r="AL64" s="30">
        <v>7869.94</v>
      </c>
      <c r="AM64" s="30"/>
      <c r="AN64" s="30"/>
      <c r="AO64" s="30">
        <v>1288.74</v>
      </c>
      <c r="AP64" s="30"/>
      <c r="AQ64" s="30"/>
      <c r="AR64" s="30"/>
      <c r="AS64" s="30"/>
      <c r="AT64" s="30"/>
      <c r="AU64" s="30"/>
      <c r="AV64" s="319">
        <v>4373.8899999999994</v>
      </c>
      <c r="AW64" s="319"/>
      <c r="AX64" s="319"/>
      <c r="AY64" s="30">
        <v>401531.48999999993</v>
      </c>
      <c r="AZ64" s="30"/>
      <c r="BA64" s="319">
        <v>38203.879999999997</v>
      </c>
      <c r="BB64" s="319"/>
      <c r="BC64" s="319"/>
      <c r="BD64" s="319">
        <v>1841655.4799999995</v>
      </c>
      <c r="BE64" s="30">
        <v>36835.93</v>
      </c>
      <c r="BF64" s="319">
        <v>82687.01999999999</v>
      </c>
      <c r="BG64" s="319"/>
      <c r="BH64" s="319">
        <v>19986.14</v>
      </c>
      <c r="BI64" s="319">
        <v>667961.03</v>
      </c>
      <c r="BJ64" s="319">
        <v>3041.9900000000002</v>
      </c>
      <c r="BK64" s="319">
        <v>2001.66</v>
      </c>
      <c r="BL64" s="319">
        <v>3141.9399999999996</v>
      </c>
      <c r="BM64" s="319">
        <v>377.03</v>
      </c>
      <c r="BN64" s="319">
        <v>-272410.35999999993</v>
      </c>
      <c r="BO64" s="319"/>
      <c r="BP64" s="319">
        <v>15735.9</v>
      </c>
      <c r="BQ64" s="319"/>
      <c r="BR64" s="319">
        <v>5682.9499999999989</v>
      </c>
      <c r="BS64" s="319"/>
      <c r="BT64" s="319">
        <v>261.55</v>
      </c>
      <c r="BU64" s="319"/>
      <c r="BV64" s="319">
        <v>5966.57</v>
      </c>
      <c r="BW64" s="319">
        <v>6338.6399999999994</v>
      </c>
      <c r="BX64" s="319"/>
      <c r="BY64" s="319">
        <v>1509.2899999999991</v>
      </c>
      <c r="BZ64" s="319"/>
      <c r="CA64" s="319">
        <v>217.29</v>
      </c>
      <c r="CB64" s="319">
        <v>4145.63</v>
      </c>
      <c r="CC64" s="319"/>
      <c r="CD64" s="29" t="s">
        <v>233</v>
      </c>
      <c r="CE64" s="32">
        <f t="shared" si="4"/>
        <v>20476080.439999994</v>
      </c>
    </row>
    <row r="65" spans="1:83" x14ac:dyDescent="0.35">
      <c r="A65" s="39" t="s">
        <v>251</v>
      </c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>
        <v>110.6</v>
      </c>
      <c r="Q65" s="30"/>
      <c r="R65" s="30"/>
      <c r="S65" s="319">
        <v>279.68</v>
      </c>
      <c r="T65" s="319"/>
      <c r="U65" s="31"/>
      <c r="V65" s="30"/>
      <c r="W65" s="30"/>
      <c r="X65" s="30"/>
      <c r="Y65" s="30">
        <v>756.94999999999993</v>
      </c>
      <c r="Z65" s="30"/>
      <c r="AA65" s="30"/>
      <c r="AB65" s="320"/>
      <c r="AC65" s="30"/>
      <c r="AD65" s="30"/>
      <c r="AE65" s="30">
        <v>164.08</v>
      </c>
      <c r="AF65" s="30"/>
      <c r="AG65" s="30"/>
      <c r="AH65" s="30"/>
      <c r="AI65" s="30"/>
      <c r="AJ65" s="30">
        <v>73907.939999999988</v>
      </c>
      <c r="AK65" s="30">
        <v>28260.350000000002</v>
      </c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19"/>
      <c r="AW65" s="319"/>
      <c r="AX65" s="319"/>
      <c r="AY65" s="30"/>
      <c r="AZ65" s="30"/>
      <c r="BA65" s="319"/>
      <c r="BB65" s="319"/>
      <c r="BC65" s="319"/>
      <c r="BD65" s="319"/>
      <c r="BE65" s="30">
        <v>562533.53</v>
      </c>
      <c r="BF65" s="319">
        <v>86613.38</v>
      </c>
      <c r="BG65" s="319"/>
      <c r="BH65" s="319">
        <v>404721.23</v>
      </c>
      <c r="BI65" s="319">
        <v>31789.179999999993</v>
      </c>
      <c r="BJ65" s="319"/>
      <c r="BK65" s="319"/>
      <c r="BL65" s="319"/>
      <c r="BM65" s="319"/>
      <c r="BN65" s="319">
        <v>56345.13</v>
      </c>
      <c r="BO65" s="319"/>
      <c r="BP65" s="319"/>
      <c r="BQ65" s="319"/>
      <c r="BR65" s="319"/>
      <c r="BS65" s="319"/>
      <c r="BT65" s="319"/>
      <c r="BU65" s="319"/>
      <c r="BV65" s="319"/>
      <c r="BW65" s="319"/>
      <c r="BX65" s="319"/>
      <c r="BY65" s="319"/>
      <c r="BZ65" s="319"/>
      <c r="CA65" s="319"/>
      <c r="CB65" s="319"/>
      <c r="CC65" s="319"/>
      <c r="CD65" s="29" t="s">
        <v>233</v>
      </c>
      <c r="CE65" s="32">
        <f t="shared" si="4"/>
        <v>1245482.0499999998</v>
      </c>
    </row>
    <row r="66" spans="1:83" x14ac:dyDescent="0.35">
      <c r="A66" s="39" t="s">
        <v>252</v>
      </c>
      <c r="B66" s="20"/>
      <c r="C66" s="24"/>
      <c r="D66" s="24"/>
      <c r="E66" s="24">
        <v>41742.660000000003</v>
      </c>
      <c r="F66" s="24"/>
      <c r="G66" s="24">
        <v>272859.12</v>
      </c>
      <c r="H66" s="24"/>
      <c r="I66" s="24"/>
      <c r="J66" s="24"/>
      <c r="K66" s="24"/>
      <c r="L66" s="24"/>
      <c r="M66" s="24"/>
      <c r="N66" s="24">
        <v>487858.05000000005</v>
      </c>
      <c r="O66" s="24"/>
      <c r="P66" s="30">
        <v>551125.14</v>
      </c>
      <c r="Q66" s="30"/>
      <c r="R66" s="30"/>
      <c r="S66" s="319">
        <v>4800</v>
      </c>
      <c r="T66" s="319"/>
      <c r="U66" s="31">
        <v>479831.41</v>
      </c>
      <c r="V66" s="30"/>
      <c r="W66" s="30"/>
      <c r="X66" s="30"/>
      <c r="Y66" s="30">
        <v>2627.74</v>
      </c>
      <c r="Z66" s="30"/>
      <c r="AA66" s="30"/>
      <c r="AB66" s="320">
        <v>105692.62</v>
      </c>
      <c r="AC66" s="30"/>
      <c r="AD66" s="30"/>
      <c r="AE66" s="30">
        <v>-999.13999999999987</v>
      </c>
      <c r="AF66" s="30"/>
      <c r="AG66" s="30">
        <v>88509.26999999999</v>
      </c>
      <c r="AH66" s="30"/>
      <c r="AI66" s="30"/>
      <c r="AJ66" s="30">
        <v>183572.16000000003</v>
      </c>
      <c r="AK66" s="30">
        <v>167494.49000000002</v>
      </c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19">
        <v>363015.17</v>
      </c>
      <c r="AW66" s="319"/>
      <c r="AX66" s="319"/>
      <c r="AY66" s="30">
        <v>879109.93</v>
      </c>
      <c r="AZ66" s="30"/>
      <c r="BA66" s="319">
        <v>138499.36000000002</v>
      </c>
      <c r="BB66" s="319"/>
      <c r="BC66" s="319"/>
      <c r="BD66" s="319">
        <v>98978.510000000009</v>
      </c>
      <c r="BE66" s="30">
        <v>30751.010000000002</v>
      </c>
      <c r="BF66" s="319">
        <v>1182811.3400000001</v>
      </c>
      <c r="BG66" s="319"/>
      <c r="BH66" s="319">
        <v>396990.28</v>
      </c>
      <c r="BI66" s="319">
        <v>173292.64</v>
      </c>
      <c r="BJ66" s="319">
        <v>45669.81</v>
      </c>
      <c r="BK66" s="319">
        <v>11217.119999999997</v>
      </c>
      <c r="BL66" s="319">
        <v>-56317.89</v>
      </c>
      <c r="BM66" s="319">
        <v>2515611.2400000002</v>
      </c>
      <c r="BN66" s="319">
        <v>335932.7</v>
      </c>
      <c r="BO66" s="319"/>
      <c r="BP66" s="319">
        <v>-3301.56</v>
      </c>
      <c r="BQ66" s="319"/>
      <c r="BR66" s="319">
        <v>190055.95</v>
      </c>
      <c r="BS66" s="319"/>
      <c r="BT66" s="319"/>
      <c r="BU66" s="319"/>
      <c r="BV66" s="319">
        <v>377208.05999999994</v>
      </c>
      <c r="BW66" s="319">
        <v>14922.240000000005</v>
      </c>
      <c r="BX66" s="319"/>
      <c r="BY66" s="319">
        <v>29550</v>
      </c>
      <c r="BZ66" s="319"/>
      <c r="CA66" s="319">
        <v>5515.1900000000005</v>
      </c>
      <c r="CB66" s="319"/>
      <c r="CC66" s="319"/>
      <c r="CD66" s="29" t="s">
        <v>233</v>
      </c>
      <c r="CE66" s="32">
        <f t="shared" si="4"/>
        <v>9114624.6199999992</v>
      </c>
    </row>
    <row r="67" spans="1:83" x14ac:dyDescent="0.35">
      <c r="A67" s="39" t="s">
        <v>11</v>
      </c>
      <c r="B67" s="20"/>
      <c r="C67" s="32">
        <f t="shared" ref="C67:BN67" si="7">ROUND(C51+C52,0)</f>
        <v>39178</v>
      </c>
      <c r="D67" s="32">
        <f t="shared" si="7"/>
        <v>0</v>
      </c>
      <c r="E67" s="32">
        <f t="shared" si="7"/>
        <v>200861</v>
      </c>
      <c r="F67" s="32">
        <f t="shared" si="7"/>
        <v>0</v>
      </c>
      <c r="G67" s="32">
        <f t="shared" si="7"/>
        <v>75354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35914</v>
      </c>
      <c r="O67" s="32">
        <f t="shared" si="7"/>
        <v>0</v>
      </c>
      <c r="P67" s="32">
        <f t="shared" si="7"/>
        <v>476584</v>
      </c>
      <c r="Q67" s="32">
        <f t="shared" si="7"/>
        <v>0</v>
      </c>
      <c r="R67" s="32">
        <f t="shared" si="7"/>
        <v>0</v>
      </c>
      <c r="S67" s="32">
        <f t="shared" si="7"/>
        <v>0</v>
      </c>
      <c r="T67" s="32">
        <f t="shared" si="7"/>
        <v>0</v>
      </c>
      <c r="U67" s="32">
        <f t="shared" si="7"/>
        <v>39335</v>
      </c>
      <c r="V67" s="32">
        <f t="shared" si="7"/>
        <v>0</v>
      </c>
      <c r="W67" s="32">
        <f t="shared" si="7"/>
        <v>17268</v>
      </c>
      <c r="X67" s="32">
        <f t="shared" si="7"/>
        <v>6139</v>
      </c>
      <c r="Y67" s="32">
        <f t="shared" si="7"/>
        <v>41571</v>
      </c>
      <c r="Z67" s="32">
        <f t="shared" si="7"/>
        <v>0</v>
      </c>
      <c r="AA67" s="32">
        <f t="shared" si="7"/>
        <v>15283</v>
      </c>
      <c r="AB67" s="32">
        <f t="shared" si="7"/>
        <v>29235</v>
      </c>
      <c r="AC67" s="32">
        <f t="shared" si="7"/>
        <v>5241</v>
      </c>
      <c r="AD67" s="32">
        <f t="shared" si="7"/>
        <v>0</v>
      </c>
      <c r="AE67" s="32">
        <f t="shared" si="7"/>
        <v>20222</v>
      </c>
      <c r="AF67" s="32">
        <f t="shared" si="7"/>
        <v>0</v>
      </c>
      <c r="AG67" s="32">
        <f t="shared" si="7"/>
        <v>56173</v>
      </c>
      <c r="AH67" s="32">
        <f t="shared" si="7"/>
        <v>0</v>
      </c>
      <c r="AI67" s="32">
        <f t="shared" si="7"/>
        <v>0</v>
      </c>
      <c r="AJ67" s="32">
        <f t="shared" si="7"/>
        <v>43522</v>
      </c>
      <c r="AK67" s="32">
        <f t="shared" si="7"/>
        <v>0</v>
      </c>
      <c r="AL67" s="32">
        <f t="shared" si="7"/>
        <v>2177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15516</v>
      </c>
      <c r="AW67" s="32">
        <f t="shared" si="7"/>
        <v>0</v>
      </c>
      <c r="AX67" s="32">
        <f t="shared" si="7"/>
        <v>0</v>
      </c>
      <c r="AY67" s="32">
        <f t="shared" si="7"/>
        <v>67159</v>
      </c>
      <c r="AZ67" s="32">
        <f t="shared" si="7"/>
        <v>0</v>
      </c>
      <c r="BA67" s="32">
        <f t="shared" si="7"/>
        <v>0</v>
      </c>
      <c r="BB67" s="32">
        <f t="shared" si="7"/>
        <v>0</v>
      </c>
      <c r="BC67" s="32">
        <f t="shared" si="7"/>
        <v>0</v>
      </c>
      <c r="BD67" s="32">
        <f t="shared" si="7"/>
        <v>88186</v>
      </c>
      <c r="BE67" s="32">
        <f t="shared" si="7"/>
        <v>878254</v>
      </c>
      <c r="BF67" s="32">
        <f t="shared" si="7"/>
        <v>24994</v>
      </c>
      <c r="BG67" s="32">
        <f t="shared" si="7"/>
        <v>0</v>
      </c>
      <c r="BH67" s="32">
        <f t="shared" si="7"/>
        <v>29306</v>
      </c>
      <c r="BI67" s="32">
        <f t="shared" si="7"/>
        <v>0</v>
      </c>
      <c r="BJ67" s="32">
        <f t="shared" si="7"/>
        <v>0</v>
      </c>
      <c r="BK67" s="32">
        <f t="shared" si="7"/>
        <v>2049</v>
      </c>
      <c r="BL67" s="32">
        <f t="shared" si="7"/>
        <v>11384</v>
      </c>
      <c r="BM67" s="32">
        <f t="shared" si="7"/>
        <v>18255</v>
      </c>
      <c r="BN67" s="32">
        <f t="shared" si="7"/>
        <v>38884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16832</v>
      </c>
      <c r="BS67" s="32">
        <f t="shared" si="8"/>
        <v>0</v>
      </c>
      <c r="BT67" s="32">
        <f t="shared" si="8"/>
        <v>8378</v>
      </c>
      <c r="BU67" s="32">
        <f t="shared" si="8"/>
        <v>0</v>
      </c>
      <c r="BV67" s="32">
        <f t="shared" si="8"/>
        <v>35221</v>
      </c>
      <c r="BW67" s="32">
        <f t="shared" si="8"/>
        <v>0</v>
      </c>
      <c r="BX67" s="32">
        <f t="shared" si="8"/>
        <v>0</v>
      </c>
      <c r="BY67" s="32">
        <f t="shared" si="8"/>
        <v>0</v>
      </c>
      <c r="BZ67" s="32">
        <f t="shared" si="8"/>
        <v>0</v>
      </c>
      <c r="CA67" s="32">
        <f t="shared" si="8"/>
        <v>402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2338877</v>
      </c>
    </row>
    <row r="68" spans="1:83" x14ac:dyDescent="0.35">
      <c r="A68" s="39" t="s">
        <v>253</v>
      </c>
      <c r="B68" s="32"/>
      <c r="C68" s="24"/>
      <c r="D68" s="24"/>
      <c r="E68" s="24">
        <v>41179.14</v>
      </c>
      <c r="F68" s="24"/>
      <c r="G68" s="24">
        <v>-1395</v>
      </c>
      <c r="H68" s="24"/>
      <c r="I68" s="24"/>
      <c r="J68" s="24"/>
      <c r="K68" s="24"/>
      <c r="L68" s="24"/>
      <c r="M68" s="24"/>
      <c r="N68" s="24">
        <v>1957.9999999999995</v>
      </c>
      <c r="O68" s="24"/>
      <c r="P68" s="30">
        <v>251.26</v>
      </c>
      <c r="Q68" s="30"/>
      <c r="R68" s="30"/>
      <c r="S68" s="319">
        <v>5538.6</v>
      </c>
      <c r="T68" s="319"/>
      <c r="U68" s="31">
        <v>33439.06</v>
      </c>
      <c r="V68" s="30"/>
      <c r="W68" s="30"/>
      <c r="X68" s="30"/>
      <c r="Y68" s="30">
        <v>184791.34000000003</v>
      </c>
      <c r="Z68" s="30"/>
      <c r="AA68" s="30"/>
      <c r="AB68" s="320">
        <v>3400.8899999999994</v>
      </c>
      <c r="AC68" s="30">
        <v>-13157.970000000003</v>
      </c>
      <c r="AD68" s="30"/>
      <c r="AE68" s="30">
        <v>145818.90999999997</v>
      </c>
      <c r="AF68" s="30"/>
      <c r="AG68" s="30">
        <v>51530.87</v>
      </c>
      <c r="AH68" s="30"/>
      <c r="AI68" s="30"/>
      <c r="AJ68" s="30">
        <v>809789.15000000014</v>
      </c>
      <c r="AK68" s="30">
        <v>143358.96</v>
      </c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19">
        <v>105394.90999999999</v>
      </c>
      <c r="AW68" s="319"/>
      <c r="AX68" s="319"/>
      <c r="AY68" s="30"/>
      <c r="AZ68" s="30"/>
      <c r="BA68" s="319"/>
      <c r="BB68" s="319"/>
      <c r="BC68" s="319"/>
      <c r="BD68" s="319">
        <v>-7769.1</v>
      </c>
      <c r="BE68" s="30"/>
      <c r="BF68" s="319"/>
      <c r="BG68" s="319"/>
      <c r="BH68" s="319">
        <v>123728.99999999997</v>
      </c>
      <c r="BI68" s="319">
        <v>52247.140000000007</v>
      </c>
      <c r="BJ68" s="319">
        <v>42168</v>
      </c>
      <c r="BK68" s="319">
        <v>-6540</v>
      </c>
      <c r="BL68" s="319"/>
      <c r="BM68" s="319"/>
      <c r="BN68" s="319">
        <v>-2527.6400000000067</v>
      </c>
      <c r="BO68" s="319"/>
      <c r="BP68" s="319"/>
      <c r="BQ68" s="319"/>
      <c r="BR68" s="319">
        <v>52503.57</v>
      </c>
      <c r="BS68" s="319"/>
      <c r="BT68" s="319"/>
      <c r="BU68" s="319"/>
      <c r="BV68" s="319">
        <v>1879.85</v>
      </c>
      <c r="BW68" s="319"/>
      <c r="BX68" s="319"/>
      <c r="BY68" s="319">
        <v>48304.369999999995</v>
      </c>
      <c r="BZ68" s="319"/>
      <c r="CA68" s="319"/>
      <c r="CB68" s="319"/>
      <c r="CC68" s="319"/>
      <c r="CD68" s="29" t="s">
        <v>233</v>
      </c>
      <c r="CE68" s="32">
        <f t="shared" si="4"/>
        <v>1815893.31</v>
      </c>
    </row>
    <row r="69" spans="1:83" x14ac:dyDescent="0.35">
      <c r="A69" s="39" t="s">
        <v>254</v>
      </c>
      <c r="B69" s="20"/>
      <c r="C69" s="32">
        <f t="shared" ref="C69:BN69" si="9">SUM(C70:C83)</f>
        <v>134462.83000000002</v>
      </c>
      <c r="D69" s="32">
        <f t="shared" si="9"/>
        <v>0</v>
      </c>
      <c r="E69" s="32">
        <f t="shared" si="9"/>
        <v>1734629.86</v>
      </c>
      <c r="F69" s="32">
        <f t="shared" si="9"/>
        <v>0</v>
      </c>
      <c r="G69" s="32">
        <f t="shared" si="9"/>
        <v>106729.53</v>
      </c>
      <c r="H69" s="32">
        <f t="shared" si="9"/>
        <v>531.96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108432.3</v>
      </c>
      <c r="O69" s="32">
        <f t="shared" si="9"/>
        <v>0</v>
      </c>
      <c r="P69" s="32">
        <f t="shared" si="9"/>
        <v>976520.45</v>
      </c>
      <c r="Q69" s="32">
        <f t="shared" si="9"/>
        <v>283.44</v>
      </c>
      <c r="R69" s="32">
        <f t="shared" si="9"/>
        <v>0</v>
      </c>
      <c r="S69" s="32">
        <f t="shared" si="9"/>
        <v>18897.21</v>
      </c>
      <c r="T69" s="32">
        <f t="shared" si="9"/>
        <v>0</v>
      </c>
      <c r="U69" s="32">
        <f t="shared" si="9"/>
        <v>1183511.48</v>
      </c>
      <c r="V69" s="32">
        <f t="shared" si="9"/>
        <v>0</v>
      </c>
      <c r="W69" s="32">
        <f t="shared" si="9"/>
        <v>1960.41</v>
      </c>
      <c r="X69" s="32">
        <f t="shared" si="9"/>
        <v>8022.77</v>
      </c>
      <c r="Y69" s="32">
        <f t="shared" si="9"/>
        <v>153724.71</v>
      </c>
      <c r="Z69" s="32">
        <f t="shared" si="9"/>
        <v>0</v>
      </c>
      <c r="AA69" s="32">
        <f t="shared" si="9"/>
        <v>9116.5</v>
      </c>
      <c r="AB69" s="32">
        <f t="shared" si="9"/>
        <v>87669.62</v>
      </c>
      <c r="AC69" s="32">
        <f t="shared" si="9"/>
        <v>76866.16</v>
      </c>
      <c r="AD69" s="32">
        <f t="shared" si="9"/>
        <v>0</v>
      </c>
      <c r="AE69" s="32">
        <f t="shared" si="9"/>
        <v>165964.67000000001</v>
      </c>
      <c r="AF69" s="32">
        <f t="shared" si="9"/>
        <v>0</v>
      </c>
      <c r="AG69" s="32">
        <f t="shared" si="9"/>
        <v>2134834.2200000002</v>
      </c>
      <c r="AH69" s="32">
        <f t="shared" si="9"/>
        <v>0</v>
      </c>
      <c r="AI69" s="32">
        <f t="shared" si="9"/>
        <v>0</v>
      </c>
      <c r="AJ69" s="32">
        <f t="shared" si="9"/>
        <v>1922732.25</v>
      </c>
      <c r="AK69" s="32">
        <f t="shared" si="9"/>
        <v>294018.47000000003</v>
      </c>
      <c r="AL69" s="32">
        <f t="shared" si="9"/>
        <v>12485.21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349358.82</v>
      </c>
      <c r="AW69" s="32">
        <f t="shared" si="9"/>
        <v>0</v>
      </c>
      <c r="AX69" s="32">
        <f t="shared" si="9"/>
        <v>0</v>
      </c>
      <c r="AY69" s="32">
        <f t="shared" si="9"/>
        <v>13111.6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309370.59000000003</v>
      </c>
      <c r="BE69" s="32">
        <f t="shared" si="9"/>
        <v>482783.57</v>
      </c>
      <c r="BF69" s="32">
        <f t="shared" si="9"/>
        <v>5175.03</v>
      </c>
      <c r="BG69" s="32">
        <f t="shared" si="9"/>
        <v>0</v>
      </c>
      <c r="BH69" s="32">
        <f t="shared" si="9"/>
        <v>371928.88000000006</v>
      </c>
      <c r="BI69" s="32">
        <f t="shared" si="9"/>
        <v>87590.65</v>
      </c>
      <c r="BJ69" s="32">
        <f t="shared" si="9"/>
        <v>-180243.82</v>
      </c>
      <c r="BK69" s="32">
        <f t="shared" si="9"/>
        <v>223407.62</v>
      </c>
      <c r="BL69" s="32">
        <f t="shared" si="9"/>
        <v>498.36</v>
      </c>
      <c r="BM69" s="32">
        <f t="shared" si="9"/>
        <v>0</v>
      </c>
      <c r="BN69" s="32">
        <f t="shared" si="9"/>
        <v>4885943.78</v>
      </c>
      <c r="BO69" s="32">
        <f t="shared" ref="BO69:CD69" si="10">SUM(BO70:BO83)</f>
        <v>0</v>
      </c>
      <c r="BP69" s="32">
        <f t="shared" si="10"/>
        <v>63569.35</v>
      </c>
      <c r="BQ69" s="32">
        <f t="shared" si="10"/>
        <v>0</v>
      </c>
      <c r="BR69" s="32">
        <f t="shared" si="10"/>
        <v>-156913.92000000001</v>
      </c>
      <c r="BS69" s="32">
        <f t="shared" si="10"/>
        <v>0</v>
      </c>
      <c r="BT69" s="32">
        <f t="shared" si="10"/>
        <v>-21338.959999999999</v>
      </c>
      <c r="BU69" s="32">
        <f t="shared" si="10"/>
        <v>0</v>
      </c>
      <c r="BV69" s="32">
        <f t="shared" si="10"/>
        <v>-154606.49</v>
      </c>
      <c r="BW69" s="32">
        <f t="shared" si="10"/>
        <v>12690.34</v>
      </c>
      <c r="BX69" s="32">
        <f t="shared" si="10"/>
        <v>0</v>
      </c>
      <c r="BY69" s="32">
        <f t="shared" si="10"/>
        <v>441775.72</v>
      </c>
      <c r="BZ69" s="32">
        <f t="shared" si="10"/>
        <v>0</v>
      </c>
      <c r="CA69" s="32">
        <f t="shared" si="10"/>
        <v>15234.05</v>
      </c>
      <c r="CB69" s="32">
        <f t="shared" si="10"/>
        <v>0</v>
      </c>
      <c r="CC69" s="32">
        <f t="shared" si="10"/>
        <v>0</v>
      </c>
      <c r="CD69" s="32">
        <f t="shared" si="10"/>
        <v>0</v>
      </c>
      <c r="CE69" s="32">
        <f>SUM(CE70:CE84)</f>
        <v>15880729.220000003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24">
        <f>130438.8+4024.03</f>
        <v>134462.83000000002</v>
      </c>
      <c r="D83" s="24"/>
      <c r="E83" s="30">
        <f>1641007.91+36409.85+57212.1</f>
        <v>1734629.86</v>
      </c>
      <c r="F83" s="30"/>
      <c r="G83" s="24">
        <f>58030.78+2818.47+45880.28</f>
        <v>106729.53</v>
      </c>
      <c r="H83" s="24">
        <f>471.96+60</f>
        <v>531.96</v>
      </c>
      <c r="I83" s="30"/>
      <c r="J83" s="30"/>
      <c r="K83" s="30"/>
      <c r="L83" s="30"/>
      <c r="M83" s="24"/>
      <c r="N83" s="24">
        <f>103947.91+4484.39</f>
        <v>108432.3</v>
      </c>
      <c r="O83" s="24"/>
      <c r="P83" s="30">
        <f>550375.35+385553.14+40591.96</f>
        <v>976520.45</v>
      </c>
      <c r="Q83" s="30">
        <f>238.92+44.52</f>
        <v>283.44</v>
      </c>
      <c r="R83" s="31"/>
      <c r="S83" s="30">
        <f>74221-72069.94+16746.15</f>
        <v>18897.21</v>
      </c>
      <c r="T83" s="24"/>
      <c r="U83" s="30">
        <f>1102994.23+11163.14+69354.11</f>
        <v>1183511.48</v>
      </c>
      <c r="V83" s="30"/>
      <c r="W83" s="24">
        <v>1960.41</v>
      </c>
      <c r="X83" s="30">
        <v>8022.77</v>
      </c>
      <c r="Y83" s="30">
        <f>144186.36+9538.35</f>
        <v>153724.71</v>
      </c>
      <c r="Z83" s="30"/>
      <c r="AA83" s="30">
        <f>8204.26+912.24</f>
        <v>9116.5</v>
      </c>
      <c r="AB83" s="30">
        <f>54667.15+33002.47</f>
        <v>87669.62</v>
      </c>
      <c r="AC83" s="30">
        <f>76115.31+750.85</f>
        <v>76866.16</v>
      </c>
      <c r="AD83" s="30"/>
      <c r="AE83" s="30">
        <f>123619.94+6045.95+3940.52+32358.26</f>
        <v>165964.67000000001</v>
      </c>
      <c r="AF83" s="30"/>
      <c r="AG83" s="30">
        <f>2085845.52+5363.35+43625.35</f>
        <v>2134834.2200000002</v>
      </c>
      <c r="AH83" s="30"/>
      <c r="AI83" s="30"/>
      <c r="AJ83" s="30">
        <f>211139.95+34216.79+1677375.51</f>
        <v>1922732.25</v>
      </c>
      <c r="AK83" s="30">
        <f>7927.82+286090.65</f>
        <v>294018.47000000003</v>
      </c>
      <c r="AL83" s="30">
        <f>9051.15+2763.31+670.75</f>
        <v>12485.21</v>
      </c>
      <c r="AM83" s="30"/>
      <c r="AN83" s="30"/>
      <c r="AO83" s="24"/>
      <c r="AP83" s="30"/>
      <c r="AQ83" s="24"/>
      <c r="AR83" s="24"/>
      <c r="AS83" s="24"/>
      <c r="AT83" s="24"/>
      <c r="AU83" s="30"/>
      <c r="AV83" s="30">
        <f>680746.16-331387.34</f>
        <v>349358.82</v>
      </c>
      <c r="AW83" s="30"/>
      <c r="AX83" s="30"/>
      <c r="AY83" s="30">
        <f>12443.6+668</f>
        <v>13111.6</v>
      </c>
      <c r="AZ83" s="30"/>
      <c r="BA83" s="30"/>
      <c r="BB83" s="30"/>
      <c r="BC83" s="30"/>
      <c r="BD83" s="30">
        <f>812.88+308557.71</f>
        <v>309370.59000000003</v>
      </c>
      <c r="BE83" s="30">
        <f>107160+351564.12+24059.45</f>
        <v>482783.57</v>
      </c>
      <c r="BF83" s="30">
        <f>4693.7+481.33</f>
        <v>5175.03</v>
      </c>
      <c r="BG83" s="30"/>
      <c r="BH83" s="31">
        <f>47872.39+379118.78-55062.29</f>
        <v>371928.88000000006</v>
      </c>
      <c r="BI83" s="30">
        <f>24267.82+16165.73+47157.1</f>
        <v>87590.65</v>
      </c>
      <c r="BJ83" s="30">
        <f>-1819.6+7305.46-185729.68</f>
        <v>-180243.82</v>
      </c>
      <c r="BK83" s="30">
        <f>329.82+223077.8</f>
        <v>223407.62</v>
      </c>
      <c r="BL83" s="30">
        <v>498.36</v>
      </c>
      <c r="BM83" s="30"/>
      <c r="BN83" s="30">
        <f>595822.78+177733.02+2799.09+2867788.69+1716880.62-475080.42</f>
        <v>4885943.78</v>
      </c>
      <c r="BO83" s="30"/>
      <c r="BP83" s="30">
        <f>1466.1+62103.25</f>
        <v>63569.35</v>
      </c>
      <c r="BQ83" s="30"/>
      <c r="BR83" s="30">
        <f>63781.28+56158.7+67.29-276921.19</f>
        <v>-156913.92000000001</v>
      </c>
      <c r="BS83" s="30"/>
      <c r="BT83" s="30">
        <v>-21338.959999999999</v>
      </c>
      <c r="BU83" s="30"/>
      <c r="BV83" s="30">
        <f>3672.87-158279.36</f>
        <v>-154606.49</v>
      </c>
      <c r="BW83" s="30">
        <f>798.97+11891.37</f>
        <v>12690.34</v>
      </c>
      <c r="BX83" s="30"/>
      <c r="BY83" s="30">
        <f>435267.54+6508.18</f>
        <v>441775.72</v>
      </c>
      <c r="BZ83" s="30"/>
      <c r="CA83" s="30">
        <v>15234.05</v>
      </c>
      <c r="CB83" s="30"/>
      <c r="CC83" s="30"/>
      <c r="CD83" s="35"/>
      <c r="CE83" s="32">
        <f t="shared" si="11"/>
        <v>15880729.220000003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35">
      <c r="A85" s="39" t="s">
        <v>270</v>
      </c>
      <c r="B85" s="32"/>
      <c r="C85" s="32">
        <f>SUM(C61:C69)-C84</f>
        <v>196824.85000000003</v>
      </c>
      <c r="D85" s="32">
        <f t="shared" ref="D85:BO85" si="12">SUM(D61:D69)-D84</f>
        <v>20.87</v>
      </c>
      <c r="E85" s="32">
        <f t="shared" si="12"/>
        <v>5642082.6700000009</v>
      </c>
      <c r="F85" s="32">
        <f t="shared" si="12"/>
        <v>0</v>
      </c>
      <c r="G85" s="32">
        <f t="shared" si="12"/>
        <v>1770528.8</v>
      </c>
      <c r="H85" s="32">
        <f t="shared" si="12"/>
        <v>13074.150000000001</v>
      </c>
      <c r="I85" s="32">
        <f t="shared" si="12"/>
        <v>49903.45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2430032.6399999997</v>
      </c>
      <c r="O85" s="32">
        <f t="shared" si="12"/>
        <v>0</v>
      </c>
      <c r="P85" s="32">
        <f t="shared" si="12"/>
        <v>14205214.379999997</v>
      </c>
      <c r="Q85" s="32">
        <f t="shared" si="12"/>
        <v>506285.02000000008</v>
      </c>
      <c r="R85" s="32">
        <f t="shared" si="12"/>
        <v>2591489</v>
      </c>
      <c r="S85" s="32">
        <f t="shared" si="12"/>
        <v>652256.93000000005</v>
      </c>
      <c r="T85" s="32">
        <f t="shared" si="12"/>
        <v>39988.26999999999</v>
      </c>
      <c r="U85" s="32">
        <f t="shared" si="12"/>
        <v>3549533.02</v>
      </c>
      <c r="V85" s="32">
        <f t="shared" si="12"/>
        <v>0</v>
      </c>
      <c r="W85" s="32">
        <f t="shared" si="12"/>
        <v>301032.05</v>
      </c>
      <c r="X85" s="32">
        <f t="shared" si="12"/>
        <v>341796.00999999995</v>
      </c>
      <c r="Y85" s="32">
        <f t="shared" si="12"/>
        <v>1786079.4200000002</v>
      </c>
      <c r="Z85" s="32">
        <f t="shared" si="12"/>
        <v>0</v>
      </c>
      <c r="AA85" s="32">
        <f t="shared" si="12"/>
        <v>490305.37999999995</v>
      </c>
      <c r="AB85" s="32">
        <f t="shared" si="12"/>
        <v>6212604.3500000015</v>
      </c>
      <c r="AC85" s="32">
        <f t="shared" si="12"/>
        <v>763606.76</v>
      </c>
      <c r="AD85" s="32">
        <f t="shared" si="12"/>
        <v>0</v>
      </c>
      <c r="AE85" s="32">
        <f t="shared" si="12"/>
        <v>2262266.0000000005</v>
      </c>
      <c r="AF85" s="32">
        <f t="shared" si="12"/>
        <v>0</v>
      </c>
      <c r="AG85" s="32">
        <f t="shared" si="12"/>
        <v>6735881.6600000001</v>
      </c>
      <c r="AH85" s="32">
        <f t="shared" si="12"/>
        <v>0</v>
      </c>
      <c r="AI85" s="32">
        <f t="shared" si="12"/>
        <v>0</v>
      </c>
      <c r="AJ85" s="32">
        <f t="shared" si="12"/>
        <v>16414377.290000003</v>
      </c>
      <c r="AK85" s="32">
        <f t="shared" si="12"/>
        <v>2757010.4300000006</v>
      </c>
      <c r="AL85" s="32">
        <f t="shared" si="12"/>
        <v>249769.30000000002</v>
      </c>
      <c r="AM85" s="32">
        <f t="shared" si="12"/>
        <v>0</v>
      </c>
      <c r="AN85" s="32">
        <f t="shared" si="12"/>
        <v>0</v>
      </c>
      <c r="AO85" s="32">
        <f t="shared" si="12"/>
        <v>425795.00999999995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1552060.6900000002</v>
      </c>
      <c r="AW85" s="32">
        <f t="shared" si="12"/>
        <v>0</v>
      </c>
      <c r="AX85" s="32">
        <f t="shared" si="12"/>
        <v>0</v>
      </c>
      <c r="AY85" s="32">
        <f t="shared" si="12"/>
        <v>1360912.02</v>
      </c>
      <c r="AZ85" s="32">
        <f t="shared" si="12"/>
        <v>0</v>
      </c>
      <c r="BA85" s="32">
        <f t="shared" si="12"/>
        <v>182882.08000000002</v>
      </c>
      <c r="BB85" s="32">
        <f t="shared" si="12"/>
        <v>0</v>
      </c>
      <c r="BC85" s="32">
        <f t="shared" si="12"/>
        <v>0</v>
      </c>
      <c r="BD85" s="32">
        <f t="shared" si="12"/>
        <v>2740318.1199999996</v>
      </c>
      <c r="BE85" s="32">
        <f t="shared" si="12"/>
        <v>2630171.8199999998</v>
      </c>
      <c r="BF85" s="32">
        <f t="shared" si="12"/>
        <v>1376775.82</v>
      </c>
      <c r="BG85" s="32">
        <f t="shared" si="12"/>
        <v>0</v>
      </c>
      <c r="BH85" s="32">
        <f t="shared" si="12"/>
        <v>2121431.9700000002</v>
      </c>
      <c r="BI85" s="32">
        <f t="shared" si="12"/>
        <v>1161173.8199999998</v>
      </c>
      <c r="BJ85" s="32">
        <f t="shared" si="12"/>
        <v>499829.14999999997</v>
      </c>
      <c r="BK85" s="32">
        <f t="shared" si="12"/>
        <v>232135.4</v>
      </c>
      <c r="BL85" s="32">
        <f t="shared" si="12"/>
        <v>276352.36000000004</v>
      </c>
      <c r="BM85" s="32">
        <f t="shared" si="12"/>
        <v>2536479.4500000002</v>
      </c>
      <c r="BN85" s="32">
        <f t="shared" si="12"/>
        <v>7034645.3600000003</v>
      </c>
      <c r="BO85" s="32">
        <f t="shared" si="12"/>
        <v>0</v>
      </c>
      <c r="BP85" s="32">
        <f t="shared" ref="BP85:CD85" si="13">SUM(BP61:BP69)-BP84</f>
        <v>186512.39</v>
      </c>
      <c r="BQ85" s="32">
        <f t="shared" si="13"/>
        <v>0</v>
      </c>
      <c r="BR85" s="32">
        <f t="shared" si="13"/>
        <v>619420.1399999999</v>
      </c>
      <c r="BS85" s="32">
        <f t="shared" si="13"/>
        <v>0</v>
      </c>
      <c r="BT85" s="32">
        <f t="shared" si="13"/>
        <v>56839.039999999986</v>
      </c>
      <c r="BU85" s="32">
        <f t="shared" si="13"/>
        <v>0</v>
      </c>
      <c r="BV85" s="32">
        <f t="shared" si="13"/>
        <v>492988.00999999989</v>
      </c>
      <c r="BW85" s="32">
        <f t="shared" si="13"/>
        <v>867326.23</v>
      </c>
      <c r="BX85" s="32">
        <f t="shared" si="13"/>
        <v>0</v>
      </c>
      <c r="BY85" s="32">
        <f t="shared" si="13"/>
        <v>1351442.79</v>
      </c>
      <c r="BZ85" s="32">
        <f t="shared" si="13"/>
        <v>0</v>
      </c>
      <c r="CA85" s="32">
        <f t="shared" si="13"/>
        <v>46273.899999999994</v>
      </c>
      <c r="CB85" s="32">
        <f t="shared" si="13"/>
        <v>4145.63</v>
      </c>
      <c r="CC85" s="32">
        <f t="shared" si="13"/>
        <v>0</v>
      </c>
      <c r="CD85" s="32">
        <f t="shared" si="13"/>
        <v>0</v>
      </c>
      <c r="CE85" s="32">
        <f t="shared" si="11"/>
        <v>97717873.900000021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/>
    </row>
    <row r="87" spans="1:84" x14ac:dyDescent="0.35">
      <c r="A87" s="26" t="s">
        <v>272</v>
      </c>
      <c r="B87" s="20"/>
      <c r="C87" s="24"/>
      <c r="D87" s="24"/>
      <c r="E87" s="24">
        <v>16008816.930000002</v>
      </c>
      <c r="F87" s="24"/>
      <c r="G87" s="24">
        <v>4444496.58</v>
      </c>
      <c r="H87" s="24"/>
      <c r="I87" s="24"/>
      <c r="J87" s="24"/>
      <c r="K87" s="24"/>
      <c r="L87" s="24"/>
      <c r="M87" s="24"/>
      <c r="N87" s="24">
        <v>1333664.99</v>
      </c>
      <c r="O87" s="24"/>
      <c r="P87" s="24">
        <v>19110248.560000002</v>
      </c>
      <c r="Q87" s="24">
        <v>377102.44</v>
      </c>
      <c r="R87" s="24">
        <v>647379.84</v>
      </c>
      <c r="S87" s="24"/>
      <c r="T87" s="24"/>
      <c r="U87" s="24">
        <v>3370661.07</v>
      </c>
      <c r="V87" s="24"/>
      <c r="W87" s="24">
        <v>219301.78</v>
      </c>
      <c r="X87" s="24">
        <v>1190205.0699999998</v>
      </c>
      <c r="Y87" s="24">
        <v>465503.34999999992</v>
      </c>
      <c r="Z87" s="24"/>
      <c r="AA87" s="24">
        <v>86702.56</v>
      </c>
      <c r="AB87" s="24">
        <v>4050237.51</v>
      </c>
      <c r="AC87" s="24">
        <v>1965432.4400000002</v>
      </c>
      <c r="AD87" s="24"/>
      <c r="AE87" s="24">
        <v>1943031.5299999998</v>
      </c>
      <c r="AF87" s="24"/>
      <c r="AG87" s="24">
        <v>1322128.46</v>
      </c>
      <c r="AH87" s="24"/>
      <c r="AI87" s="24"/>
      <c r="AJ87" s="24"/>
      <c r="AK87" s="24">
        <v>1437746.6900000002</v>
      </c>
      <c r="AL87" s="24">
        <v>584174.25000000012</v>
      </c>
      <c r="AM87" s="24"/>
      <c r="AN87" s="24"/>
      <c r="AO87" s="24">
        <v>375.76</v>
      </c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58557209.810000002</v>
      </c>
    </row>
    <row r="88" spans="1:84" x14ac:dyDescent="0.35">
      <c r="A88" s="26" t="s">
        <v>273</v>
      </c>
      <c r="B88" s="20"/>
      <c r="C88" s="24"/>
      <c r="D88" s="24"/>
      <c r="E88" s="24">
        <v>1533507.7</v>
      </c>
      <c r="F88" s="24"/>
      <c r="G88" s="24"/>
      <c r="H88" s="24"/>
      <c r="I88" s="24"/>
      <c r="J88" s="24"/>
      <c r="K88" s="24"/>
      <c r="L88" s="24"/>
      <c r="M88" s="24"/>
      <c r="N88" s="24">
        <v>15980421.690000003</v>
      </c>
      <c r="O88" s="24"/>
      <c r="P88" s="24">
        <v>69869476.979999989</v>
      </c>
      <c r="Q88" s="24">
        <v>2156750.96</v>
      </c>
      <c r="R88" s="24">
        <v>4194182.07</v>
      </c>
      <c r="S88" s="24"/>
      <c r="T88" s="24"/>
      <c r="U88" s="24">
        <v>18997629.32</v>
      </c>
      <c r="V88" s="24"/>
      <c r="W88" s="24">
        <v>2438071.1</v>
      </c>
      <c r="X88" s="24">
        <v>15367356.09</v>
      </c>
      <c r="Y88" s="24">
        <v>7838779.5599999996</v>
      </c>
      <c r="Z88" s="24"/>
      <c r="AA88" s="24">
        <v>1770877.4400000002</v>
      </c>
      <c r="AB88" s="24">
        <v>16882976.699999996</v>
      </c>
      <c r="AC88" s="24">
        <v>2792592.99</v>
      </c>
      <c r="AD88" s="24"/>
      <c r="AE88" s="24">
        <v>11017489.220000001</v>
      </c>
      <c r="AF88" s="24"/>
      <c r="AG88" s="24">
        <v>35447357.169999994</v>
      </c>
      <c r="AH88" s="24"/>
      <c r="AI88" s="24"/>
      <c r="AJ88" s="24">
        <v>22400477.959999986</v>
      </c>
      <c r="AK88" s="24">
        <v>3270174.21</v>
      </c>
      <c r="AL88" s="24">
        <v>257889.95</v>
      </c>
      <c r="AM88" s="24"/>
      <c r="AN88" s="24"/>
      <c r="AO88" s="24">
        <v>886838.6</v>
      </c>
      <c r="AP88" s="24"/>
      <c r="AQ88" s="24"/>
      <c r="AR88" s="24"/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233102849.70999992</v>
      </c>
    </row>
    <row r="89" spans="1:84" x14ac:dyDescent="0.3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17542324.630000003</v>
      </c>
      <c r="F89" s="32">
        <f t="shared" si="15"/>
        <v>0</v>
      </c>
      <c r="G89" s="32">
        <f t="shared" si="15"/>
        <v>4444496.58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17314086.680000003</v>
      </c>
      <c r="O89" s="32">
        <f t="shared" si="15"/>
        <v>0</v>
      </c>
      <c r="P89" s="32">
        <f t="shared" si="15"/>
        <v>88979725.539999992</v>
      </c>
      <c r="Q89" s="32">
        <f t="shared" si="15"/>
        <v>2533853.4</v>
      </c>
      <c r="R89" s="32">
        <f t="shared" si="15"/>
        <v>4841561.91</v>
      </c>
      <c r="S89" s="32">
        <f t="shared" si="15"/>
        <v>0</v>
      </c>
      <c r="T89" s="32">
        <f t="shared" si="15"/>
        <v>0</v>
      </c>
      <c r="U89" s="32">
        <f t="shared" si="15"/>
        <v>22368290.390000001</v>
      </c>
      <c r="V89" s="32">
        <f t="shared" si="15"/>
        <v>0</v>
      </c>
      <c r="W89" s="32">
        <f t="shared" si="15"/>
        <v>2657372.88</v>
      </c>
      <c r="X89" s="32">
        <f t="shared" si="15"/>
        <v>16557561.16</v>
      </c>
      <c r="Y89" s="32">
        <f t="shared" si="15"/>
        <v>8304282.9099999992</v>
      </c>
      <c r="Z89" s="32">
        <f t="shared" si="15"/>
        <v>0</v>
      </c>
      <c r="AA89" s="32">
        <f t="shared" si="15"/>
        <v>1857580.0000000002</v>
      </c>
      <c r="AB89" s="32">
        <f t="shared" si="15"/>
        <v>20933214.209999993</v>
      </c>
      <c r="AC89" s="32">
        <f t="shared" si="15"/>
        <v>4758025.4300000006</v>
      </c>
      <c r="AD89" s="32">
        <f t="shared" si="15"/>
        <v>0</v>
      </c>
      <c r="AE89" s="32">
        <f t="shared" si="15"/>
        <v>12960520.75</v>
      </c>
      <c r="AF89" s="32">
        <f t="shared" si="15"/>
        <v>0</v>
      </c>
      <c r="AG89" s="32">
        <f t="shared" si="15"/>
        <v>36769485.629999995</v>
      </c>
      <c r="AH89" s="32">
        <f t="shared" si="15"/>
        <v>0</v>
      </c>
      <c r="AI89" s="32">
        <f t="shared" si="15"/>
        <v>0</v>
      </c>
      <c r="AJ89" s="32">
        <f t="shared" si="15"/>
        <v>22400477.959999986</v>
      </c>
      <c r="AK89" s="32">
        <f t="shared" si="15"/>
        <v>4707920.9000000004</v>
      </c>
      <c r="AL89" s="32">
        <f t="shared" si="15"/>
        <v>842064.20000000019</v>
      </c>
      <c r="AM89" s="32">
        <f t="shared" si="15"/>
        <v>0</v>
      </c>
      <c r="AN89" s="32">
        <f t="shared" si="15"/>
        <v>0</v>
      </c>
      <c r="AO89" s="32">
        <f t="shared" si="15"/>
        <v>887214.36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291660059.51999992</v>
      </c>
    </row>
    <row r="90" spans="1:84" x14ac:dyDescent="0.35">
      <c r="A90" s="39" t="s">
        <v>275</v>
      </c>
      <c r="B90" s="32"/>
      <c r="C90" s="24">
        <v>2670.7000000000007</v>
      </c>
      <c r="D90" s="24"/>
      <c r="E90" s="24">
        <v>13692.200000000004</v>
      </c>
      <c r="F90" s="24"/>
      <c r="G90" s="24">
        <v>5136.6999999999989</v>
      </c>
      <c r="H90" s="24"/>
      <c r="I90" s="24"/>
      <c r="J90" s="24"/>
      <c r="K90" s="24"/>
      <c r="L90" s="24"/>
      <c r="M90" s="24"/>
      <c r="N90" s="24">
        <v>2448.1999999999998</v>
      </c>
      <c r="O90" s="24"/>
      <c r="P90" s="24">
        <v>32487.599999999995</v>
      </c>
      <c r="Q90" s="24"/>
      <c r="R90" s="24"/>
      <c r="S90" s="24"/>
      <c r="T90" s="24"/>
      <c r="U90" s="24">
        <v>2681.3999999999996</v>
      </c>
      <c r="V90" s="24"/>
      <c r="W90" s="24">
        <v>1177.0999999999999</v>
      </c>
      <c r="X90" s="24">
        <v>418.5</v>
      </c>
      <c r="Y90" s="24">
        <v>2833.7999999999997</v>
      </c>
      <c r="Z90" s="24"/>
      <c r="AA90" s="24">
        <v>1041.8000000000002</v>
      </c>
      <c r="AB90" s="24">
        <v>1992.9</v>
      </c>
      <c r="AC90" s="24">
        <v>357.29999999999995</v>
      </c>
      <c r="AD90" s="24"/>
      <c r="AE90" s="24">
        <v>1378.5</v>
      </c>
      <c r="AF90" s="24"/>
      <c r="AG90" s="24">
        <v>3829.2000000000003</v>
      </c>
      <c r="AH90" s="24"/>
      <c r="AI90" s="24"/>
      <c r="AJ90" s="24">
        <v>2966.8</v>
      </c>
      <c r="AK90" s="24"/>
      <c r="AL90" s="24">
        <v>148.4</v>
      </c>
      <c r="AM90" s="24"/>
      <c r="AN90" s="24"/>
      <c r="AO90" s="24"/>
      <c r="AP90" s="24"/>
      <c r="AQ90" s="24"/>
      <c r="AR90" s="24"/>
      <c r="AS90" s="24"/>
      <c r="AT90" s="24"/>
      <c r="AU90" s="24"/>
      <c r="AV90" s="24">
        <v>1057.7</v>
      </c>
      <c r="AW90" s="24"/>
      <c r="AX90" s="24"/>
      <c r="AY90" s="24">
        <v>4578.0999999999995</v>
      </c>
      <c r="AZ90" s="24"/>
      <c r="BA90" s="24"/>
      <c r="BB90" s="24"/>
      <c r="BC90" s="24"/>
      <c r="BD90" s="24">
        <v>6011.4</v>
      </c>
      <c r="BE90" s="24">
        <v>59868.470000000008</v>
      </c>
      <c r="BF90" s="24">
        <v>1703.8</v>
      </c>
      <c r="BG90" s="24"/>
      <c r="BH90" s="24">
        <v>1997.6999999999998</v>
      </c>
      <c r="BI90" s="24"/>
      <c r="BJ90" s="24"/>
      <c r="BK90" s="24">
        <v>139.69999999999999</v>
      </c>
      <c r="BL90" s="24">
        <v>776.00000000000011</v>
      </c>
      <c r="BM90" s="24">
        <v>1244.3999999999999</v>
      </c>
      <c r="BN90" s="24">
        <v>2650.6</v>
      </c>
      <c r="BO90" s="24"/>
      <c r="BP90" s="24"/>
      <c r="BQ90" s="24"/>
      <c r="BR90" s="24">
        <v>1147.4000000000001</v>
      </c>
      <c r="BS90" s="24"/>
      <c r="BT90" s="24">
        <v>571.09999999999991</v>
      </c>
      <c r="BU90" s="24"/>
      <c r="BV90" s="24">
        <v>2400.94</v>
      </c>
      <c r="BW90" s="24"/>
      <c r="BX90" s="24"/>
      <c r="BY90" s="24"/>
      <c r="BZ90" s="24"/>
      <c r="CA90" s="24">
        <v>27.4</v>
      </c>
      <c r="CB90" s="24"/>
      <c r="CC90" s="24"/>
      <c r="CD90" s="264" t="s">
        <v>233</v>
      </c>
      <c r="CE90" s="32">
        <f t="shared" si="14"/>
        <v>159435.81000000003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0</v>
      </c>
      <c r="CF91" s="32">
        <f>AY59-CE91</f>
        <v>0</v>
      </c>
    </row>
    <row r="92" spans="1:84" x14ac:dyDescent="0.35">
      <c r="A92" s="26" t="s">
        <v>277</v>
      </c>
      <c r="B92" s="20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321" t="s">
        <v>233</v>
      </c>
      <c r="AY92" s="321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0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>
        <v>230872</v>
      </c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230872</v>
      </c>
      <c r="CF93" s="32">
        <f>BA59</f>
        <v>0</v>
      </c>
    </row>
    <row r="94" spans="1:84" x14ac:dyDescent="0.35">
      <c r="A94" s="26" t="s">
        <v>279</v>
      </c>
      <c r="B94" s="20"/>
      <c r="C94" s="315"/>
      <c r="D94" s="315"/>
      <c r="E94" s="315">
        <v>23.26</v>
      </c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6">
        <v>31.32</v>
      </c>
      <c r="Q94" s="316"/>
      <c r="R94" s="316"/>
      <c r="S94" s="317"/>
      <c r="T94" s="317"/>
      <c r="U94" s="318"/>
      <c r="V94" s="316"/>
      <c r="W94" s="316"/>
      <c r="X94" s="316"/>
      <c r="Y94" s="316"/>
      <c r="Z94" s="316"/>
      <c r="AA94" s="316"/>
      <c r="AB94" s="317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7"/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54.58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1376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218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219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342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219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219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248">
        <v>99301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239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4" t="s">
        <v>1377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4" t="s">
        <v>1378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/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1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1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/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5" t="s">
        <v>1379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216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 t="s">
        <v>1375</v>
      </c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1119</v>
      </c>
      <c r="D127" s="50">
        <v>5722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/>
      <c r="D130" s="50"/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6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19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>
        <v>10</v>
      </c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35</v>
      </c>
    </row>
    <row r="144" spans="1:5" x14ac:dyDescent="0.35">
      <c r="A144" s="20" t="s">
        <v>325</v>
      </c>
      <c r="B144" s="46" t="s">
        <v>284</v>
      </c>
      <c r="C144" s="47">
        <v>95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472</v>
      </c>
      <c r="C154" s="50">
        <v>10</v>
      </c>
      <c r="D154" s="50">
        <v>637</v>
      </c>
      <c r="E154" s="32">
        <f>SUM(B154:D154)</f>
        <v>1119</v>
      </c>
    </row>
    <row r="155" spans="1:6" x14ac:dyDescent="0.35">
      <c r="A155" s="20" t="s">
        <v>227</v>
      </c>
      <c r="B155" s="50">
        <v>2657</v>
      </c>
      <c r="C155" s="50">
        <v>155</v>
      </c>
      <c r="D155" s="50">
        <v>2910</v>
      </c>
      <c r="E155" s="32">
        <f>SUM(B155:D155)</f>
        <v>5722</v>
      </c>
    </row>
    <row r="156" spans="1:6" x14ac:dyDescent="0.3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35">
      <c r="A157" s="20" t="s">
        <v>272</v>
      </c>
      <c r="B157" s="50">
        <v>25995798.009999998</v>
      </c>
      <c r="C157" s="50">
        <v>1061301.5</v>
      </c>
      <c r="D157" s="50">
        <v>31500110.300000004</v>
      </c>
      <c r="E157" s="32">
        <f>SUM(B157:D157)</f>
        <v>58557209.810000002</v>
      </c>
      <c r="F157" s="18"/>
    </row>
    <row r="158" spans="1:6" x14ac:dyDescent="0.35">
      <c r="A158" s="20" t="s">
        <v>273</v>
      </c>
      <c r="B158" s="50">
        <v>78818433.709999993</v>
      </c>
      <c r="C158" s="50">
        <v>3169662.8400000003</v>
      </c>
      <c r="D158" s="50">
        <v>151114753.15999994</v>
      </c>
      <c r="E158" s="32">
        <f>SUM(B158:D158)</f>
        <v>233102849.70999992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2399373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140021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354033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2520650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72509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612186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324558.52000000142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6423330.5200000014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1542277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273616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1815893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681680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131328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813008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0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1716880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0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1716880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0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1513765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1513765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2127268</v>
      </c>
      <c r="C211" s="47">
        <v>3587472</v>
      </c>
      <c r="D211" s="50"/>
      <c r="E211" s="32">
        <f t="shared" ref="E211:E219" si="16">SUM(B211:C211)-D211</f>
        <v>5714740</v>
      </c>
    </row>
    <row r="212" spans="1:5" x14ac:dyDescent="0.35">
      <c r="A212" s="20" t="s">
        <v>367</v>
      </c>
      <c r="B212" s="50"/>
      <c r="C212" s="47"/>
      <c r="D212" s="50"/>
      <c r="E212" s="32">
        <f t="shared" si="16"/>
        <v>0</v>
      </c>
    </row>
    <row r="213" spans="1:5" x14ac:dyDescent="0.35">
      <c r="A213" s="20" t="s">
        <v>368</v>
      </c>
      <c r="B213" s="50">
        <v>6441480</v>
      </c>
      <c r="C213" s="47">
        <v>632358</v>
      </c>
      <c r="D213" s="50"/>
      <c r="E213" s="32">
        <f t="shared" si="16"/>
        <v>7073838</v>
      </c>
    </row>
    <row r="214" spans="1:5" x14ac:dyDescent="0.35">
      <c r="A214" s="20" t="s">
        <v>369</v>
      </c>
      <c r="B214" s="50"/>
      <c r="C214" s="47"/>
      <c r="D214" s="50"/>
      <c r="E214" s="32">
        <f t="shared" si="16"/>
        <v>0</v>
      </c>
    </row>
    <row r="215" spans="1:5" x14ac:dyDescent="0.35">
      <c r="A215" s="20" t="s">
        <v>370</v>
      </c>
      <c r="B215" s="50"/>
      <c r="C215" s="47"/>
      <c r="D215" s="50"/>
      <c r="E215" s="32">
        <f t="shared" si="16"/>
        <v>0</v>
      </c>
    </row>
    <row r="216" spans="1:5" x14ac:dyDescent="0.35">
      <c r="A216" s="20" t="s">
        <v>371</v>
      </c>
      <c r="B216" s="50">
        <v>1897419</v>
      </c>
      <c r="C216" s="47">
        <v>522507</v>
      </c>
      <c r="D216" s="50"/>
      <c r="E216" s="32">
        <f t="shared" si="16"/>
        <v>2419926</v>
      </c>
    </row>
    <row r="217" spans="1:5" x14ac:dyDescent="0.35">
      <c r="A217" s="20" t="s">
        <v>372</v>
      </c>
      <c r="B217" s="50">
        <v>5146859</v>
      </c>
      <c r="C217" s="47">
        <v>458557</v>
      </c>
      <c r="D217" s="50"/>
      <c r="E217" s="32">
        <f t="shared" si="16"/>
        <v>5605416</v>
      </c>
    </row>
    <row r="218" spans="1:5" x14ac:dyDescent="0.35">
      <c r="A218" s="20" t="s">
        <v>373</v>
      </c>
      <c r="B218" s="50"/>
      <c r="C218" s="47"/>
      <c r="D218" s="50"/>
      <c r="E218" s="32">
        <f t="shared" si="16"/>
        <v>0</v>
      </c>
    </row>
    <row r="219" spans="1:5" x14ac:dyDescent="0.35">
      <c r="A219" s="20" t="s">
        <v>374</v>
      </c>
      <c r="B219" s="50">
        <v>1568113</v>
      </c>
      <c r="C219" s="47">
        <v>1274912</v>
      </c>
      <c r="D219" s="50"/>
      <c r="E219" s="32">
        <f t="shared" si="16"/>
        <v>2843025</v>
      </c>
    </row>
    <row r="220" spans="1:5" x14ac:dyDescent="0.35">
      <c r="A220" s="20" t="s">
        <v>215</v>
      </c>
      <c r="B220" s="32">
        <f>SUM(B211:B219)</f>
        <v>17181139</v>
      </c>
      <c r="C220" s="266">
        <f>SUM(C211:C219)</f>
        <v>6475806</v>
      </c>
      <c r="D220" s="32">
        <f>SUM(D211:D219)</f>
        <v>0</v>
      </c>
      <c r="E220" s="32">
        <f>SUM(E211:E219)</f>
        <v>23656945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/>
      <c r="C225" s="47"/>
      <c r="D225" s="50"/>
      <c r="E225" s="32">
        <f t="shared" ref="E225:E232" si="17">SUM(B225:C225)-D225</f>
        <v>0</v>
      </c>
    </row>
    <row r="226" spans="1:5" x14ac:dyDescent="0.35">
      <c r="A226" s="20" t="s">
        <v>368</v>
      </c>
      <c r="B226" s="50">
        <v>1586925.26</v>
      </c>
      <c r="C226" s="47">
        <v>853390.74</v>
      </c>
      <c r="D226" s="50"/>
      <c r="E226" s="32">
        <f t="shared" si="17"/>
        <v>2440316</v>
      </c>
    </row>
    <row r="227" spans="1:5" x14ac:dyDescent="0.35">
      <c r="A227" s="20" t="s">
        <v>369</v>
      </c>
      <c r="B227" s="50"/>
      <c r="C227" s="47"/>
      <c r="D227" s="50"/>
      <c r="E227" s="32">
        <f t="shared" si="17"/>
        <v>0</v>
      </c>
    </row>
    <row r="228" spans="1:5" x14ac:dyDescent="0.35">
      <c r="A228" s="20" t="s">
        <v>370</v>
      </c>
      <c r="B228" s="50"/>
      <c r="C228" s="47"/>
      <c r="D228" s="50"/>
      <c r="E228" s="32">
        <f t="shared" si="17"/>
        <v>0</v>
      </c>
    </row>
    <row r="229" spans="1:5" x14ac:dyDescent="0.35">
      <c r="A229" s="20" t="s">
        <v>371</v>
      </c>
      <c r="B229" s="50">
        <v>709329</v>
      </c>
      <c r="C229" s="47">
        <v>282112</v>
      </c>
      <c r="D229" s="50"/>
      <c r="E229" s="32">
        <f t="shared" si="17"/>
        <v>991441</v>
      </c>
    </row>
    <row r="230" spans="1:5" x14ac:dyDescent="0.35">
      <c r="A230" s="20" t="s">
        <v>372</v>
      </c>
      <c r="B230" s="50">
        <v>3250851</v>
      </c>
      <c r="C230" s="47">
        <v>1203375</v>
      </c>
      <c r="D230" s="50"/>
      <c r="E230" s="32">
        <f t="shared" si="17"/>
        <v>4454226</v>
      </c>
    </row>
    <row r="231" spans="1:5" x14ac:dyDescent="0.35">
      <c r="A231" s="20" t="s">
        <v>373</v>
      </c>
      <c r="B231" s="50"/>
      <c r="C231" s="47"/>
      <c r="D231" s="50"/>
      <c r="E231" s="32">
        <f t="shared" si="17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5547105.2599999998</v>
      </c>
      <c r="C233" s="266">
        <f>SUM(C224:C232)</f>
        <v>2338877.7400000002</v>
      </c>
      <c r="D233" s="32">
        <f>SUM(D224:D232)</f>
        <v>0</v>
      </c>
      <c r="E233" s="32">
        <f>SUM(E224:E232)</f>
        <v>7885983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4" t="s">
        <v>377</v>
      </c>
      <c r="C236" s="344"/>
      <c r="D236" s="38"/>
      <c r="E236" s="38"/>
    </row>
    <row r="237" spans="1:5" x14ac:dyDescent="0.35">
      <c r="A237" s="56" t="s">
        <v>377</v>
      </c>
      <c r="B237" s="38"/>
      <c r="C237" s="47">
        <v>7884335</v>
      </c>
      <c r="D237" s="40">
        <f>C237</f>
        <v>7884335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71734251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3540123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/>
      <c r="D241" s="20"/>
      <c r="E241" s="20"/>
    </row>
    <row r="242" spans="1:5" x14ac:dyDescent="0.35">
      <c r="A242" s="20" t="s">
        <v>382</v>
      </c>
      <c r="B242" s="46" t="s">
        <v>284</v>
      </c>
      <c r="C242" s="47"/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114550771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/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189825145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/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611573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3034461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3646034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201355514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-846150.37000000011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31991865.040000007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17306001.77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-145497.65999999977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1387567.9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2995109.1100000008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784150.50999999989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18861042.760000005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216">
        <v>5714739.4000000004</v>
      </c>
      <c r="D283" s="20"/>
      <c r="E283" s="20"/>
    </row>
    <row r="284" spans="1:5" x14ac:dyDescent="0.35">
      <c r="A284" s="20" t="s">
        <v>367</v>
      </c>
      <c r="B284" s="46" t="s">
        <v>284</v>
      </c>
      <c r="C284" s="216"/>
      <c r="D284" s="20"/>
      <c r="E284" s="20"/>
    </row>
    <row r="285" spans="1:5" x14ac:dyDescent="0.35">
      <c r="A285" s="20" t="s">
        <v>368</v>
      </c>
      <c r="B285" s="46" t="s">
        <v>284</v>
      </c>
      <c r="C285" s="216">
        <v>7073838.3099999996</v>
      </c>
      <c r="D285" s="20"/>
      <c r="E285" s="20"/>
    </row>
    <row r="286" spans="1:5" x14ac:dyDescent="0.35">
      <c r="A286" s="20" t="s">
        <v>412</v>
      </c>
      <c r="B286" s="46" t="s">
        <v>284</v>
      </c>
      <c r="C286" s="216"/>
      <c r="D286" s="20"/>
      <c r="E286" s="20"/>
    </row>
    <row r="287" spans="1:5" x14ac:dyDescent="0.35">
      <c r="A287" s="20" t="s">
        <v>413</v>
      </c>
      <c r="B287" s="46" t="s">
        <v>284</v>
      </c>
      <c r="C287" s="216"/>
      <c r="D287" s="20"/>
      <c r="E287" s="20"/>
    </row>
    <row r="288" spans="1:5" x14ac:dyDescent="0.35">
      <c r="A288" s="20" t="s">
        <v>414</v>
      </c>
      <c r="B288" s="46" t="s">
        <v>284</v>
      </c>
      <c r="C288" s="216">
        <v>8025342.9799999986</v>
      </c>
      <c r="D288" s="20"/>
      <c r="E288" s="20"/>
    </row>
    <row r="289" spans="1:5" x14ac:dyDescent="0.35">
      <c r="A289" s="20" t="s">
        <v>373</v>
      </c>
      <c r="B289" s="46" t="s">
        <v>284</v>
      </c>
      <c r="C289" s="216"/>
      <c r="D289" s="20"/>
      <c r="E289" s="20"/>
    </row>
    <row r="290" spans="1:5" x14ac:dyDescent="0.35">
      <c r="A290" s="20" t="s">
        <v>374</v>
      </c>
      <c r="B290" s="46" t="s">
        <v>284</v>
      </c>
      <c r="C290" s="216">
        <v>2843025.3499999996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23656946.039999999</v>
      </c>
      <c r="E291" s="20"/>
    </row>
    <row r="292" spans="1:5" x14ac:dyDescent="0.35">
      <c r="A292" s="20" t="s">
        <v>416</v>
      </c>
      <c r="B292" s="46" t="s">
        <v>284</v>
      </c>
      <c r="C292" s="216">
        <v>7885983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15770963.039999999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216"/>
      <c r="D295" s="20"/>
      <c r="E295" s="20"/>
    </row>
    <row r="296" spans="1:5" x14ac:dyDescent="0.35">
      <c r="A296" s="20" t="s">
        <v>420</v>
      </c>
      <c r="B296" s="46" t="s">
        <v>284</v>
      </c>
      <c r="C296" s="216"/>
      <c r="D296" s="20"/>
      <c r="E296" s="20"/>
    </row>
    <row r="297" spans="1:5" x14ac:dyDescent="0.35">
      <c r="A297" s="20" t="s">
        <v>421</v>
      </c>
      <c r="B297" s="46" t="s">
        <v>284</v>
      </c>
      <c r="C297" s="216"/>
      <c r="D297" s="20"/>
      <c r="E297" s="20"/>
    </row>
    <row r="298" spans="1:5" x14ac:dyDescent="0.35">
      <c r="A298" s="20" t="s">
        <v>409</v>
      </c>
      <c r="B298" s="46" t="s">
        <v>284</v>
      </c>
      <c r="C298" s="216">
        <v>2371594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2371594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37003599.800000004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5857666.299999998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1920374.2900000005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509074.39999999997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804643.31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1039099.7199999999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10130858.02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>
        <v>18492759.709999997</v>
      </c>
      <c r="D334" s="20"/>
      <c r="E334" s="20"/>
    </row>
    <row r="335" spans="1:5" x14ac:dyDescent="0.35">
      <c r="A335" s="20" t="s">
        <v>453</v>
      </c>
      <c r="B335" s="46" t="s">
        <v>284</v>
      </c>
      <c r="C335" s="47"/>
      <c r="D335" s="20"/>
      <c r="E335" s="20"/>
    </row>
    <row r="336" spans="1:5" x14ac:dyDescent="0.35">
      <c r="A336" s="26" t="s">
        <v>454</v>
      </c>
      <c r="B336" s="46" t="s">
        <v>284</v>
      </c>
      <c r="C336" s="47">
        <v>12160548.750000011</v>
      </c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1433573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32086881.460000008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1039099.7199999999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31047781.74000001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5"/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>
        <v>2424913</v>
      </c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43603552.760000005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37003599.800000004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58557209.810000017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233102849.70999989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291660059.51999992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7884335.2199999969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189825145.85000017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3646034.55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201355515.62000018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90304543.899999738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1288043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1288043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1288043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91592586.899999738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33476574.400000017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6423330.5200000014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6946281.8600000003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20476080.439999986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1245482.05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9114624.6200000029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2338878.8699999996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1815893.31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/>
      <c r="D397" s="20"/>
      <c r="E397" s="20"/>
    </row>
    <row r="398" spans="1:5" x14ac:dyDescent="0.35">
      <c r="A398" s="20" t="s">
        <v>501</v>
      </c>
      <c r="B398" s="46" t="s">
        <v>284</v>
      </c>
      <c r="C398" s="47"/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1513764.82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f>6528229+813009+233892+2206546+2867789+1716881+1514384-1</f>
        <v>15880729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15880729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99231639.890000001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-7639052.9900002629</v>
      </c>
      <c r="E417" s="32"/>
    </row>
    <row r="418" spans="1:13" x14ac:dyDescent="0.35">
      <c r="A418" s="32" t="s">
        <v>508</v>
      </c>
      <c r="B418" s="20"/>
      <c r="C418" s="236"/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-7639052.9900002629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-7639052.9900002629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99567.340000000026</v>
      </c>
      <c r="E612" s="258">
        <f>SUM(C624:D647)+SUM(C668:D713)</f>
        <v>89922723.094669044</v>
      </c>
      <c r="F612" s="258">
        <f>CE64-(AX64+BD64+BE64+BG64+BJ64+BN64+BP64+BQ64+CB64+CC64+CD64)</f>
        <v>18847075.869999994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319.37238937500013</v>
      </c>
      <c r="I612" s="256">
        <f>CE92-(AX92+AY92+AZ92+BD92+BE92+BF92+BG92+BJ92+BN92+BO92+BP92+BQ92+BR92+CB92+CC92+CD92)</f>
        <v>0</v>
      </c>
      <c r="J612" s="256">
        <f>CE93-(AX93+AY93+AZ93+BA93+BD93+BE93+BF93+BG93+BJ93+BN93+BO93+BP93+BQ93+BR93+CB93+CC93+CD93)</f>
        <v>230872</v>
      </c>
      <c r="K612" s="256">
        <f>CE89-(AW89+AX89+AY89+AZ89+BA89+BB89+BC89+BD89+BE89+BF89+BG89+BH89+BI89+BJ89+BK89+BL89+BM89+BN89+BO89+BP89+BQ89+BR89+BS89+BT89+BU89+BV89+BW89+BX89+CB89+CC89+CD89)</f>
        <v>291660059.51999992</v>
      </c>
      <c r="L612" s="262">
        <f>CE94-(AW94+AX94+AY94+AZ94+BA94+BB94+BC94+BD94+BE94+BF94+BG94+BH94+BI94+BJ94+BK94+BL94+BM94+BN94+BO94+BP94+BQ94+BR94+BS94+BT94+BU94+BV94+BW94+BX94+BY94+BZ94+CA94+CB94+CC94+CD94)</f>
        <v>54.58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2630171.8199999998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0</v>
      </c>
      <c r="D615" s="256">
        <f>SUM(C614:C615)</f>
        <v>2630171.8199999998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499829.14999999997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7034645.3600000003</v>
      </c>
      <c r="D619" s="256">
        <f>(D615/D612)*BN90</f>
        <v>70018.275330966935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0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186512.39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4145.63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7795150.8053309675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2740318.1199999996</v>
      </c>
      <c r="D624" s="256">
        <f>(D615/D612)*BD90</f>
        <v>158797.20075627201</v>
      </c>
      <c r="E624" s="258">
        <f>(E623/E612)*SUM(C624:D624)</f>
        <v>251316.24521144366</v>
      </c>
      <c r="F624" s="258">
        <f>SUM(C624:E624)</f>
        <v>3150431.5659677153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1360912.02</v>
      </c>
      <c r="D625" s="256">
        <f>(D615/D612)*AY90</f>
        <v>120935.13404236764</v>
      </c>
      <c r="E625" s="258">
        <f>(E623/E612)*SUM(C625:D625)</f>
        <v>128457.20901990304</v>
      </c>
      <c r="F625" s="258">
        <f>(F624/F612)*AY64</f>
        <v>67119.03159681239</v>
      </c>
      <c r="G625" s="256">
        <f>SUM(C625:F625)</f>
        <v>1677423.3946590831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619420.1399999999</v>
      </c>
      <c r="D626" s="256">
        <f>(D615/D612)*BR90</f>
        <v>30309.729538501269</v>
      </c>
      <c r="E626" s="258">
        <f>(E623/E612)*SUM(C626:D626)</f>
        <v>56323.275602414316</v>
      </c>
      <c r="F626" s="258">
        <f>(F624/F612)*BR64</f>
        <v>949.94816125904583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1376775.82</v>
      </c>
      <c r="D629" s="256">
        <f>(D615/D612)*BF90</f>
        <v>45007.597339810403</v>
      </c>
      <c r="E629" s="258">
        <f>(E623/E612)*SUM(C629:D629)</f>
        <v>123250.4507121591</v>
      </c>
      <c r="F629" s="258">
        <f>(F624/F612)*BF64</f>
        <v>13821.762044183031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182882.08000000002</v>
      </c>
      <c r="D630" s="256">
        <f>(D615/D612)*BA90</f>
        <v>0</v>
      </c>
      <c r="E630" s="258">
        <f>(E623/E612)*SUM(C630:D630)</f>
        <v>15853.538951347849</v>
      </c>
      <c r="F630" s="258">
        <f>(F624/F612)*BA64</f>
        <v>6386.0680736169134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1161173.8199999998</v>
      </c>
      <c r="D634" s="256">
        <f>(D615/D612)*BI90</f>
        <v>0</v>
      </c>
      <c r="E634" s="258">
        <f>(E623/E612)*SUM(C634:D634)</f>
        <v>100658.92942958311</v>
      </c>
      <c r="F634" s="258">
        <f>(F624/F612)*BI64</f>
        <v>111654.74836857592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232135.4</v>
      </c>
      <c r="D635" s="256">
        <f>(D615/D612)*BK90</f>
        <v>3690.3165561518449</v>
      </c>
      <c r="E635" s="258">
        <f>(E623/E612)*SUM(C635:D635)</f>
        <v>20443.075577183234</v>
      </c>
      <c r="F635" s="258">
        <f>(F624/F612)*BK64</f>
        <v>334.59263876433579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2121431.9700000002</v>
      </c>
      <c r="D636" s="256">
        <f>(D615/D612)*BH90</f>
        <v>52771.262592874307</v>
      </c>
      <c r="E636" s="258">
        <f>(E623/E612)*SUM(C636:D636)</f>
        <v>188475.63214535586</v>
      </c>
      <c r="F636" s="258">
        <f>(F624/F612)*BH64</f>
        <v>3340.8347677994475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276352.36000000004</v>
      </c>
      <c r="D637" s="256">
        <f>(D615/D612)*BL90</f>
        <v>20498.823533098297</v>
      </c>
      <c r="E637" s="258">
        <f>(E623/E612)*SUM(C637:D637)</f>
        <v>25733.203608006224</v>
      </c>
      <c r="F637" s="258">
        <f>(F624/F612)*BL64</f>
        <v>525.19908248114916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2536479.4500000002</v>
      </c>
      <c r="D638" s="256">
        <f>(D615/D612)*BM90</f>
        <v>32872.082480138553</v>
      </c>
      <c r="E638" s="258">
        <f>(E623/E612)*SUM(C638:D638)</f>
        <v>222729.93942260044</v>
      </c>
      <c r="F638" s="258">
        <f>(F624/F612)*BM64</f>
        <v>63.023421856517842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56839.039999999986</v>
      </c>
      <c r="D640" s="256">
        <f>(D615/D612)*BT90</f>
        <v>15086.183144010869</v>
      </c>
      <c r="E640" s="258">
        <f>(E623/E612)*SUM(C640:D640)</f>
        <v>6234.9975825841539</v>
      </c>
      <c r="F640" s="258">
        <f>(F624/F612)*BT64</f>
        <v>43.720064680721016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492988.00999999989</v>
      </c>
      <c r="D642" s="256">
        <f>(D615/D612)*BV90</f>
        <v>63423.254347367299</v>
      </c>
      <c r="E642" s="258">
        <f>(E623/E612)*SUM(C642:D642)</f>
        <v>48233.745221509344</v>
      </c>
      <c r="F642" s="258">
        <f>(F624/F612)*BV64</f>
        <v>997.35739369929104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867326.23</v>
      </c>
      <c r="D643" s="256">
        <f>(D615/D612)*BW90</f>
        <v>0</v>
      </c>
      <c r="E643" s="258">
        <f>(E623/E612)*SUM(C643:D643)</f>
        <v>75186.098992480198</v>
      </c>
      <c r="F643" s="258">
        <f>(F624/F612)*BW64</f>
        <v>1059.5517139659928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1351442.79</v>
      </c>
      <c r="D645" s="256">
        <f>(D615/D612)*BY90</f>
        <v>0</v>
      </c>
      <c r="E645" s="258">
        <f>(E623/E612)*SUM(C645:D645)</f>
        <v>117152.8173333506</v>
      </c>
      <c r="F645" s="258">
        <f>(F624/F612)*BY64</f>
        <v>252.2892617930238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46273.899999999994</v>
      </c>
      <c r="D647" s="256">
        <f>(D615/D612)*CA90</f>
        <v>723.79866598826447</v>
      </c>
      <c r="E647" s="258">
        <f>(E623/E612)*SUM(C647:D647)</f>
        <v>4074.0998047755893</v>
      </c>
      <c r="F647" s="258">
        <f>(F624/F612)*CA64</f>
        <v>36.321670252241901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25778055.499999996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196824.85000000003</v>
      </c>
      <c r="D668" s="256">
        <f>(D615/D612)*C90</f>
        <v>70549.237126089734</v>
      </c>
      <c r="E668" s="258">
        <f>(E623/E612)*SUM(C668:D668)</f>
        <v>23177.916091256931</v>
      </c>
      <c r="F668" s="258">
        <f>(F624/F612)*C64</f>
        <v>53.279806600393869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18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20.87</v>
      </c>
      <c r="D669" s="256">
        <f>(D615/D612)*D90</f>
        <v>0</v>
      </c>
      <c r="E669" s="258">
        <f>(E623/E612)*SUM(C669:D669)</f>
        <v>1.809162264091865</v>
      </c>
      <c r="F669" s="258">
        <f>(F624/F612)*D64</f>
        <v>3.4885786652137165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18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5642082.6700000009</v>
      </c>
      <c r="D670" s="256">
        <f>(D615/D612)*E90</f>
        <v>361693.28811841313</v>
      </c>
      <c r="E670" s="258">
        <f>(E623/E612)*SUM(C670:D670)</f>
        <v>520450.64233300503</v>
      </c>
      <c r="F670" s="258">
        <f>(F624/F612)*E64</f>
        <v>76352.430104224433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18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18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1770528.8</v>
      </c>
      <c r="D672" s="256">
        <f>(D615/D612)*G90</f>
        <v>135691.1170650335</v>
      </c>
      <c r="E672" s="258">
        <f>(E623/E612)*SUM(C672:D672)</f>
        <v>165244.90373811132</v>
      </c>
      <c r="F672" s="258">
        <f>(F624/F612)*G64</f>
        <v>8566.7139072590944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18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13074.150000000001</v>
      </c>
      <c r="D673" s="256">
        <f>(D615/D612)*H90</f>
        <v>0</v>
      </c>
      <c r="E673" s="258">
        <f>(E623/E612)*SUM(C673:D673)</f>
        <v>1133.3617065202041</v>
      </c>
      <c r="F673" s="258">
        <f>(F624/F612)*H64</f>
        <v>59.043399910243842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18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49903.45</v>
      </c>
      <c r="D674" s="256">
        <f>(D615/D612)*I90</f>
        <v>0</v>
      </c>
      <c r="E674" s="258">
        <f>(E623/E612)*SUM(C674:D674)</f>
        <v>4325.9913075225286</v>
      </c>
      <c r="F674" s="258">
        <f>(F624/F612)*I64</f>
        <v>0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18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18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18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18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18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2430032.6399999997</v>
      </c>
      <c r="D679" s="256">
        <f>(D615/D612)*N90</f>
        <v>64671.674966148508</v>
      </c>
      <c r="E679" s="258">
        <f>(E623/E612)*SUM(C679:D679)</f>
        <v>216258.9797174845</v>
      </c>
      <c r="F679" s="258">
        <f>(F624/F612)*N64</f>
        <v>43074.095919282976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18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18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14205214.379999997</v>
      </c>
      <c r="D681" s="256">
        <f>(D615/D612)*P90</f>
        <v>858192.75697665475</v>
      </c>
      <c r="E681" s="258">
        <f>(E623/E612)*SUM(C681:D681)</f>
        <v>1305804.8759401168</v>
      </c>
      <c r="F681" s="258">
        <f>(F624/F612)*P64</f>
        <v>1571584.253664796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18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506285.02000000008</v>
      </c>
      <c r="D682" s="256">
        <f>(D615/D612)*Q90</f>
        <v>0</v>
      </c>
      <c r="E682" s="258">
        <f>(E623/E612)*SUM(C682:D682)</f>
        <v>43888.440491566616</v>
      </c>
      <c r="F682" s="258">
        <f>(F624/F612)*Q64</f>
        <v>2189.99328543704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18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2591489</v>
      </c>
      <c r="D683" s="256">
        <f>(D615/D612)*R90</f>
        <v>0</v>
      </c>
      <c r="E683" s="258">
        <f>(E623/E612)*SUM(C683:D683)</f>
        <v>224648.97492137819</v>
      </c>
      <c r="F683" s="258">
        <f>(F624/F612)*R64</f>
        <v>20581.430649104495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18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652256.93000000005</v>
      </c>
      <c r="D684" s="256">
        <f>(D615/D612)*S90</f>
        <v>0</v>
      </c>
      <c r="E684" s="258">
        <f>(E623/E612)*SUM(C684:D684)</f>
        <v>56542.339446497805</v>
      </c>
      <c r="F684" s="258">
        <f>(F624/F612)*S64</f>
        <v>51839.869429008286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18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39988.26999999999</v>
      </c>
      <c r="D685" s="256">
        <f>(D615/D612)*T90</f>
        <v>0</v>
      </c>
      <c r="E685" s="258">
        <f>(E623/E612)*SUM(C685:D685)</f>
        <v>3466.4719257458928</v>
      </c>
      <c r="F685" s="258">
        <f>(F624/F612)*T64</f>
        <v>6684.3423852805781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18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3549533.02</v>
      </c>
      <c r="D686" s="256">
        <f>(D615/D612)*U90</f>
        <v>70831.888429961036</v>
      </c>
      <c r="E686" s="258">
        <f>(E623/E612)*SUM(C686:D686)</f>
        <v>313839.36629486753</v>
      </c>
      <c r="F686" s="258">
        <f>(F624/F612)*U64</f>
        <v>144470.76982367827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18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0</v>
      </c>
      <c r="D687" s="256">
        <f>(D615/D612)*V90</f>
        <v>0</v>
      </c>
      <c r="E687" s="258">
        <f>(E623/E612)*SUM(C687:D687)</f>
        <v>0</v>
      </c>
      <c r="F687" s="258">
        <f>(F624/F612)*V64</f>
        <v>0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18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301032.05</v>
      </c>
      <c r="D688" s="256">
        <f>(D615/D612)*W90</f>
        <v>31094.285026817011</v>
      </c>
      <c r="E688" s="258">
        <f>(E623/E612)*SUM(C688:D688)</f>
        <v>28791.108396820771</v>
      </c>
      <c r="F688" s="258">
        <f>(F624/F612)*W64</f>
        <v>466.57023336581346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18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341796.00999999995</v>
      </c>
      <c r="D689" s="256">
        <f>(D615/D612)*X90</f>
        <v>11055.100062630974</v>
      </c>
      <c r="E689" s="258">
        <f>(E623/E612)*SUM(C689:D689)</f>
        <v>30587.681512613184</v>
      </c>
      <c r="F689" s="258">
        <f>(F624/F612)*X64</f>
        <v>3202.7876815192963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18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1786079.4200000002</v>
      </c>
      <c r="D690" s="256">
        <f>(D615/D612)*Y90</f>
        <v>74857.688309399411</v>
      </c>
      <c r="E690" s="258">
        <f>(E623/E612)*SUM(C690:D690)</f>
        <v>161319.46297084817</v>
      </c>
      <c r="F690" s="258">
        <f>(F624/F612)*Y64</f>
        <v>7297.9761847157952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18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18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490305.37999999995</v>
      </c>
      <c r="D692" s="256">
        <f>(D615/D612)*AA90</f>
        <v>27520.198913378619</v>
      </c>
      <c r="E692" s="258">
        <f>(E623/E612)*SUM(C692:D692)</f>
        <v>44888.85945144268</v>
      </c>
      <c r="F692" s="258">
        <f>(F624/F612)*AA64</f>
        <v>25101.949939452392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18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6212604.3500000015</v>
      </c>
      <c r="D693" s="256">
        <f>(D615/D612)*AB90</f>
        <v>52644.465746277827</v>
      </c>
      <c r="E693" s="258">
        <f>(E623/E612)*SUM(C693:D693)</f>
        <v>543116.997249373</v>
      </c>
      <c r="F693" s="258">
        <f>(F624/F612)*AB64</f>
        <v>785645.14768090623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18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763606.76</v>
      </c>
      <c r="D694" s="256">
        <f>(D615/D612)*AC90</f>
        <v>9438.4402685257992</v>
      </c>
      <c r="E694" s="258">
        <f>(E623/E612)*SUM(C694:D694)</f>
        <v>67013.138704511526</v>
      </c>
      <c r="F694" s="258">
        <f>(F624/F612)*AC64</f>
        <v>17483.031203840077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18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18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2262266.0000000005</v>
      </c>
      <c r="D696" s="256">
        <f>(D615/D612)*AE90</f>
        <v>36414.469381927833</v>
      </c>
      <c r="E696" s="258">
        <f>(E623/E612)*SUM(C696:D696)</f>
        <v>199266.21765264784</v>
      </c>
      <c r="F696" s="258">
        <f>(F624/F612)*AE64</f>
        <v>14589.152399134464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18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18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6735881.6600000001</v>
      </c>
      <c r="D698" s="256">
        <f>(D615/D612)*AG90</f>
        <v>101152.18437234536</v>
      </c>
      <c r="E698" s="258">
        <f>(E623/E612)*SUM(C698:D698)</f>
        <v>592683.45134438807</v>
      </c>
      <c r="F698" s="258">
        <f>(F624/F612)*AG64</f>
        <v>49440.140186560369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18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18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18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16414377.290000003</v>
      </c>
      <c r="D701" s="256">
        <f>(D615/D612)*AJ90</f>
        <v>78371.017600510342</v>
      </c>
      <c r="E701" s="258">
        <f>(E623/E612)*SUM(C701:D701)</f>
        <v>1429710.4872676483</v>
      </c>
      <c r="F701" s="258">
        <f>(F624/F612)*AJ64</f>
        <v>98310.595644248897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18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2757010.4300000006</v>
      </c>
      <c r="D702" s="256">
        <f>(D615/D612)*AK90</f>
        <v>0</v>
      </c>
      <c r="E702" s="258">
        <f>(E623/E612)*SUM(C702:D702)</f>
        <v>238997.56740123083</v>
      </c>
      <c r="F702" s="258">
        <f>(F624/F612)*AK64</f>
        <v>14587.98396766011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18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249769.30000000002</v>
      </c>
      <c r="D703" s="256">
        <f>(D615/D612)*AL90</f>
        <v>3920.135840607973</v>
      </c>
      <c r="E703" s="258">
        <f>(E623/E612)*SUM(C703:D703)</f>
        <v>21991.631725998192</v>
      </c>
      <c r="F703" s="258">
        <f>(F624/F612)*AL64</f>
        <v>1315.5201140638253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18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18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18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425795.00999999995</v>
      </c>
      <c r="D706" s="256">
        <f>(D615/D612)*AO90</f>
        <v>0</v>
      </c>
      <c r="E706" s="258">
        <f>(E623/E612)*SUM(C706:D706)</f>
        <v>36910.985353647251</v>
      </c>
      <c r="F706" s="258">
        <f>(F624/F612)*AO64</f>
        <v>215.42265783457236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18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18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18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18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18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18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18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1552060.6900000002</v>
      </c>
      <c r="D713" s="256">
        <f>(D615/D612)*AV90</f>
        <v>27940.213467729467</v>
      </c>
      <c r="E713" s="258">
        <f>(E623/E612)*SUM(C713:D713)</f>
        <v>136965.88460876234</v>
      </c>
      <c r="F713" s="258">
        <f>(F624/F612)*AV64</f>
        <v>731.12886142748539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18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97717873.900000006</v>
      </c>
      <c r="D715" s="231">
        <f>SUM(D616:D647)+SUM(D668:D713)</f>
        <v>2630171.8199999989</v>
      </c>
      <c r="E715" s="231">
        <f>SUM(E624:E647)+SUM(E668:E713)</f>
        <v>7795150.8053309666</v>
      </c>
      <c r="F715" s="231">
        <f>SUM(F625:F648)+SUM(F668:F713)</f>
        <v>3150431.5659677158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97717873.900000021</v>
      </c>
      <c r="D716" s="231">
        <f>D615</f>
        <v>2630171.8199999998</v>
      </c>
      <c r="E716" s="231">
        <f>E623</f>
        <v>7795150.8053309675</v>
      </c>
      <c r="F716" s="231">
        <f>F624</f>
        <v>3150431.5659677153</v>
      </c>
      <c r="G716" s="231">
        <f>G625</f>
        <v>1677423.3946590831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25778055.499999996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EB11323A-B385-4C41-8B65-593A05645E18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Lourdes Medical Center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-846150.37000000011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31991865.040000007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17306001.77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-145497.65999999977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1387567.9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2995109.1100000008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784150.50999999989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18861042.760000005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5714739.4000000004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0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7073838.3099999996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8025342.9799999986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2843025.3499999996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7885983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15770963.039999999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2371594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2371594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37003599.800000004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Lourdes Medical Center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5857666.299999998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1920374.2900000005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509074.39999999997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804643.31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1039099.7199999999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10130858.02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18492759.709999997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12160548.750000011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1433573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32086881.460000008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1039099.7199999999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31047781.74000001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0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2424913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2424913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37003599.800000004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Lourdes Medical Center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58557209.810000017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233102849.70999989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291660059.51999992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7884335.2199999969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189825145.85000017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3646034.55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201355515.62000018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90304543.899999738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1288043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1288043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91592586.899999738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33476574.400000017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6423330.5200000014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6946281.8600000003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20476080.439999986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1245482.05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9114624.6200000029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2338878.8699999996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1815893.31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0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0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1513764.82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15880729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99231639.890000001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-7639052.9900002629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-7639052.9900002629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-7639052.9900002629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Lourdes Medical Center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0</v>
      </c>
      <c r="D9" s="287">
        <f>data!D59</f>
        <v>0</v>
      </c>
      <c r="E9" s="287">
        <f>data!E59</f>
        <v>4109</v>
      </c>
      <c r="F9" s="287">
        <f>data!F59</f>
        <v>0</v>
      </c>
      <c r="G9" s="287">
        <f>data!G59</f>
        <v>1473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0</v>
      </c>
      <c r="D10" s="294">
        <f>data!D60</f>
        <v>0</v>
      </c>
      <c r="E10" s="294">
        <f>data!E60</f>
        <v>30.408108461538465</v>
      </c>
      <c r="F10" s="294">
        <f>data!F60</f>
        <v>0</v>
      </c>
      <c r="G10" s="294">
        <f>data!G60</f>
        <v>11.534903894230769</v>
      </c>
      <c r="H10" s="294">
        <f>data!H60</f>
        <v>0.26487499999999997</v>
      </c>
      <c r="I10" s="294">
        <f>data!I60</f>
        <v>0.28846153846153844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19184.28</v>
      </c>
      <c r="D11" s="287">
        <f>data!D61</f>
        <v>0</v>
      </c>
      <c r="E11" s="287">
        <f>data!E61</f>
        <v>2657073.83</v>
      </c>
      <c r="F11" s="287">
        <f>data!F61</f>
        <v>0</v>
      </c>
      <c r="G11" s="287">
        <f>data!G61</f>
        <v>963264.06999999983</v>
      </c>
      <c r="H11" s="287">
        <f>data!H61</f>
        <v>10226.970000000003</v>
      </c>
      <c r="I11" s="287">
        <f>data!I61</f>
        <v>41869.449999999997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3681</v>
      </c>
      <c r="D12" s="287">
        <f>data!D62</f>
        <v>0</v>
      </c>
      <c r="E12" s="287">
        <f>data!E62</f>
        <v>509827</v>
      </c>
      <c r="F12" s="287">
        <f>data!F62</f>
        <v>0</v>
      </c>
      <c r="G12" s="287">
        <f>data!G62</f>
        <v>184827</v>
      </c>
      <c r="H12" s="287">
        <f>data!H62</f>
        <v>1962</v>
      </c>
      <c r="I12" s="287">
        <f>data!I62</f>
        <v>8034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117640.75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318.74</v>
      </c>
      <c r="D14" s="287">
        <f>data!D64</f>
        <v>20.87</v>
      </c>
      <c r="E14" s="287">
        <f>data!E64</f>
        <v>456769.18000000005</v>
      </c>
      <c r="F14" s="287">
        <f>data!F64</f>
        <v>0</v>
      </c>
      <c r="G14" s="287">
        <f>data!G64</f>
        <v>51249.33</v>
      </c>
      <c r="H14" s="287">
        <f>data!H64</f>
        <v>353.22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0</v>
      </c>
      <c r="D16" s="287">
        <f>data!D66</f>
        <v>0</v>
      </c>
      <c r="E16" s="287">
        <f>data!E66</f>
        <v>41742.660000000003</v>
      </c>
      <c r="F16" s="287">
        <f>data!F66</f>
        <v>0</v>
      </c>
      <c r="G16" s="287">
        <f>data!G66</f>
        <v>272859.12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39178</v>
      </c>
      <c r="D17" s="287">
        <f>data!D67</f>
        <v>0</v>
      </c>
      <c r="E17" s="287">
        <f>data!E67</f>
        <v>200861</v>
      </c>
      <c r="F17" s="287">
        <f>data!F67</f>
        <v>0</v>
      </c>
      <c r="G17" s="287">
        <f>data!G67</f>
        <v>75354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41179.14</v>
      </c>
      <c r="F18" s="287">
        <f>data!F68</f>
        <v>0</v>
      </c>
      <c r="G18" s="287">
        <f>data!G68</f>
        <v>-1395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134462.83000000002</v>
      </c>
      <c r="D19" s="287">
        <f>data!D69</f>
        <v>0</v>
      </c>
      <c r="E19" s="287">
        <f>data!E69</f>
        <v>1734629.86</v>
      </c>
      <c r="F19" s="287">
        <f>data!F69</f>
        <v>0</v>
      </c>
      <c r="G19" s="287">
        <f>data!G69</f>
        <v>106729.53</v>
      </c>
      <c r="H19" s="287">
        <f>data!H69</f>
        <v>531.96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196824.85000000003</v>
      </c>
      <c r="D21" s="287">
        <f>data!D85</f>
        <v>20.87</v>
      </c>
      <c r="E21" s="287">
        <f>data!E85</f>
        <v>5642082.6700000009</v>
      </c>
      <c r="F21" s="287">
        <f>data!F85</f>
        <v>0</v>
      </c>
      <c r="G21" s="287">
        <f>data!G85</f>
        <v>1770528.8</v>
      </c>
      <c r="H21" s="287">
        <f>data!H85</f>
        <v>13074.150000000001</v>
      </c>
      <c r="I21" s="287">
        <f>data!I85</f>
        <v>49903.45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0</v>
      </c>
      <c r="D24" s="287">
        <f>data!D87</f>
        <v>0</v>
      </c>
      <c r="E24" s="287">
        <f>data!E87</f>
        <v>16008816.930000002</v>
      </c>
      <c r="F24" s="287">
        <f>data!F87</f>
        <v>0</v>
      </c>
      <c r="G24" s="287">
        <f>data!G87</f>
        <v>4444496.58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0</v>
      </c>
      <c r="D25" s="287">
        <f>data!D88</f>
        <v>0</v>
      </c>
      <c r="E25" s="287">
        <f>data!E88</f>
        <v>1533507.7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0</v>
      </c>
      <c r="D26" s="287">
        <f>data!D89</f>
        <v>0</v>
      </c>
      <c r="E26" s="287">
        <f>data!E89</f>
        <v>17542324.630000003</v>
      </c>
      <c r="F26" s="287">
        <f>data!F89</f>
        <v>0</v>
      </c>
      <c r="G26" s="287">
        <f>data!G89</f>
        <v>4444496.58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2670.7000000000007</v>
      </c>
      <c r="D28" s="287">
        <f>data!D90</f>
        <v>0</v>
      </c>
      <c r="E28" s="287">
        <f>data!E90</f>
        <v>13692.200000000004</v>
      </c>
      <c r="F28" s="287">
        <f>data!F90</f>
        <v>0</v>
      </c>
      <c r="G28" s="287">
        <f>data!G90</f>
        <v>5136.6999999999989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0</v>
      </c>
      <c r="D30" s="287">
        <f>data!D92</f>
        <v>0</v>
      </c>
      <c r="E30" s="287">
        <f>data!E92</f>
        <v>0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0</v>
      </c>
      <c r="D32" s="294">
        <f>data!D94</f>
        <v>0</v>
      </c>
      <c r="E32" s="294">
        <f>data!E94</f>
        <v>23.26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Lourdes Medical Center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140</v>
      </c>
      <c r="H41" s="287">
        <f>data!O59</f>
        <v>0</v>
      </c>
      <c r="I41" s="287">
        <f>data!P59</f>
        <v>232563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18.429612596153845</v>
      </c>
      <c r="H42" s="294">
        <f>data!O60</f>
        <v>0</v>
      </c>
      <c r="I42" s="294">
        <f>data!P60</f>
        <v>31.318704759615386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1253891.3400000001</v>
      </c>
      <c r="H43" s="287">
        <f>data!O61</f>
        <v>0</v>
      </c>
      <c r="I43" s="287">
        <f>data!P61</f>
        <v>2348240.1799999997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240591</v>
      </c>
      <c r="H44" s="287">
        <f>data!O62</f>
        <v>0</v>
      </c>
      <c r="I44" s="287">
        <f>data!P62</f>
        <v>450570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43702.37999999999</v>
      </c>
      <c r="H45" s="287">
        <f>data!O63</f>
        <v>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257685.57</v>
      </c>
      <c r="H46" s="287">
        <f>data!O64</f>
        <v>0</v>
      </c>
      <c r="I46" s="287">
        <f>data!P64</f>
        <v>9401812.7499999981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110.6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487858.05000000005</v>
      </c>
      <c r="H48" s="287">
        <f>data!O66</f>
        <v>0</v>
      </c>
      <c r="I48" s="287">
        <f>data!P66</f>
        <v>551125.14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35914</v>
      </c>
      <c r="H49" s="287">
        <f>data!O67</f>
        <v>0</v>
      </c>
      <c r="I49" s="287">
        <f>data!P67</f>
        <v>476584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1957.9999999999995</v>
      </c>
      <c r="H50" s="287">
        <f>data!O68</f>
        <v>0</v>
      </c>
      <c r="I50" s="287">
        <f>data!P68</f>
        <v>251.26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108432.3</v>
      </c>
      <c r="H51" s="287">
        <f>data!O69</f>
        <v>0</v>
      </c>
      <c r="I51" s="287">
        <f>data!P69</f>
        <v>976520.45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2430032.6399999997</v>
      </c>
      <c r="H53" s="287">
        <f>data!O85</f>
        <v>0</v>
      </c>
      <c r="I53" s="287">
        <f>data!P85</f>
        <v>14205214.379999997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1333664.99</v>
      </c>
      <c r="H56" s="287">
        <f>data!O87</f>
        <v>0</v>
      </c>
      <c r="I56" s="287">
        <f>data!P87</f>
        <v>19110248.560000002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15980421.690000003</v>
      </c>
      <c r="H57" s="287">
        <f>data!O88</f>
        <v>0</v>
      </c>
      <c r="I57" s="287">
        <f>data!P88</f>
        <v>69869476.979999989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17314086.680000003</v>
      </c>
      <c r="H58" s="287">
        <f>data!O89</f>
        <v>0</v>
      </c>
      <c r="I58" s="287">
        <f>data!P89</f>
        <v>88979725.539999992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2448.1999999999998</v>
      </c>
      <c r="H60" s="287">
        <f>data!O90</f>
        <v>0</v>
      </c>
      <c r="I60" s="287">
        <f>data!P90</f>
        <v>32487.599999999995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0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31.32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Lourdes Medical Center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232563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3.3020673076923077</v>
      </c>
      <c r="D74" s="294">
        <f>data!R60</f>
        <v>1</v>
      </c>
      <c r="E74" s="294">
        <f>data!S60</f>
        <v>4.5181740865384619</v>
      </c>
      <c r="F74" s="294">
        <f>data!T60</f>
        <v>0</v>
      </c>
      <c r="G74" s="294">
        <f>data!U60</f>
        <v>12.313421923076923</v>
      </c>
      <c r="H74" s="294">
        <f>data!V60</f>
        <v>0</v>
      </c>
      <c r="I74" s="294">
        <f>data!W60</f>
        <v>2.1134615384615385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413550.21000000008</v>
      </c>
      <c r="D75" s="287">
        <f>data!R61</f>
        <v>0</v>
      </c>
      <c r="E75" s="287">
        <f>data!S61</f>
        <v>262288.69</v>
      </c>
      <c r="F75" s="287">
        <f>data!T61</f>
        <v>0</v>
      </c>
      <c r="G75" s="287">
        <f>data!U61</f>
        <v>773502.69</v>
      </c>
      <c r="H75" s="287">
        <f>data!V61</f>
        <v>0</v>
      </c>
      <c r="I75" s="287">
        <f>data!W61</f>
        <v>234095.44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79350</v>
      </c>
      <c r="D76" s="287">
        <f>data!R62</f>
        <v>0</v>
      </c>
      <c r="E76" s="287">
        <f>data!S62</f>
        <v>50327</v>
      </c>
      <c r="F76" s="287">
        <f>data!T62</f>
        <v>0</v>
      </c>
      <c r="G76" s="287">
        <f>data!U62</f>
        <v>148416</v>
      </c>
      <c r="H76" s="287">
        <f>data!V62</f>
        <v>0</v>
      </c>
      <c r="I76" s="287">
        <f>data!W62</f>
        <v>44917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2468363.08</v>
      </c>
      <c r="E77" s="287">
        <f>data!S63</f>
        <v>0</v>
      </c>
      <c r="F77" s="287">
        <f>data!T63</f>
        <v>0</v>
      </c>
      <c r="G77" s="287">
        <f>data!U63</f>
        <v>27218.47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13101.369999999999</v>
      </c>
      <c r="D78" s="287">
        <f>data!R64</f>
        <v>123125.91999999998</v>
      </c>
      <c r="E78" s="287">
        <f>data!S64</f>
        <v>310125.75000000006</v>
      </c>
      <c r="F78" s="287">
        <f>data!T64</f>
        <v>39988.26999999999</v>
      </c>
      <c r="G78" s="287">
        <f>data!U64</f>
        <v>864278.90999999992</v>
      </c>
      <c r="H78" s="287">
        <f>data!V64</f>
        <v>0</v>
      </c>
      <c r="I78" s="287">
        <f>data!W64</f>
        <v>2791.2000000000003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279.68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0</v>
      </c>
      <c r="E80" s="287">
        <f>data!S66</f>
        <v>4800</v>
      </c>
      <c r="F80" s="287">
        <f>data!T66</f>
        <v>0</v>
      </c>
      <c r="G80" s="287">
        <f>data!U66</f>
        <v>479831.41</v>
      </c>
      <c r="H80" s="287">
        <f>data!V66</f>
        <v>0</v>
      </c>
      <c r="I80" s="287">
        <f>data!W66</f>
        <v>0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0</v>
      </c>
      <c r="E81" s="287">
        <f>data!S67</f>
        <v>0</v>
      </c>
      <c r="F81" s="287">
        <f>data!T67</f>
        <v>0</v>
      </c>
      <c r="G81" s="287">
        <f>data!U67</f>
        <v>39335</v>
      </c>
      <c r="H81" s="287">
        <f>data!V67</f>
        <v>0</v>
      </c>
      <c r="I81" s="287">
        <f>data!W67</f>
        <v>17268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5538.6</v>
      </c>
      <c r="F82" s="287">
        <f>data!T68</f>
        <v>0</v>
      </c>
      <c r="G82" s="287">
        <f>data!U68</f>
        <v>33439.06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283.44</v>
      </c>
      <c r="D83" s="287">
        <f>data!R69</f>
        <v>0</v>
      </c>
      <c r="E83" s="287">
        <f>data!S69</f>
        <v>18897.21</v>
      </c>
      <c r="F83" s="287">
        <f>data!T69</f>
        <v>0</v>
      </c>
      <c r="G83" s="287">
        <f>data!U69</f>
        <v>1183511.48</v>
      </c>
      <c r="H83" s="287">
        <f>data!V69</f>
        <v>0</v>
      </c>
      <c r="I83" s="287">
        <f>data!W69</f>
        <v>1960.41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506285.02000000008</v>
      </c>
      <c r="D85" s="287">
        <f>data!R85</f>
        <v>2591489</v>
      </c>
      <c r="E85" s="287">
        <f>data!S85</f>
        <v>652256.93000000005</v>
      </c>
      <c r="F85" s="287">
        <f>data!T85</f>
        <v>39988.26999999999</v>
      </c>
      <c r="G85" s="287">
        <f>data!U85</f>
        <v>3549533.02</v>
      </c>
      <c r="H85" s="287">
        <f>data!V85</f>
        <v>0</v>
      </c>
      <c r="I85" s="287">
        <f>data!W85</f>
        <v>301032.05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377102.44</v>
      </c>
      <c r="D88" s="287">
        <f>data!R87</f>
        <v>647379.84</v>
      </c>
      <c r="E88" s="287">
        <f>data!S87</f>
        <v>0</v>
      </c>
      <c r="F88" s="287">
        <f>data!T87</f>
        <v>0</v>
      </c>
      <c r="G88" s="287">
        <f>data!U87</f>
        <v>3370661.07</v>
      </c>
      <c r="H88" s="287">
        <f>data!V87</f>
        <v>0</v>
      </c>
      <c r="I88" s="287">
        <f>data!W87</f>
        <v>219301.78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2156750.96</v>
      </c>
      <c r="D89" s="287">
        <f>data!R88</f>
        <v>4194182.07</v>
      </c>
      <c r="E89" s="287">
        <f>data!S88</f>
        <v>0</v>
      </c>
      <c r="F89" s="287">
        <f>data!T88</f>
        <v>0</v>
      </c>
      <c r="G89" s="287">
        <f>data!U88</f>
        <v>18997629.32</v>
      </c>
      <c r="H89" s="287">
        <f>data!V88</f>
        <v>0</v>
      </c>
      <c r="I89" s="287">
        <f>data!W88</f>
        <v>2438071.1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2533853.4</v>
      </c>
      <c r="D90" s="287">
        <f>data!R89</f>
        <v>4841561.91</v>
      </c>
      <c r="E90" s="287">
        <f>data!S89</f>
        <v>0</v>
      </c>
      <c r="F90" s="287">
        <f>data!T89</f>
        <v>0</v>
      </c>
      <c r="G90" s="287">
        <f>data!U89</f>
        <v>22368290.390000001</v>
      </c>
      <c r="H90" s="287">
        <f>data!V89</f>
        <v>0</v>
      </c>
      <c r="I90" s="287">
        <f>data!W89</f>
        <v>2657372.88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0</v>
      </c>
      <c r="D92" s="287">
        <f>data!R90</f>
        <v>0</v>
      </c>
      <c r="E92" s="287">
        <f>data!S90</f>
        <v>0</v>
      </c>
      <c r="F92" s="287">
        <f>data!T90</f>
        <v>0</v>
      </c>
      <c r="G92" s="287">
        <f>data!U90</f>
        <v>2681.3999999999996</v>
      </c>
      <c r="H92" s="287">
        <f>data!V90</f>
        <v>0</v>
      </c>
      <c r="I92" s="287">
        <f>data!W90</f>
        <v>1177.0999999999999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0</v>
      </c>
      <c r="D94" s="287">
        <f>data!R92</f>
        <v>0</v>
      </c>
      <c r="E94" s="287">
        <f>data!S92</f>
        <v>0</v>
      </c>
      <c r="F94" s="287">
        <f>data!T92</f>
        <v>0</v>
      </c>
      <c r="G94" s="287">
        <f>data!U92</f>
        <v>0</v>
      </c>
      <c r="H94" s="287">
        <f>data!V92</f>
        <v>0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0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Lourdes Medical Center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3.0199663461538462</v>
      </c>
      <c r="D106" s="294">
        <f>data!Y60</f>
        <v>15.504604615384613</v>
      </c>
      <c r="E106" s="294">
        <f>data!Z60</f>
        <v>0</v>
      </c>
      <c r="F106" s="294">
        <f>data!AA60</f>
        <v>1.7620913461538461</v>
      </c>
      <c r="G106" s="294">
        <f>data!AB60</f>
        <v>11.81157423076923</v>
      </c>
      <c r="H106" s="294">
        <f>data!AC60</f>
        <v>5.9911232692307692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258813.94999999998</v>
      </c>
      <c r="D107" s="287">
        <f>data!Y61</f>
        <v>1140176.4200000002</v>
      </c>
      <c r="E107" s="287">
        <f>data!Z61</f>
        <v>0</v>
      </c>
      <c r="F107" s="287">
        <f>data!AA61</f>
        <v>264907.49999999994</v>
      </c>
      <c r="G107" s="287">
        <f>data!AB61</f>
        <v>1079458.1300000001</v>
      </c>
      <c r="H107" s="287">
        <f>data!AC61</f>
        <v>525279.44999999995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49660</v>
      </c>
      <c r="D108" s="287">
        <f>data!Y62</f>
        <v>218772</v>
      </c>
      <c r="E108" s="287">
        <f>data!Z62</f>
        <v>0</v>
      </c>
      <c r="F108" s="287">
        <f>data!AA62</f>
        <v>50829</v>
      </c>
      <c r="G108" s="287">
        <f>data!AB62</f>
        <v>207121</v>
      </c>
      <c r="H108" s="287">
        <f>data!AC62</f>
        <v>100788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-36000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19160.289999999997</v>
      </c>
      <c r="D110" s="287">
        <f>data!Y64</f>
        <v>43659.260000000009</v>
      </c>
      <c r="E110" s="287">
        <f>data!Z64</f>
        <v>0</v>
      </c>
      <c r="F110" s="287">
        <f>data!AA64</f>
        <v>150169.38</v>
      </c>
      <c r="G110" s="287">
        <f>data!AB64</f>
        <v>4700027.0900000017</v>
      </c>
      <c r="H110" s="287">
        <f>data!AC64</f>
        <v>104590.12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756.94999999999993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0</v>
      </c>
      <c r="D112" s="287">
        <f>data!Y66</f>
        <v>2627.74</v>
      </c>
      <c r="E112" s="287">
        <f>data!Z66</f>
        <v>0</v>
      </c>
      <c r="F112" s="287">
        <f>data!AA66</f>
        <v>0</v>
      </c>
      <c r="G112" s="287">
        <f>data!AB66</f>
        <v>105692.62</v>
      </c>
      <c r="H112" s="287">
        <f>data!AC66</f>
        <v>0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6139</v>
      </c>
      <c r="D113" s="287">
        <f>data!Y67</f>
        <v>41571</v>
      </c>
      <c r="E113" s="287">
        <f>data!Z67</f>
        <v>0</v>
      </c>
      <c r="F113" s="287">
        <f>data!AA67</f>
        <v>15283</v>
      </c>
      <c r="G113" s="287">
        <f>data!AB67</f>
        <v>29235</v>
      </c>
      <c r="H113" s="287">
        <f>data!AC67</f>
        <v>5241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184791.34000000003</v>
      </c>
      <c r="E114" s="287">
        <f>data!Z68</f>
        <v>0</v>
      </c>
      <c r="F114" s="287">
        <f>data!AA68</f>
        <v>0</v>
      </c>
      <c r="G114" s="287">
        <f>data!AB68</f>
        <v>3400.8899999999994</v>
      </c>
      <c r="H114" s="287">
        <f>data!AC68</f>
        <v>-13157.970000000003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8022.77</v>
      </c>
      <c r="D115" s="287">
        <f>data!Y69</f>
        <v>153724.71</v>
      </c>
      <c r="E115" s="287">
        <f>data!Z69</f>
        <v>0</v>
      </c>
      <c r="F115" s="287">
        <f>data!AA69</f>
        <v>9116.5</v>
      </c>
      <c r="G115" s="287">
        <f>data!AB69</f>
        <v>87669.62</v>
      </c>
      <c r="H115" s="287">
        <f>data!AC69</f>
        <v>76866.16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341796.00999999995</v>
      </c>
      <c r="D117" s="287">
        <f>data!Y85</f>
        <v>1786079.4200000002</v>
      </c>
      <c r="E117" s="287">
        <f>data!Z85</f>
        <v>0</v>
      </c>
      <c r="F117" s="287">
        <f>data!AA85</f>
        <v>490305.37999999995</v>
      </c>
      <c r="G117" s="287">
        <f>data!AB85</f>
        <v>6212604.3500000015</v>
      </c>
      <c r="H117" s="287">
        <f>data!AC85</f>
        <v>763606.76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1190205.0699999998</v>
      </c>
      <c r="D120" s="287">
        <f>data!Y87</f>
        <v>465503.34999999992</v>
      </c>
      <c r="E120" s="287">
        <f>data!Z87</f>
        <v>0</v>
      </c>
      <c r="F120" s="287">
        <f>data!AA87</f>
        <v>86702.56</v>
      </c>
      <c r="G120" s="287">
        <f>data!AB87</f>
        <v>4050237.51</v>
      </c>
      <c r="H120" s="287">
        <f>data!AC87</f>
        <v>1965432.4400000002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15367356.09</v>
      </c>
      <c r="D121" s="287">
        <f>data!Y88</f>
        <v>7838779.5599999996</v>
      </c>
      <c r="E121" s="287">
        <f>data!Z88</f>
        <v>0</v>
      </c>
      <c r="F121" s="287">
        <f>data!AA88</f>
        <v>1770877.4400000002</v>
      </c>
      <c r="G121" s="287">
        <f>data!AB88</f>
        <v>16882976.699999996</v>
      </c>
      <c r="H121" s="287">
        <f>data!AC88</f>
        <v>2792592.99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16557561.16</v>
      </c>
      <c r="D122" s="287">
        <f>data!Y89</f>
        <v>8304282.9099999992</v>
      </c>
      <c r="E122" s="287">
        <f>data!Z89</f>
        <v>0</v>
      </c>
      <c r="F122" s="287">
        <f>data!AA89</f>
        <v>1857580.0000000002</v>
      </c>
      <c r="G122" s="287">
        <f>data!AB89</f>
        <v>20933214.209999993</v>
      </c>
      <c r="H122" s="287">
        <f>data!AC89</f>
        <v>4758025.4300000006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418.5</v>
      </c>
      <c r="D124" s="287">
        <f>data!Y90</f>
        <v>2833.7999999999997</v>
      </c>
      <c r="E124" s="287">
        <f>data!Z90</f>
        <v>0</v>
      </c>
      <c r="F124" s="287">
        <f>data!AA90</f>
        <v>1041.8000000000002</v>
      </c>
      <c r="G124" s="287">
        <f>data!AB90</f>
        <v>1992.9</v>
      </c>
      <c r="H124" s="287">
        <f>data!AC90</f>
        <v>357.29999999999995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0</v>
      </c>
      <c r="E126" s="287">
        <f>data!Z92</f>
        <v>0</v>
      </c>
      <c r="F126" s="287">
        <f>data!AA92</f>
        <v>0</v>
      </c>
      <c r="G126" s="287">
        <f>data!AB92</f>
        <v>0</v>
      </c>
      <c r="H126" s="287">
        <f>data!AC92</f>
        <v>0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Lourdes Medical Center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22015</v>
      </c>
      <c r="F137" s="287">
        <f>data!AH59</f>
        <v>0</v>
      </c>
      <c r="G137" s="287">
        <f>data!AI59</f>
        <v>0</v>
      </c>
      <c r="H137" s="287">
        <f>data!AJ59</f>
        <v>73503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20.966470913461539</v>
      </c>
      <c r="D138" s="294">
        <f>data!AF60</f>
        <v>0</v>
      </c>
      <c r="E138" s="294">
        <f>data!AG60</f>
        <v>20.089905865384612</v>
      </c>
      <c r="F138" s="294">
        <f>data!AH60</f>
        <v>0</v>
      </c>
      <c r="G138" s="294">
        <f>data!AI60</f>
        <v>0</v>
      </c>
      <c r="H138" s="294">
        <f>data!AJ60</f>
        <v>57.655926057692305</v>
      </c>
      <c r="I138" s="294">
        <f>data!AK60</f>
        <v>19.178758269230773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1546988.6400000004</v>
      </c>
      <c r="D139" s="287">
        <f>data!AF61</f>
        <v>0</v>
      </c>
      <c r="E139" s="287">
        <f>data!AG61</f>
        <v>1767564.0499999996</v>
      </c>
      <c r="F139" s="287">
        <f>data!AH61</f>
        <v>0</v>
      </c>
      <c r="G139" s="287">
        <f>data!AI61</f>
        <v>0</v>
      </c>
      <c r="H139" s="287">
        <f>data!AJ61</f>
        <v>9974074.9000000022</v>
      </c>
      <c r="I139" s="287">
        <f>data!AK61</f>
        <v>1159237.3600000001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296829</v>
      </c>
      <c r="D140" s="287">
        <f>data!AF62</f>
        <v>0</v>
      </c>
      <c r="E140" s="287">
        <f>data!AG62</f>
        <v>339152</v>
      </c>
      <c r="F140" s="287">
        <f>data!AH62</f>
        <v>0</v>
      </c>
      <c r="G140" s="287">
        <f>data!AI62</f>
        <v>0</v>
      </c>
      <c r="H140" s="287">
        <f>data!AJ62</f>
        <v>1913780</v>
      </c>
      <c r="I140" s="287">
        <f>data!AK62</f>
        <v>222429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2002348.5899999999</v>
      </c>
      <c r="F141" s="287">
        <f>data!AH63</f>
        <v>0</v>
      </c>
      <c r="G141" s="287">
        <f>data!AI63</f>
        <v>0</v>
      </c>
      <c r="H141" s="287">
        <f>data!AJ63</f>
        <v>904867.64000000013</v>
      </c>
      <c r="I141" s="287">
        <f>data!AK63</f>
        <v>654940.95000000007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87277.839999999982</v>
      </c>
      <c r="D142" s="287">
        <f>data!AF64</f>
        <v>0</v>
      </c>
      <c r="E142" s="287">
        <f>data!AG64</f>
        <v>295769.66000000003</v>
      </c>
      <c r="F142" s="287">
        <f>data!AH64</f>
        <v>0</v>
      </c>
      <c r="G142" s="287">
        <f>data!AI64</f>
        <v>0</v>
      </c>
      <c r="H142" s="287">
        <f>data!AJ64</f>
        <v>588131.25</v>
      </c>
      <c r="I142" s="287">
        <f>data!AK64</f>
        <v>87270.85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164.08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73907.939999999988</v>
      </c>
      <c r="I143" s="287">
        <f>data!AK65</f>
        <v>28260.350000000002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-999.13999999999987</v>
      </c>
      <c r="D144" s="287">
        <f>data!AF66</f>
        <v>0</v>
      </c>
      <c r="E144" s="287">
        <f>data!AG66</f>
        <v>88509.26999999999</v>
      </c>
      <c r="F144" s="287">
        <f>data!AH66</f>
        <v>0</v>
      </c>
      <c r="G144" s="287">
        <f>data!AI66</f>
        <v>0</v>
      </c>
      <c r="H144" s="287">
        <f>data!AJ66</f>
        <v>183572.16000000003</v>
      </c>
      <c r="I144" s="287">
        <f>data!AK66</f>
        <v>167494.49000000002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20222</v>
      </c>
      <c r="D145" s="287">
        <f>data!AF67</f>
        <v>0</v>
      </c>
      <c r="E145" s="287">
        <f>data!AG67</f>
        <v>56173</v>
      </c>
      <c r="F145" s="287">
        <f>data!AH67</f>
        <v>0</v>
      </c>
      <c r="G145" s="287">
        <f>data!AI67</f>
        <v>0</v>
      </c>
      <c r="H145" s="287">
        <f>data!AJ67</f>
        <v>43522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145818.90999999997</v>
      </c>
      <c r="D146" s="287">
        <f>data!AF68</f>
        <v>0</v>
      </c>
      <c r="E146" s="287">
        <f>data!AG68</f>
        <v>51530.87</v>
      </c>
      <c r="F146" s="287">
        <f>data!AH68</f>
        <v>0</v>
      </c>
      <c r="G146" s="287">
        <f>data!AI68</f>
        <v>0</v>
      </c>
      <c r="H146" s="287">
        <f>data!AJ68</f>
        <v>809789.15000000014</v>
      </c>
      <c r="I146" s="287">
        <f>data!AK68</f>
        <v>143358.96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165964.67000000001</v>
      </c>
      <c r="D147" s="287">
        <f>data!AF69</f>
        <v>0</v>
      </c>
      <c r="E147" s="287">
        <f>data!AG69</f>
        <v>2134834.2200000002</v>
      </c>
      <c r="F147" s="287">
        <f>data!AH69</f>
        <v>0</v>
      </c>
      <c r="G147" s="287">
        <f>data!AI69</f>
        <v>0</v>
      </c>
      <c r="H147" s="287">
        <f>data!AJ69</f>
        <v>1922732.25</v>
      </c>
      <c r="I147" s="287">
        <f>data!AK69</f>
        <v>294018.47000000003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2262266.0000000005</v>
      </c>
      <c r="D149" s="287">
        <f>data!AF85</f>
        <v>0</v>
      </c>
      <c r="E149" s="287">
        <f>data!AG85</f>
        <v>6735881.6600000001</v>
      </c>
      <c r="F149" s="287">
        <f>data!AH85</f>
        <v>0</v>
      </c>
      <c r="G149" s="287">
        <f>data!AI85</f>
        <v>0</v>
      </c>
      <c r="H149" s="287">
        <f>data!AJ85</f>
        <v>16414377.290000003</v>
      </c>
      <c r="I149" s="287">
        <f>data!AK85</f>
        <v>2757010.4300000006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1943031.5299999998</v>
      </c>
      <c r="D152" s="287">
        <f>data!AF87</f>
        <v>0</v>
      </c>
      <c r="E152" s="287">
        <f>data!AG87</f>
        <v>1322128.46</v>
      </c>
      <c r="F152" s="287">
        <f>data!AH87</f>
        <v>0</v>
      </c>
      <c r="G152" s="287">
        <f>data!AI87</f>
        <v>0</v>
      </c>
      <c r="H152" s="287">
        <f>data!AJ87</f>
        <v>0</v>
      </c>
      <c r="I152" s="287">
        <f>data!AK87</f>
        <v>1437746.6900000002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11017489.220000001</v>
      </c>
      <c r="D153" s="287">
        <f>data!AF88</f>
        <v>0</v>
      </c>
      <c r="E153" s="287">
        <f>data!AG88</f>
        <v>35447357.169999994</v>
      </c>
      <c r="F153" s="287">
        <f>data!AH88</f>
        <v>0</v>
      </c>
      <c r="G153" s="287">
        <f>data!AI88</f>
        <v>0</v>
      </c>
      <c r="H153" s="287">
        <f>data!AJ88</f>
        <v>22400477.959999986</v>
      </c>
      <c r="I153" s="287">
        <f>data!AK88</f>
        <v>3270174.21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12960520.75</v>
      </c>
      <c r="D154" s="287">
        <f>data!AF89</f>
        <v>0</v>
      </c>
      <c r="E154" s="287">
        <f>data!AG89</f>
        <v>36769485.629999995</v>
      </c>
      <c r="F154" s="287">
        <f>data!AH89</f>
        <v>0</v>
      </c>
      <c r="G154" s="287">
        <f>data!AI89</f>
        <v>0</v>
      </c>
      <c r="H154" s="287">
        <f>data!AJ89</f>
        <v>22400477.959999986</v>
      </c>
      <c r="I154" s="287">
        <f>data!AK89</f>
        <v>4707920.9000000004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1378.5</v>
      </c>
      <c r="D156" s="287">
        <f>data!AF90</f>
        <v>0</v>
      </c>
      <c r="E156" s="287">
        <f>data!AG90</f>
        <v>3829.2000000000003</v>
      </c>
      <c r="F156" s="287">
        <f>data!AH90</f>
        <v>0</v>
      </c>
      <c r="G156" s="287">
        <f>data!AI90</f>
        <v>0</v>
      </c>
      <c r="H156" s="287">
        <f>data!AJ90</f>
        <v>2966.8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0</v>
      </c>
      <c r="D158" s="287">
        <f>data!AF92</f>
        <v>0</v>
      </c>
      <c r="E158" s="287">
        <f>data!AG92</f>
        <v>0</v>
      </c>
      <c r="F158" s="287">
        <f>data!AH92</f>
        <v>0</v>
      </c>
      <c r="G158" s="287">
        <f>data!AI92</f>
        <v>0</v>
      </c>
      <c r="H158" s="287">
        <f>data!AJ92</f>
        <v>0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0</v>
      </c>
      <c r="F160" s="294">
        <f>data!AH94</f>
        <v>0</v>
      </c>
      <c r="G160" s="294">
        <f>data!AI94</f>
        <v>0</v>
      </c>
      <c r="H160" s="294">
        <f>data!AJ94</f>
        <v>0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Lourdes Medical Center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1.93225</v>
      </c>
      <c r="D170" s="294">
        <f>data!AM60</f>
        <v>0</v>
      </c>
      <c r="E170" s="294">
        <f>data!AN60</f>
        <v>0</v>
      </c>
      <c r="F170" s="294">
        <f>data!AO60</f>
        <v>4.4662047115384613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190655.15000000002</v>
      </c>
      <c r="D171" s="287">
        <f>data!AM61</f>
        <v>0</v>
      </c>
      <c r="E171" s="287">
        <f>data!AN61</f>
        <v>0</v>
      </c>
      <c r="F171" s="287">
        <f>data!AO61</f>
        <v>356166.26999999996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36582</v>
      </c>
      <c r="D172" s="287">
        <f>data!AM62</f>
        <v>0</v>
      </c>
      <c r="E172" s="287">
        <f>data!AN62</f>
        <v>0</v>
      </c>
      <c r="F172" s="287">
        <f>data!AO62</f>
        <v>68340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7869.94</v>
      </c>
      <c r="D174" s="287">
        <f>data!AM64</f>
        <v>0</v>
      </c>
      <c r="E174" s="287">
        <f>data!AN64</f>
        <v>0</v>
      </c>
      <c r="F174" s="287">
        <f>data!AO64</f>
        <v>1288.74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2177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12485.21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249769.30000000002</v>
      </c>
      <c r="D181" s="287">
        <f>data!AM85</f>
        <v>0</v>
      </c>
      <c r="E181" s="287">
        <f>data!AN85</f>
        <v>0</v>
      </c>
      <c r="F181" s="287">
        <f>data!AO85</f>
        <v>425795.00999999995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584174.25000000012</v>
      </c>
      <c r="D184" s="287">
        <f>data!AM87</f>
        <v>0</v>
      </c>
      <c r="E184" s="287">
        <f>data!AN87</f>
        <v>0</v>
      </c>
      <c r="F184" s="287">
        <f>data!AO87</f>
        <v>375.76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257889.95</v>
      </c>
      <c r="D185" s="287">
        <f>data!AM88</f>
        <v>0</v>
      </c>
      <c r="E185" s="287">
        <f>data!AN88</f>
        <v>0</v>
      </c>
      <c r="F185" s="287">
        <f>data!AO88</f>
        <v>886838.6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842064.20000000019</v>
      </c>
      <c r="D186" s="287">
        <f>data!AM89</f>
        <v>0</v>
      </c>
      <c r="E186" s="287">
        <f>data!AN89</f>
        <v>0</v>
      </c>
      <c r="F186" s="287">
        <f>data!AO89</f>
        <v>887214.36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148.4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Lourdes Medical Center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6.9341496153846158</v>
      </c>
      <c r="G202" s="294">
        <f>data!AW60</f>
        <v>0</v>
      </c>
      <c r="H202" s="294">
        <f>data!AX60</f>
        <v>0</v>
      </c>
      <c r="I202" s="294">
        <f>data!AY60</f>
        <v>8.5703273557692299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599392.90000000014</v>
      </c>
      <c r="G203" s="287">
        <f>data!AW61</f>
        <v>0</v>
      </c>
      <c r="H203" s="287">
        <f>data!AX61</f>
        <v>0</v>
      </c>
      <c r="I203" s="287">
        <f>data!AY61</f>
        <v>0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115009</v>
      </c>
      <c r="G204" s="287">
        <f>data!AW62</f>
        <v>0</v>
      </c>
      <c r="H204" s="287">
        <f>data!AX62</f>
        <v>0</v>
      </c>
      <c r="I204" s="287">
        <f>data!AY62</f>
        <v>0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4373.8899999999994</v>
      </c>
      <c r="G206" s="287">
        <f>data!AW64</f>
        <v>0</v>
      </c>
      <c r="H206" s="287">
        <f>data!AX64</f>
        <v>0</v>
      </c>
      <c r="I206" s="287">
        <f>data!AY64</f>
        <v>401531.48999999993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363015.17</v>
      </c>
      <c r="G208" s="287">
        <f>data!AW66</f>
        <v>0</v>
      </c>
      <c r="H208" s="287">
        <f>data!AX66</f>
        <v>0</v>
      </c>
      <c r="I208" s="287">
        <f>data!AY66</f>
        <v>879109.93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15516</v>
      </c>
      <c r="G209" s="287">
        <f>data!AW67</f>
        <v>0</v>
      </c>
      <c r="H209" s="287">
        <f>data!AX67</f>
        <v>0</v>
      </c>
      <c r="I209" s="287">
        <f>data!AY67</f>
        <v>67159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105394.90999999999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349358.82</v>
      </c>
      <c r="G211" s="287">
        <f>data!AW69</f>
        <v>0</v>
      </c>
      <c r="H211" s="287">
        <f>data!AX69</f>
        <v>0</v>
      </c>
      <c r="I211" s="287">
        <f>data!AY69</f>
        <v>13111.6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1552060.6900000002</v>
      </c>
      <c r="G213" s="287">
        <f>data!AW85</f>
        <v>0</v>
      </c>
      <c r="H213" s="287">
        <f>data!AX85</f>
        <v>0</v>
      </c>
      <c r="I213" s="287">
        <f>data!AY85</f>
        <v>1360912.02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0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0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1057.7</v>
      </c>
      <c r="G220" s="287">
        <f>data!AW90</f>
        <v>0</v>
      </c>
      <c r="H220" s="287">
        <f>data!AX90</f>
        <v>0</v>
      </c>
      <c r="I220" s="287">
        <f>data!AY90</f>
        <v>4578.0999999999995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Lourdes Medical Center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159435.81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2.5799197596153842</v>
      </c>
      <c r="E234" s="294">
        <f>data!BB60</f>
        <v>0</v>
      </c>
      <c r="F234" s="294">
        <f>data!BC60</f>
        <v>0</v>
      </c>
      <c r="G234" s="294">
        <f>data!BD60</f>
        <v>7.8657389423076918</v>
      </c>
      <c r="H234" s="294">
        <f>data!BE60</f>
        <v>33.419767019230775</v>
      </c>
      <c r="I234" s="294">
        <f>data!BF60</f>
        <v>0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5183.84</v>
      </c>
      <c r="E235" s="287">
        <f>data!BB61</f>
        <v>0</v>
      </c>
      <c r="F235" s="287">
        <f>data!BC61</f>
        <v>0</v>
      </c>
      <c r="G235" s="287">
        <f>data!BD61</f>
        <v>343908.64</v>
      </c>
      <c r="H235" s="287">
        <f>data!BE61</f>
        <v>536141.77999999991</v>
      </c>
      <c r="I235" s="287">
        <f>data!BF61</f>
        <v>-4618.9500000000007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995</v>
      </c>
      <c r="E236" s="287">
        <f>data!BB62</f>
        <v>0</v>
      </c>
      <c r="F236" s="287">
        <f>data!BC62</f>
        <v>0</v>
      </c>
      <c r="G236" s="287">
        <f>data!BD62</f>
        <v>65988</v>
      </c>
      <c r="H236" s="287">
        <f>data!BE62</f>
        <v>102872</v>
      </c>
      <c r="I236" s="287">
        <f>data!BF62</f>
        <v>-886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38203.879999999997</v>
      </c>
      <c r="E238" s="287">
        <f>data!BB64</f>
        <v>0</v>
      </c>
      <c r="F238" s="287">
        <f>data!BC64</f>
        <v>0</v>
      </c>
      <c r="G238" s="287">
        <f>data!BD64</f>
        <v>1841655.4799999995</v>
      </c>
      <c r="H238" s="287">
        <f>data!BE64</f>
        <v>36835.93</v>
      </c>
      <c r="I238" s="287">
        <f>data!BF64</f>
        <v>82687.01999999999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562533.53</v>
      </c>
      <c r="I239" s="287">
        <f>data!BF65</f>
        <v>86613.38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138499.36000000002</v>
      </c>
      <c r="E240" s="287">
        <f>data!BB66</f>
        <v>0</v>
      </c>
      <c r="F240" s="287">
        <f>data!BC66</f>
        <v>0</v>
      </c>
      <c r="G240" s="287">
        <f>data!BD66</f>
        <v>98978.510000000009</v>
      </c>
      <c r="H240" s="287">
        <f>data!BE66</f>
        <v>30751.010000000002</v>
      </c>
      <c r="I240" s="287">
        <f>data!BF66</f>
        <v>1182811.3400000001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88186</v>
      </c>
      <c r="H241" s="287">
        <f>data!BE67</f>
        <v>878254</v>
      </c>
      <c r="I241" s="287">
        <f>data!BF67</f>
        <v>24994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-7769.1</v>
      </c>
      <c r="H242" s="287">
        <f>data!BE68</f>
        <v>0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309370.59000000003</v>
      </c>
      <c r="H243" s="287">
        <f>data!BE69</f>
        <v>482783.57</v>
      </c>
      <c r="I243" s="287">
        <f>data!BF69</f>
        <v>5175.03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182882.08000000002</v>
      </c>
      <c r="E245" s="287">
        <f>data!BB85</f>
        <v>0</v>
      </c>
      <c r="F245" s="287">
        <f>data!BC85</f>
        <v>0</v>
      </c>
      <c r="G245" s="287">
        <f>data!BD85</f>
        <v>2740318.1199999996</v>
      </c>
      <c r="H245" s="287">
        <f>data!BE85</f>
        <v>2630171.8199999998</v>
      </c>
      <c r="I245" s="287">
        <f>data!BF85</f>
        <v>1376775.82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0</v>
      </c>
      <c r="E252" s="303">
        <f>data!BB90</f>
        <v>0</v>
      </c>
      <c r="F252" s="303">
        <f>data!BC90</f>
        <v>0</v>
      </c>
      <c r="G252" s="303">
        <f>data!BD90</f>
        <v>6011.4</v>
      </c>
      <c r="H252" s="303">
        <f>data!BE90</f>
        <v>59868.470000000008</v>
      </c>
      <c r="I252" s="303">
        <f>data!BF90</f>
        <v>1703.8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Lourdes Medical Center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7.0373836538461534</v>
      </c>
      <c r="E266" s="294">
        <f>data!BI60</f>
        <v>0</v>
      </c>
      <c r="F266" s="294">
        <f>data!BJ60</f>
        <v>5.4813227403846154</v>
      </c>
      <c r="G266" s="294">
        <f>data!BK60</f>
        <v>0</v>
      </c>
      <c r="H266" s="294">
        <f>data!BL60</f>
        <v>3.8305721153846153</v>
      </c>
      <c r="I266" s="294">
        <f>data!BM60</f>
        <v>6.5279520673076927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650043.44000000006</v>
      </c>
      <c r="E267" s="287">
        <f>data!BI61</f>
        <v>124420.18</v>
      </c>
      <c r="F267" s="287">
        <f>data!BJ61</f>
        <v>494341.17</v>
      </c>
      <c r="G267" s="287">
        <f>data!BK61</f>
        <v>0</v>
      </c>
      <c r="H267" s="287">
        <f>data!BL61</f>
        <v>266508.95000000007</v>
      </c>
      <c r="I267" s="287">
        <f>data!BM61</f>
        <v>1876.1800000000003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124727</v>
      </c>
      <c r="E268" s="287">
        <f>data!BI62</f>
        <v>23873</v>
      </c>
      <c r="F268" s="287">
        <f>data!BJ62</f>
        <v>94852</v>
      </c>
      <c r="G268" s="287">
        <f>data!BK62</f>
        <v>0</v>
      </c>
      <c r="H268" s="287">
        <f>data!BL62</f>
        <v>51137</v>
      </c>
      <c r="I268" s="287">
        <f>data!BM62</f>
        <v>360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19986.14</v>
      </c>
      <c r="E270" s="287">
        <f>data!BI64</f>
        <v>667961.03</v>
      </c>
      <c r="F270" s="287">
        <f>data!BJ64</f>
        <v>3041.9900000000002</v>
      </c>
      <c r="G270" s="287">
        <f>data!BK64</f>
        <v>2001.66</v>
      </c>
      <c r="H270" s="287">
        <f>data!BL64</f>
        <v>3141.9399999999996</v>
      </c>
      <c r="I270" s="287">
        <f>data!BM64</f>
        <v>377.03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404721.23</v>
      </c>
      <c r="E271" s="287">
        <f>data!BI65</f>
        <v>31789.179999999993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396990.28</v>
      </c>
      <c r="E272" s="287">
        <f>data!BI66</f>
        <v>173292.64</v>
      </c>
      <c r="F272" s="287">
        <f>data!BJ66</f>
        <v>45669.81</v>
      </c>
      <c r="G272" s="287">
        <f>data!BK66</f>
        <v>11217.119999999997</v>
      </c>
      <c r="H272" s="287">
        <f>data!BL66</f>
        <v>-56317.89</v>
      </c>
      <c r="I272" s="287">
        <f>data!BM66</f>
        <v>2515611.2400000002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29306</v>
      </c>
      <c r="E273" s="287">
        <f>data!BI67</f>
        <v>0</v>
      </c>
      <c r="F273" s="287">
        <f>data!BJ67</f>
        <v>0</v>
      </c>
      <c r="G273" s="287">
        <f>data!BK67</f>
        <v>2049</v>
      </c>
      <c r="H273" s="287">
        <f>data!BL67</f>
        <v>11384</v>
      </c>
      <c r="I273" s="287">
        <f>data!BM67</f>
        <v>18255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123728.99999999997</v>
      </c>
      <c r="E274" s="287">
        <f>data!BI68</f>
        <v>52247.140000000007</v>
      </c>
      <c r="F274" s="287">
        <f>data!BJ68</f>
        <v>42168</v>
      </c>
      <c r="G274" s="287">
        <f>data!BK68</f>
        <v>-6540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371928.88000000006</v>
      </c>
      <c r="E275" s="287">
        <f>data!BI69</f>
        <v>87590.65</v>
      </c>
      <c r="F275" s="287">
        <f>data!BJ69</f>
        <v>-180243.82</v>
      </c>
      <c r="G275" s="287">
        <f>data!BK69</f>
        <v>223407.62</v>
      </c>
      <c r="H275" s="287">
        <f>data!BL69</f>
        <v>498.36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0</v>
      </c>
      <c r="D277" s="287">
        <f>data!BH85</f>
        <v>2121431.9700000002</v>
      </c>
      <c r="E277" s="287">
        <f>data!BI85</f>
        <v>1161173.8199999998</v>
      </c>
      <c r="F277" s="287">
        <f>data!BJ85</f>
        <v>499829.14999999997</v>
      </c>
      <c r="G277" s="287">
        <f>data!BK85</f>
        <v>232135.4</v>
      </c>
      <c r="H277" s="287">
        <f>data!BL85</f>
        <v>276352.36000000004</v>
      </c>
      <c r="I277" s="287">
        <f>data!BM85</f>
        <v>2536479.4500000002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1997.6999999999998</v>
      </c>
      <c r="E284" s="303">
        <f>data!BI90</f>
        <v>0</v>
      </c>
      <c r="F284" s="303">
        <f>data!BJ90</f>
        <v>0</v>
      </c>
      <c r="G284" s="303">
        <f>data!BK90</f>
        <v>139.69999999999999</v>
      </c>
      <c r="H284" s="303">
        <f>data!BL90</f>
        <v>776.00000000000011</v>
      </c>
      <c r="I284" s="303">
        <f>data!BM90</f>
        <v>1244.3999999999999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230872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Lourdes Medical Center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6.5081057692307693</v>
      </c>
      <c r="D298" s="294">
        <f>data!BO60</f>
        <v>0</v>
      </c>
      <c r="E298" s="294">
        <f>data!BP60</f>
        <v>0.76367865384615385</v>
      </c>
      <c r="F298" s="294">
        <f>data!BQ60</f>
        <v>0</v>
      </c>
      <c r="G298" s="294">
        <f>data!BR60</f>
        <v>3.4020884615384612</v>
      </c>
      <c r="H298" s="294">
        <f>data!BS60</f>
        <v>0</v>
      </c>
      <c r="I298" s="294">
        <f>data!BT60</f>
        <v>1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1678428.7500000002</v>
      </c>
      <c r="D299" s="287">
        <f>data!BO61</f>
        <v>0</v>
      </c>
      <c r="E299" s="287">
        <f>data!BP61</f>
        <v>92718.700000000012</v>
      </c>
      <c r="F299" s="287">
        <f>data!BQ61</f>
        <v>0</v>
      </c>
      <c r="G299" s="287">
        <f>data!BR61</f>
        <v>428953.58999999997</v>
      </c>
      <c r="H299" s="287">
        <f>data!BS61</f>
        <v>0</v>
      </c>
      <c r="I299" s="287">
        <f>data!BT61</f>
        <v>58343.44999999999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322049</v>
      </c>
      <c r="D300" s="287">
        <f>data!BO62</f>
        <v>0</v>
      </c>
      <c r="E300" s="287">
        <f>data!BP62</f>
        <v>17790</v>
      </c>
      <c r="F300" s="287">
        <f>data!BQ62</f>
        <v>0</v>
      </c>
      <c r="G300" s="287">
        <f>data!BR62</f>
        <v>82306</v>
      </c>
      <c r="H300" s="287">
        <f>data!BS62</f>
        <v>0</v>
      </c>
      <c r="I300" s="287">
        <f>data!BT62</f>
        <v>11195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-8000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-272410.35999999993</v>
      </c>
      <c r="D302" s="287">
        <f>data!BO64</f>
        <v>0</v>
      </c>
      <c r="E302" s="287">
        <f>data!BP64</f>
        <v>15735.9</v>
      </c>
      <c r="F302" s="287">
        <f>data!BQ64</f>
        <v>0</v>
      </c>
      <c r="G302" s="287">
        <f>data!BR64</f>
        <v>5682.9499999999989</v>
      </c>
      <c r="H302" s="287">
        <f>data!BS64</f>
        <v>0</v>
      </c>
      <c r="I302" s="287">
        <f>data!BT64</f>
        <v>261.55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56345.13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335932.7</v>
      </c>
      <c r="D304" s="287">
        <f>data!BO66</f>
        <v>0</v>
      </c>
      <c r="E304" s="287">
        <f>data!BP66</f>
        <v>-3301.56</v>
      </c>
      <c r="F304" s="287">
        <f>data!BQ66</f>
        <v>0</v>
      </c>
      <c r="G304" s="287">
        <f>data!BR66</f>
        <v>190055.95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38884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16832</v>
      </c>
      <c r="H305" s="287">
        <f>data!BS67</f>
        <v>0</v>
      </c>
      <c r="I305" s="287">
        <f>data!BT67</f>
        <v>8378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-2527.6400000000067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52503.57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4885943.78</v>
      </c>
      <c r="D307" s="287">
        <f>data!BO69</f>
        <v>0</v>
      </c>
      <c r="E307" s="287">
        <f>data!BP69</f>
        <v>63569.35</v>
      </c>
      <c r="F307" s="287">
        <f>data!BQ69</f>
        <v>0</v>
      </c>
      <c r="G307" s="287">
        <f>data!BR69</f>
        <v>-156913.92000000001</v>
      </c>
      <c r="H307" s="287">
        <f>data!BS69</f>
        <v>0</v>
      </c>
      <c r="I307" s="287">
        <f>data!BT69</f>
        <v>-21338.959999999999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7034645.3600000003</v>
      </c>
      <c r="D309" s="287">
        <f>data!BO85</f>
        <v>0</v>
      </c>
      <c r="E309" s="287">
        <f>data!BP85</f>
        <v>186512.39</v>
      </c>
      <c r="F309" s="287">
        <f>data!BQ85</f>
        <v>0</v>
      </c>
      <c r="G309" s="287">
        <f>data!BR85</f>
        <v>619420.1399999999</v>
      </c>
      <c r="H309" s="287">
        <f>data!BS85</f>
        <v>0</v>
      </c>
      <c r="I309" s="287">
        <f>data!BT85</f>
        <v>56839.039999999986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2650.6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1147.4000000000001</v>
      </c>
      <c r="H316" s="303">
        <f>data!BS90</f>
        <v>0</v>
      </c>
      <c r="I316" s="303">
        <f>data!BT90</f>
        <v>571.09999999999991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Lourdes Medical Center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7.2796884134615381</v>
      </c>
      <c r="E330" s="294">
        <f>data!BW60</f>
        <v>1.6303076923076925</v>
      </c>
      <c r="F330" s="294">
        <f>data!BX60</f>
        <v>0</v>
      </c>
      <c r="G330" s="294">
        <f>data!BY60</f>
        <v>4.4102589423076921</v>
      </c>
      <c r="H330" s="294">
        <f>data!BZ60</f>
        <v>0</v>
      </c>
      <c r="I330" s="294">
        <f>data!CA60</f>
        <v>0.27149038461538461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190724.02000000002</v>
      </c>
      <c r="E331" s="306">
        <f>data!BW61</f>
        <v>52166.010000000009</v>
      </c>
      <c r="F331" s="306">
        <f>data!BX61</f>
        <v>0</v>
      </c>
      <c r="G331" s="306">
        <f>data!BY61</f>
        <v>696636.41</v>
      </c>
      <c r="H331" s="306">
        <f>data!BZ61</f>
        <v>0</v>
      </c>
      <c r="I331" s="306">
        <f>data!CA61</f>
        <v>20896.37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36595</v>
      </c>
      <c r="E332" s="306">
        <f>data!BW62</f>
        <v>10009</v>
      </c>
      <c r="F332" s="306">
        <f>data!BX62</f>
        <v>0</v>
      </c>
      <c r="G332" s="306">
        <f>data!BY62</f>
        <v>133667</v>
      </c>
      <c r="H332" s="306">
        <f>data!BZ62</f>
        <v>0</v>
      </c>
      <c r="I332" s="306">
        <f>data!CA62</f>
        <v>4009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771200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5966.57</v>
      </c>
      <c r="E334" s="306">
        <f>data!BW64</f>
        <v>6338.6399999999994</v>
      </c>
      <c r="F334" s="306">
        <f>data!BX64</f>
        <v>0</v>
      </c>
      <c r="G334" s="306">
        <f>data!BY64</f>
        <v>1509.2899999999991</v>
      </c>
      <c r="H334" s="306">
        <f>data!BZ64</f>
        <v>0</v>
      </c>
      <c r="I334" s="306">
        <f>data!CA64</f>
        <v>217.29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377208.05999999994</v>
      </c>
      <c r="E336" s="306">
        <f>data!BW66</f>
        <v>14922.240000000005</v>
      </c>
      <c r="F336" s="306">
        <f>data!BX66</f>
        <v>0</v>
      </c>
      <c r="G336" s="306">
        <f>data!BY66</f>
        <v>29550</v>
      </c>
      <c r="H336" s="306">
        <f>data!BZ66</f>
        <v>0</v>
      </c>
      <c r="I336" s="306">
        <f>data!CA66</f>
        <v>5515.1900000000005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35221</v>
      </c>
      <c r="E337" s="306">
        <f>data!BW67</f>
        <v>0</v>
      </c>
      <c r="F337" s="306">
        <f>data!BX67</f>
        <v>0</v>
      </c>
      <c r="G337" s="306">
        <f>data!BY67</f>
        <v>0</v>
      </c>
      <c r="H337" s="306">
        <f>data!BZ67</f>
        <v>0</v>
      </c>
      <c r="I337" s="306">
        <f>data!CA67</f>
        <v>402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1879.85</v>
      </c>
      <c r="E338" s="306">
        <f>data!BW68</f>
        <v>0</v>
      </c>
      <c r="F338" s="306">
        <f>data!BX68</f>
        <v>0</v>
      </c>
      <c r="G338" s="306">
        <f>data!BY68</f>
        <v>48304.369999999995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-154606.49</v>
      </c>
      <c r="E339" s="306">
        <f>data!BW69</f>
        <v>12690.34</v>
      </c>
      <c r="F339" s="306">
        <f>data!BX69</f>
        <v>0</v>
      </c>
      <c r="G339" s="306">
        <f>data!BY69</f>
        <v>441775.72</v>
      </c>
      <c r="H339" s="306">
        <f>data!BZ69</f>
        <v>0</v>
      </c>
      <c r="I339" s="306">
        <f>data!CA69</f>
        <v>15234.05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492988.00999999989</v>
      </c>
      <c r="E341" s="287">
        <f>data!BW85</f>
        <v>867326.23</v>
      </c>
      <c r="F341" s="287">
        <f>data!BX85</f>
        <v>0</v>
      </c>
      <c r="G341" s="287">
        <f>data!BY85</f>
        <v>1351442.79</v>
      </c>
      <c r="H341" s="287">
        <f>data!BZ85</f>
        <v>0</v>
      </c>
      <c r="I341" s="287">
        <f>data!CA85</f>
        <v>46273.899999999994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2400.94</v>
      </c>
      <c r="E348" s="303">
        <f>data!BW90</f>
        <v>0</v>
      </c>
      <c r="F348" s="303">
        <f>data!BX90</f>
        <v>0</v>
      </c>
      <c r="G348" s="303">
        <f>data!BY90</f>
        <v>0</v>
      </c>
      <c r="H348" s="303">
        <f>data!BZ90</f>
        <v>0</v>
      </c>
      <c r="I348" s="303">
        <f>data!CA90</f>
        <v>27.4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Lourdes Medical Center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0</v>
      </c>
      <c r="E362" s="309"/>
      <c r="F362" s="297"/>
      <c r="G362" s="297"/>
      <c r="H362" s="297"/>
      <c r="I362" s="310">
        <f>data!CE60</f>
        <v>385.38341831730781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0</v>
      </c>
      <c r="E363" s="311"/>
      <c r="F363" s="311"/>
      <c r="G363" s="311"/>
      <c r="H363" s="311"/>
      <c r="I363" s="306">
        <f>data!CE61</f>
        <v>33476574.400000002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0</v>
      </c>
      <c r="E364" s="311"/>
      <c r="F364" s="311"/>
      <c r="G364" s="311"/>
      <c r="H364" s="311"/>
      <c r="I364" s="306">
        <f>data!CE62</f>
        <v>6423331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6946281.8600000003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4145.63</v>
      </c>
      <c r="D366" s="306">
        <f>data!CC64</f>
        <v>0</v>
      </c>
      <c r="E366" s="311"/>
      <c r="F366" s="311"/>
      <c r="G366" s="311"/>
      <c r="H366" s="311"/>
      <c r="I366" s="306">
        <f>data!CE64</f>
        <v>20476080.439999994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1245482.0499999998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0</v>
      </c>
      <c r="E368" s="311"/>
      <c r="F368" s="311"/>
      <c r="G368" s="311"/>
      <c r="H368" s="311"/>
      <c r="I368" s="306">
        <f>data!CE66</f>
        <v>9114624.6199999992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2338877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1815893.31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0</v>
      </c>
      <c r="E371" s="306">
        <f>data!CD69</f>
        <v>0</v>
      </c>
      <c r="F371" s="311"/>
      <c r="G371" s="311"/>
      <c r="H371" s="311"/>
      <c r="I371" s="306">
        <f>data!CE69</f>
        <v>15880729.220000003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0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4145.63</v>
      </c>
      <c r="D373" s="306">
        <f>data!CC85</f>
        <v>0</v>
      </c>
      <c r="E373" s="306">
        <f>data!CD85</f>
        <v>0</v>
      </c>
      <c r="F373" s="311"/>
      <c r="G373" s="311"/>
      <c r="H373" s="311"/>
      <c r="I373" s="287">
        <f>data!CE85</f>
        <v>97717873.900000021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58557209.810000002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233102849.70999992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291660059.51999992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159435.81000000003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0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230872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54.58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B48" transitionEvaluation="1" transitionEntry="1" codeName="Sheet12">
    <tabColor rgb="FF92D050"/>
    <pageSetUpPr autoPageBreaks="0" fitToPage="1"/>
  </sheetPr>
  <dimension ref="A1:CF717"/>
  <sheetViews>
    <sheetView topLeftCell="A43" zoomScaleNormal="100" workbookViewId="0">
      <pane xSplit="1" ySplit="5" topLeftCell="B48" activePane="bottomRight" state="frozen"/>
      <selection activeCell="A43" sqref="A43"/>
      <selection pane="topRight" activeCell="B43" sqref="B43"/>
      <selection pane="bottomLeft" activeCell="A48" sqref="A48"/>
      <selection pane="bottomRight" activeCell="B48" sqref="B48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1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2" t="s">
        <v>18</v>
      </c>
      <c r="B37" s="333"/>
      <c r="C37" s="334"/>
      <c r="D37" s="333"/>
      <c r="E37" s="333"/>
      <c r="F37" s="333"/>
      <c r="G37" s="333"/>
    </row>
    <row r="38" spans="1:83" x14ac:dyDescent="0.35">
      <c r="A38" s="335" t="s">
        <v>1342</v>
      </c>
      <c r="B38" s="336"/>
      <c r="C38" s="334"/>
      <c r="D38" s="333"/>
      <c r="E38" s="333"/>
      <c r="F38" s="333"/>
      <c r="G38" s="333"/>
    </row>
    <row r="39" spans="1:83" x14ac:dyDescent="0.35">
      <c r="A39" s="337" t="s">
        <v>1340</v>
      </c>
      <c r="B39" s="336"/>
      <c r="C39" s="334"/>
      <c r="D39" s="333"/>
      <c r="E39" s="333"/>
      <c r="F39" s="333"/>
      <c r="G39" s="333"/>
    </row>
    <row r="40" spans="1:83" x14ac:dyDescent="0.35">
      <c r="A40" s="338" t="s">
        <v>1343</v>
      </c>
      <c r="B40" s="333"/>
      <c r="C40" s="334"/>
      <c r="D40" s="333"/>
      <c r="E40" s="333"/>
      <c r="F40" s="333"/>
      <c r="G40" s="333"/>
    </row>
    <row r="41" spans="1:83" x14ac:dyDescent="0.35">
      <c r="A41" s="337" t="s">
        <v>1341</v>
      </c>
      <c r="B41" s="333"/>
      <c r="C41" s="334"/>
      <c r="D41" s="333"/>
      <c r="E41" s="333"/>
      <c r="F41" s="333"/>
      <c r="G41" s="333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9488382</v>
      </c>
      <c r="C49" s="270">
        <f>IF($B$49,(ROUND((($B$49/$CE$62)*C62),0)))</f>
        <v>0</v>
      </c>
      <c r="D49" s="270">
        <f t="shared" ref="D49:BO49" si="0">IF($B$49,(ROUND((($B$49/$CE$62)*D62),0)))</f>
        <v>0</v>
      </c>
      <c r="E49" s="270">
        <f t="shared" si="0"/>
        <v>1151946</v>
      </c>
      <c r="F49" s="270">
        <f t="shared" si="0"/>
        <v>0</v>
      </c>
      <c r="G49" s="270">
        <f t="shared" si="0"/>
        <v>399316</v>
      </c>
      <c r="H49" s="270">
        <f t="shared" si="0"/>
        <v>0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364570</v>
      </c>
      <c r="O49" s="270">
        <f t="shared" si="0"/>
        <v>0</v>
      </c>
      <c r="P49" s="270">
        <f t="shared" si="0"/>
        <v>657217</v>
      </c>
      <c r="Q49" s="270">
        <f t="shared" si="0"/>
        <v>234282</v>
      </c>
      <c r="R49" s="270">
        <f t="shared" si="0"/>
        <v>0</v>
      </c>
      <c r="S49" s="270">
        <f t="shared" si="0"/>
        <v>55258</v>
      </c>
      <c r="T49" s="270">
        <f t="shared" si="0"/>
        <v>42838</v>
      </c>
      <c r="U49" s="270">
        <f t="shared" si="0"/>
        <v>0</v>
      </c>
      <c r="V49" s="270">
        <f t="shared" si="0"/>
        <v>0</v>
      </c>
      <c r="W49" s="270">
        <f t="shared" si="0"/>
        <v>71264</v>
      </c>
      <c r="X49" s="270">
        <f t="shared" si="0"/>
        <v>41730</v>
      </c>
      <c r="Y49" s="270">
        <f t="shared" si="0"/>
        <v>547870</v>
      </c>
      <c r="Z49" s="270">
        <f t="shared" si="0"/>
        <v>0</v>
      </c>
      <c r="AA49" s="270">
        <f t="shared" si="0"/>
        <v>56509</v>
      </c>
      <c r="AB49" s="270">
        <f t="shared" si="0"/>
        <v>400722</v>
      </c>
      <c r="AC49" s="270">
        <f t="shared" si="0"/>
        <v>179921</v>
      </c>
      <c r="AD49" s="270">
        <f t="shared" si="0"/>
        <v>0</v>
      </c>
      <c r="AE49" s="270">
        <f t="shared" si="0"/>
        <v>406782</v>
      </c>
      <c r="AF49" s="270">
        <f t="shared" si="0"/>
        <v>0</v>
      </c>
      <c r="AG49" s="270">
        <f t="shared" si="0"/>
        <v>795996</v>
      </c>
      <c r="AH49" s="270">
        <f t="shared" si="0"/>
        <v>0</v>
      </c>
      <c r="AI49" s="270">
        <f t="shared" si="0"/>
        <v>293319</v>
      </c>
      <c r="AJ49" s="270">
        <f t="shared" si="0"/>
        <v>30642</v>
      </c>
      <c r="AK49" s="270">
        <f t="shared" si="0"/>
        <v>166973</v>
      </c>
      <c r="AL49" s="270">
        <f t="shared" si="0"/>
        <v>119605</v>
      </c>
      <c r="AM49" s="270">
        <f t="shared" si="0"/>
        <v>12563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891562</v>
      </c>
      <c r="AW49" s="270">
        <f t="shared" si="0"/>
        <v>0</v>
      </c>
      <c r="AX49" s="270">
        <f t="shared" si="0"/>
        <v>0</v>
      </c>
      <c r="AY49" s="270">
        <f t="shared" si="0"/>
        <v>0</v>
      </c>
      <c r="AZ49" s="270">
        <f t="shared" si="0"/>
        <v>0</v>
      </c>
      <c r="BA49" s="270">
        <f t="shared" si="0"/>
        <v>0</v>
      </c>
      <c r="BB49" s="270">
        <f t="shared" si="0"/>
        <v>0</v>
      </c>
      <c r="BC49" s="270">
        <f t="shared" si="0"/>
        <v>0</v>
      </c>
      <c r="BD49" s="270">
        <f t="shared" si="0"/>
        <v>90116</v>
      </c>
      <c r="BE49" s="270">
        <f t="shared" si="0"/>
        <v>183514</v>
      </c>
      <c r="BF49" s="270">
        <f t="shared" si="0"/>
        <v>0</v>
      </c>
      <c r="BG49" s="270">
        <f t="shared" si="0"/>
        <v>0</v>
      </c>
      <c r="BH49" s="270">
        <f t="shared" si="0"/>
        <v>0</v>
      </c>
      <c r="BI49" s="270">
        <f t="shared" si="0"/>
        <v>0</v>
      </c>
      <c r="BJ49" s="270">
        <f t="shared" si="0"/>
        <v>180833</v>
      </c>
      <c r="BK49" s="270">
        <f t="shared" si="0"/>
        <v>460488</v>
      </c>
      <c r="BL49" s="270">
        <f t="shared" si="0"/>
        <v>285458</v>
      </c>
      <c r="BM49" s="270">
        <f t="shared" si="0"/>
        <v>0</v>
      </c>
      <c r="BN49" s="270">
        <f t="shared" si="0"/>
        <v>704477</v>
      </c>
      <c r="BO49" s="270">
        <f t="shared" si="0"/>
        <v>0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0</v>
      </c>
      <c r="BS49" s="270">
        <f t="shared" si="1"/>
        <v>0</v>
      </c>
      <c r="BT49" s="270">
        <f t="shared" si="1"/>
        <v>0</v>
      </c>
      <c r="BU49" s="270">
        <f t="shared" si="1"/>
        <v>0</v>
      </c>
      <c r="BV49" s="270">
        <f t="shared" si="1"/>
        <v>344465</v>
      </c>
      <c r="BW49" s="270">
        <f t="shared" si="1"/>
        <v>33219</v>
      </c>
      <c r="BX49" s="270">
        <f t="shared" si="1"/>
        <v>0</v>
      </c>
      <c r="BY49" s="270">
        <f t="shared" si="1"/>
        <v>233000</v>
      </c>
      <c r="BZ49" s="270">
        <f t="shared" si="1"/>
        <v>0</v>
      </c>
      <c r="CA49" s="270">
        <f t="shared" si="1"/>
        <v>0</v>
      </c>
      <c r="CB49" s="270">
        <f t="shared" si="1"/>
        <v>0</v>
      </c>
      <c r="CC49" s="270">
        <f t="shared" si="1"/>
        <v>51926</v>
      </c>
      <c r="CD49" s="270">
        <f t="shared" si="1"/>
        <v>0</v>
      </c>
      <c r="CE49" s="32">
        <f>SUM(C49:CD49)</f>
        <v>9488381</v>
      </c>
    </row>
    <row r="50" spans="1:83" x14ac:dyDescent="0.35">
      <c r="A50" s="20" t="s">
        <v>218</v>
      </c>
      <c r="B50" s="270">
        <f>B48+B49</f>
        <v>9488382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>
        <v>32271</v>
      </c>
      <c r="F52" s="213"/>
      <c r="G52" s="213">
        <v>5187</v>
      </c>
      <c r="H52" s="213"/>
      <c r="I52" s="213"/>
      <c r="J52" s="213"/>
      <c r="K52" s="213"/>
      <c r="L52" s="213"/>
      <c r="M52" s="213"/>
      <c r="N52" s="213">
        <v>606</v>
      </c>
      <c r="O52" s="213"/>
      <c r="P52" s="213">
        <v>712308</v>
      </c>
      <c r="Q52" s="213">
        <v>935</v>
      </c>
      <c r="R52" s="213">
        <v>6160</v>
      </c>
      <c r="S52" s="213"/>
      <c r="T52" s="213"/>
      <c r="U52" s="213">
        <v>2513</v>
      </c>
      <c r="V52" s="213"/>
      <c r="W52" s="213">
        <v>84040</v>
      </c>
      <c r="X52" s="213"/>
      <c r="Y52" s="213">
        <v>258429</v>
      </c>
      <c r="Z52" s="213"/>
      <c r="AA52" s="213">
        <v>3505</v>
      </c>
      <c r="AB52" s="213">
        <v>65044</v>
      </c>
      <c r="AC52" s="213">
        <v>13677</v>
      </c>
      <c r="AD52" s="213"/>
      <c r="AE52" s="213">
        <v>655</v>
      </c>
      <c r="AF52" s="213"/>
      <c r="AG52" s="213">
        <v>126232</v>
      </c>
      <c r="AH52" s="213"/>
      <c r="AI52" s="213">
        <v>211351</v>
      </c>
      <c r="AJ52" s="213">
        <v>2902</v>
      </c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>
        <v>9118</v>
      </c>
      <c r="AW52" s="213"/>
      <c r="AX52" s="213"/>
      <c r="AY52" s="213">
        <v>23311</v>
      </c>
      <c r="AZ52" s="213"/>
      <c r="BA52" s="213"/>
      <c r="BB52" s="213"/>
      <c r="BC52" s="213"/>
      <c r="BD52" s="213">
        <v>3363</v>
      </c>
      <c r="BE52" s="213">
        <v>441443</v>
      </c>
      <c r="BF52" s="213">
        <v>2695</v>
      </c>
      <c r="BG52" s="213"/>
      <c r="BH52" s="213">
        <v>139489</v>
      </c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>
        <v>5961</v>
      </c>
      <c r="CD52" s="20"/>
      <c r="CE52" s="32">
        <f>SUM(C52:CD52)</f>
        <v>2151195</v>
      </c>
    </row>
    <row r="53" spans="1:83" x14ac:dyDescent="0.35">
      <c r="A53" s="39" t="s">
        <v>220</v>
      </c>
      <c r="B53" s="271"/>
      <c r="C53" s="270" t="b">
        <f>IF($B$53,ROUND(($B$53/($CE$91+$CF$91)*C91),0))</f>
        <v>0</v>
      </c>
      <c r="D53" s="270" t="b">
        <f t="shared" ref="D53:BO53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t="shared" ref="BP53:CD53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 spans="1:83" x14ac:dyDescent="0.35">
      <c r="A54" s="20" t="s">
        <v>218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/>
      <c r="D60" s="213"/>
      <c r="E60" s="213">
        <v>4679</v>
      </c>
      <c r="F60" s="213"/>
      <c r="G60" s="213">
        <v>2433</v>
      </c>
      <c r="H60" s="213"/>
      <c r="I60" s="213"/>
      <c r="J60" s="213"/>
      <c r="K60" s="213"/>
      <c r="L60" s="213"/>
      <c r="M60" s="213"/>
      <c r="N60" s="213">
        <v>1845</v>
      </c>
      <c r="O60" s="213"/>
      <c r="P60" s="214">
        <v>342239</v>
      </c>
      <c r="Q60" s="214">
        <v>167660</v>
      </c>
      <c r="R60" s="214">
        <v>342239</v>
      </c>
      <c r="S60" s="263"/>
      <c r="T60" s="263"/>
      <c r="U60" s="227">
        <v>101883</v>
      </c>
      <c r="V60" s="214"/>
      <c r="W60" s="214">
        <v>34828</v>
      </c>
      <c r="X60" s="214">
        <v>70712</v>
      </c>
      <c r="Y60" s="214">
        <v>32473</v>
      </c>
      <c r="Z60" s="214"/>
      <c r="AA60" s="214">
        <v>10099</v>
      </c>
      <c r="AB60" s="263"/>
      <c r="AC60" s="214"/>
      <c r="AD60" s="214"/>
      <c r="AE60" s="214">
        <v>30129</v>
      </c>
      <c r="AF60" s="214"/>
      <c r="AG60" s="214">
        <v>22114</v>
      </c>
      <c r="AH60" s="214"/>
      <c r="AI60" s="214">
        <v>6594</v>
      </c>
      <c r="AJ60" s="214">
        <v>7683</v>
      </c>
      <c r="AK60" s="214">
        <v>8675</v>
      </c>
      <c r="AL60" s="214">
        <v>3664</v>
      </c>
      <c r="AM60" s="214"/>
      <c r="AN60" s="214"/>
      <c r="AO60" s="214"/>
      <c r="AP60" s="214">
        <v>83310</v>
      </c>
      <c r="AQ60" s="214"/>
      <c r="AR60" s="214"/>
      <c r="AS60" s="214"/>
      <c r="AT60" s="214"/>
      <c r="AU60" s="214"/>
      <c r="AV60" s="263"/>
      <c r="AW60" s="263"/>
      <c r="AX60" s="263"/>
      <c r="AY60" s="214">
        <v>34133</v>
      </c>
      <c r="AZ60" s="214"/>
      <c r="BA60" s="263"/>
      <c r="BB60" s="263"/>
      <c r="BC60" s="263"/>
      <c r="BD60" s="263"/>
      <c r="BE60" s="214">
        <v>159228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/>
      <c r="D61" s="243"/>
      <c r="E61" s="243">
        <v>60.17</v>
      </c>
      <c r="F61" s="243"/>
      <c r="G61" s="243">
        <v>20.72</v>
      </c>
      <c r="H61" s="243"/>
      <c r="I61" s="243"/>
      <c r="J61" s="243"/>
      <c r="K61" s="243"/>
      <c r="L61" s="243"/>
      <c r="M61" s="243"/>
      <c r="N61" s="243">
        <v>18.45</v>
      </c>
      <c r="O61" s="243"/>
      <c r="P61" s="244">
        <v>562.92999999999995</v>
      </c>
      <c r="Q61" s="244">
        <v>174.19</v>
      </c>
      <c r="R61" s="244">
        <v>355.16</v>
      </c>
      <c r="S61" s="245">
        <v>4.68</v>
      </c>
      <c r="T61" s="245">
        <v>1.74</v>
      </c>
      <c r="U61" s="246">
        <v>214.87</v>
      </c>
      <c r="V61" s="244"/>
      <c r="W61" s="244">
        <v>20.7</v>
      </c>
      <c r="X61" s="244">
        <v>54.26</v>
      </c>
      <c r="Y61" s="244">
        <v>110.32</v>
      </c>
      <c r="Z61" s="244"/>
      <c r="AA61" s="244">
        <v>9.43</v>
      </c>
      <c r="AB61" s="245">
        <v>358.5</v>
      </c>
      <c r="AC61" s="244">
        <v>196.86</v>
      </c>
      <c r="AD61" s="244"/>
      <c r="AE61" s="244">
        <v>61.62</v>
      </c>
      <c r="AF61" s="244"/>
      <c r="AG61" s="244">
        <v>58.33</v>
      </c>
      <c r="AH61" s="244"/>
      <c r="AI61" s="244">
        <v>355.65</v>
      </c>
      <c r="AJ61" s="244">
        <v>3.53</v>
      </c>
      <c r="AK61" s="244">
        <v>28.66</v>
      </c>
      <c r="AL61" s="244">
        <v>10.95</v>
      </c>
      <c r="AM61" s="244">
        <v>0.91</v>
      </c>
      <c r="AN61" s="244"/>
      <c r="AO61" s="244"/>
      <c r="AP61" s="244">
        <v>6.37</v>
      </c>
      <c r="AQ61" s="244"/>
      <c r="AR61" s="244"/>
      <c r="AS61" s="244"/>
      <c r="AT61" s="244"/>
      <c r="AU61" s="244"/>
      <c r="AV61" s="245">
        <v>64.34</v>
      </c>
      <c r="AW61" s="245"/>
      <c r="AX61" s="245"/>
      <c r="AY61" s="244">
        <v>81.94</v>
      </c>
      <c r="AZ61" s="244"/>
      <c r="BA61" s="245">
        <v>179.64</v>
      </c>
      <c r="BB61" s="245"/>
      <c r="BC61" s="245"/>
      <c r="BD61" s="245">
        <v>6.68</v>
      </c>
      <c r="BE61" s="244">
        <v>135.80000000000001</v>
      </c>
      <c r="BF61" s="245">
        <v>78.73</v>
      </c>
      <c r="BG61" s="245"/>
      <c r="BH61" s="245">
        <v>0.18</v>
      </c>
      <c r="BI61" s="245"/>
      <c r="BJ61" s="245">
        <v>6.3</v>
      </c>
      <c r="BK61" s="245">
        <v>30.93</v>
      </c>
      <c r="BL61" s="245">
        <v>20</v>
      </c>
      <c r="BM61" s="245">
        <v>0.18</v>
      </c>
      <c r="BN61" s="245">
        <v>9.49</v>
      </c>
      <c r="BO61" s="245"/>
      <c r="BP61" s="245"/>
      <c r="BQ61" s="245"/>
      <c r="BR61" s="245"/>
      <c r="BS61" s="245"/>
      <c r="BT61" s="245"/>
      <c r="BU61" s="245"/>
      <c r="BV61" s="245">
        <v>44.33</v>
      </c>
      <c r="BW61" s="245">
        <v>2.06</v>
      </c>
      <c r="BX61" s="245"/>
      <c r="BY61" s="245">
        <v>6.79</v>
      </c>
      <c r="BZ61" s="245"/>
      <c r="CA61" s="245"/>
      <c r="CB61" s="245"/>
      <c r="CC61" s="245">
        <v>0.18</v>
      </c>
      <c r="CD61" s="247" t="s">
        <v>233</v>
      </c>
      <c r="CE61" s="267">
        <f t="shared" ref="CE61:CE69" si="4">SUM(C61:CD61)</f>
        <v>3356.5699999999993</v>
      </c>
    </row>
    <row r="62" spans="1:83" x14ac:dyDescent="0.35">
      <c r="A62" s="39" t="s">
        <v>248</v>
      </c>
      <c r="B62" s="20"/>
      <c r="C62" s="213"/>
      <c r="D62" s="213"/>
      <c r="E62" s="213">
        <v>3462034</v>
      </c>
      <c r="F62" s="213"/>
      <c r="G62" s="213">
        <v>1200096</v>
      </c>
      <c r="H62" s="213"/>
      <c r="I62" s="213"/>
      <c r="J62" s="213"/>
      <c r="K62" s="213"/>
      <c r="L62" s="213"/>
      <c r="M62" s="213"/>
      <c r="N62" s="213">
        <v>1095671</v>
      </c>
      <c r="O62" s="213"/>
      <c r="P62" s="214">
        <v>1975186</v>
      </c>
      <c r="Q62" s="214">
        <v>704106</v>
      </c>
      <c r="R62" s="214"/>
      <c r="S62" s="228">
        <v>166070</v>
      </c>
      <c r="T62" s="228">
        <v>128743</v>
      </c>
      <c r="U62" s="227"/>
      <c r="V62" s="214"/>
      <c r="W62" s="214">
        <v>214176</v>
      </c>
      <c r="X62" s="214">
        <v>125414</v>
      </c>
      <c r="Y62" s="214">
        <v>1646557</v>
      </c>
      <c r="Z62" s="214"/>
      <c r="AA62" s="214">
        <v>169831</v>
      </c>
      <c r="AB62" s="240">
        <v>1204323</v>
      </c>
      <c r="AC62" s="214">
        <v>540730</v>
      </c>
      <c r="AD62" s="214"/>
      <c r="AE62" s="214">
        <v>1222535</v>
      </c>
      <c r="AF62" s="214"/>
      <c r="AG62" s="214">
        <v>2392269</v>
      </c>
      <c r="AH62" s="214"/>
      <c r="AI62" s="214">
        <v>881536</v>
      </c>
      <c r="AJ62" s="214">
        <v>92090</v>
      </c>
      <c r="AK62" s="214">
        <v>501818</v>
      </c>
      <c r="AL62" s="214">
        <v>359459</v>
      </c>
      <c r="AM62" s="214">
        <v>37758</v>
      </c>
      <c r="AN62" s="214"/>
      <c r="AO62" s="214"/>
      <c r="AP62" s="214"/>
      <c r="AQ62" s="214"/>
      <c r="AR62" s="214"/>
      <c r="AS62" s="214"/>
      <c r="AT62" s="214"/>
      <c r="AU62" s="214"/>
      <c r="AV62" s="228">
        <v>2679483</v>
      </c>
      <c r="AW62" s="228"/>
      <c r="AX62" s="228"/>
      <c r="AY62" s="214"/>
      <c r="AZ62" s="214"/>
      <c r="BA62" s="228"/>
      <c r="BB62" s="228"/>
      <c r="BC62" s="228"/>
      <c r="BD62" s="228">
        <v>270832</v>
      </c>
      <c r="BE62" s="214">
        <v>551530</v>
      </c>
      <c r="BF62" s="228"/>
      <c r="BG62" s="228"/>
      <c r="BH62" s="228"/>
      <c r="BI62" s="228"/>
      <c r="BJ62" s="228">
        <v>543472</v>
      </c>
      <c r="BK62" s="228">
        <v>1383940</v>
      </c>
      <c r="BL62" s="228">
        <v>857911</v>
      </c>
      <c r="BM62" s="228"/>
      <c r="BN62" s="228">
        <v>2117222</v>
      </c>
      <c r="BO62" s="228"/>
      <c r="BP62" s="228"/>
      <c r="BQ62" s="228"/>
      <c r="BR62" s="228"/>
      <c r="BS62" s="228"/>
      <c r="BT62" s="228"/>
      <c r="BU62" s="228"/>
      <c r="BV62" s="228">
        <v>1035249</v>
      </c>
      <c r="BW62" s="228">
        <v>99835</v>
      </c>
      <c r="BX62" s="228"/>
      <c r="BY62" s="228">
        <v>700254</v>
      </c>
      <c r="BZ62" s="228"/>
      <c r="CA62" s="228"/>
      <c r="CB62" s="228"/>
      <c r="CC62" s="228">
        <v>156058</v>
      </c>
      <c r="CD62" s="29" t="s">
        <v>233</v>
      </c>
      <c r="CE62" s="32">
        <f t="shared" si="4"/>
        <v>28516188</v>
      </c>
    </row>
    <row r="63" spans="1:83" x14ac:dyDescent="0.35">
      <c r="A63" s="39" t="s">
        <v>9</v>
      </c>
      <c r="B63" s="20"/>
      <c r="C63" s="269">
        <f>ROUND(C48+C49,0)</f>
        <v>0</v>
      </c>
      <c r="D63" s="269">
        <f t="shared" ref="D63:BO63" si="5">ROUND(D48+D49,0)</f>
        <v>0</v>
      </c>
      <c r="E63" s="269">
        <f t="shared" si="5"/>
        <v>1151946</v>
      </c>
      <c r="F63" s="269">
        <f t="shared" si="5"/>
        <v>0</v>
      </c>
      <c r="G63" s="269">
        <f t="shared" si="5"/>
        <v>399316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364570</v>
      </c>
      <c r="O63" s="269">
        <f t="shared" si="5"/>
        <v>0</v>
      </c>
      <c r="P63" s="269">
        <f t="shared" si="5"/>
        <v>657217</v>
      </c>
      <c r="Q63" s="269">
        <f t="shared" si="5"/>
        <v>234282</v>
      </c>
      <c r="R63" s="269">
        <f t="shared" si="5"/>
        <v>0</v>
      </c>
      <c r="S63" s="269">
        <f t="shared" si="5"/>
        <v>55258</v>
      </c>
      <c r="T63" s="269">
        <f t="shared" si="5"/>
        <v>42838</v>
      </c>
      <c r="U63" s="269">
        <f t="shared" si="5"/>
        <v>0</v>
      </c>
      <c r="V63" s="269">
        <f t="shared" si="5"/>
        <v>0</v>
      </c>
      <c r="W63" s="269">
        <f t="shared" si="5"/>
        <v>71264</v>
      </c>
      <c r="X63" s="269">
        <f t="shared" si="5"/>
        <v>41730</v>
      </c>
      <c r="Y63" s="269">
        <f t="shared" si="5"/>
        <v>547870</v>
      </c>
      <c r="Z63" s="269">
        <f t="shared" si="5"/>
        <v>0</v>
      </c>
      <c r="AA63" s="269">
        <f t="shared" si="5"/>
        <v>56509</v>
      </c>
      <c r="AB63" s="269">
        <f t="shared" si="5"/>
        <v>400722</v>
      </c>
      <c r="AC63" s="269">
        <f t="shared" si="5"/>
        <v>179921</v>
      </c>
      <c r="AD63" s="269">
        <f t="shared" si="5"/>
        <v>0</v>
      </c>
      <c r="AE63" s="269">
        <f t="shared" si="5"/>
        <v>406782</v>
      </c>
      <c r="AF63" s="269">
        <f t="shared" si="5"/>
        <v>0</v>
      </c>
      <c r="AG63" s="269">
        <f t="shared" si="5"/>
        <v>795996</v>
      </c>
      <c r="AH63" s="269">
        <f t="shared" si="5"/>
        <v>0</v>
      </c>
      <c r="AI63" s="269">
        <f t="shared" si="5"/>
        <v>293319</v>
      </c>
      <c r="AJ63" s="269">
        <f t="shared" si="5"/>
        <v>30642</v>
      </c>
      <c r="AK63" s="269">
        <f t="shared" si="5"/>
        <v>166973</v>
      </c>
      <c r="AL63" s="269">
        <f t="shared" si="5"/>
        <v>119605</v>
      </c>
      <c r="AM63" s="269">
        <f t="shared" si="5"/>
        <v>12563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891562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90116</v>
      </c>
      <c r="BE63" s="269">
        <f t="shared" si="5"/>
        <v>183514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180833</v>
      </c>
      <c r="BK63" s="269">
        <f t="shared" si="5"/>
        <v>460488</v>
      </c>
      <c r="BL63" s="269">
        <f t="shared" si="5"/>
        <v>285458</v>
      </c>
      <c r="BM63" s="269">
        <f t="shared" si="5"/>
        <v>0</v>
      </c>
      <c r="BN63" s="269">
        <f t="shared" si="5"/>
        <v>704477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344465</v>
      </c>
      <c r="BW63" s="269">
        <f t="shared" si="6"/>
        <v>33219</v>
      </c>
      <c r="BX63" s="269">
        <f t="shared" si="6"/>
        <v>0</v>
      </c>
      <c r="BY63" s="269">
        <f t="shared" si="6"/>
        <v>233000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51926</v>
      </c>
      <c r="CD63" s="29" t="s">
        <v>233</v>
      </c>
      <c r="CE63" s="32">
        <f t="shared" si="4"/>
        <v>9488381</v>
      </c>
    </row>
    <row r="64" spans="1:83" x14ac:dyDescent="0.35">
      <c r="A64" s="39" t="s">
        <v>249</v>
      </c>
      <c r="B64" s="20"/>
      <c r="C64" s="213"/>
      <c r="D64" s="213"/>
      <c r="E64" s="213"/>
      <c r="F64" s="213"/>
      <c r="G64" s="213">
        <v>82341</v>
      </c>
      <c r="H64" s="213"/>
      <c r="I64" s="213"/>
      <c r="J64" s="213"/>
      <c r="K64" s="213"/>
      <c r="L64" s="213"/>
      <c r="M64" s="213"/>
      <c r="N64" s="213"/>
      <c r="O64" s="213"/>
      <c r="P64" s="214">
        <v>3138</v>
      </c>
      <c r="Q64" s="214"/>
      <c r="R64" s="214">
        <v>1826572</v>
      </c>
      <c r="S64" s="228"/>
      <c r="T64" s="228"/>
      <c r="U64" s="227">
        <v>128916</v>
      </c>
      <c r="V64" s="214"/>
      <c r="W64" s="214"/>
      <c r="X64" s="214"/>
      <c r="Y64" s="214">
        <v>69039</v>
      </c>
      <c r="Z64" s="214"/>
      <c r="AA64" s="214">
        <v>18075</v>
      </c>
      <c r="AB64" s="240">
        <v>1414</v>
      </c>
      <c r="AC64" s="214">
        <v>39990</v>
      </c>
      <c r="AD64" s="214"/>
      <c r="AE64" s="214">
        <v>2436</v>
      </c>
      <c r="AF64" s="214"/>
      <c r="AG64" s="214">
        <v>3261010</v>
      </c>
      <c r="AH64" s="214"/>
      <c r="AI64" s="214"/>
      <c r="AJ64" s="214">
        <v>787840</v>
      </c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>
        <v>161767</v>
      </c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>
        <v>38013</v>
      </c>
      <c r="BI64" s="228"/>
      <c r="BJ64" s="228">
        <v>183554</v>
      </c>
      <c r="BK64" s="228">
        <v>91716</v>
      </c>
      <c r="BL64" s="228"/>
      <c r="BM64" s="228"/>
      <c r="BN64" s="228">
        <v>120524</v>
      </c>
      <c r="BO64" s="228"/>
      <c r="BP64" s="228"/>
      <c r="BQ64" s="228"/>
      <c r="BR64" s="228"/>
      <c r="BS64" s="228"/>
      <c r="BT64" s="228"/>
      <c r="BU64" s="228"/>
      <c r="BV64" s="228">
        <v>330</v>
      </c>
      <c r="BW64" s="228">
        <v>17878</v>
      </c>
      <c r="BX64" s="228"/>
      <c r="BY64" s="228">
        <v>793</v>
      </c>
      <c r="BZ64" s="228"/>
      <c r="CA64" s="228"/>
      <c r="CB64" s="228"/>
      <c r="CC64" s="228">
        <v>146230</v>
      </c>
      <c r="CD64" s="29" t="s">
        <v>233</v>
      </c>
      <c r="CE64" s="32">
        <f t="shared" si="4"/>
        <v>6981576</v>
      </c>
    </row>
    <row r="65" spans="1:83" x14ac:dyDescent="0.35">
      <c r="A65" s="39" t="s">
        <v>250</v>
      </c>
      <c r="B65" s="20"/>
      <c r="C65" s="213"/>
      <c r="D65" s="213"/>
      <c r="E65" s="213">
        <v>276524</v>
      </c>
      <c r="F65" s="213"/>
      <c r="G65" s="213">
        <v>45481</v>
      </c>
      <c r="H65" s="213"/>
      <c r="I65" s="213"/>
      <c r="J65" s="213"/>
      <c r="K65" s="213"/>
      <c r="L65" s="213"/>
      <c r="M65" s="213"/>
      <c r="N65" s="213">
        <v>107248</v>
      </c>
      <c r="O65" s="213"/>
      <c r="P65" s="214">
        <v>12276417</v>
      </c>
      <c r="Q65" s="214">
        <v>13552</v>
      </c>
      <c r="R65" s="214">
        <v>667762</v>
      </c>
      <c r="S65" s="228">
        <v>196548</v>
      </c>
      <c r="T65" s="228">
        <v>968</v>
      </c>
      <c r="U65" s="227">
        <v>523919</v>
      </c>
      <c r="V65" s="214"/>
      <c r="W65" s="214">
        <v>9227</v>
      </c>
      <c r="X65" s="214">
        <v>56096</v>
      </c>
      <c r="Y65" s="214">
        <v>108420</v>
      </c>
      <c r="Z65" s="214"/>
      <c r="AA65" s="214">
        <v>186630</v>
      </c>
      <c r="AB65" s="240">
        <v>1634641</v>
      </c>
      <c r="AC65" s="214">
        <v>31682</v>
      </c>
      <c r="AD65" s="214"/>
      <c r="AE65" s="214">
        <v>50010</v>
      </c>
      <c r="AF65" s="214"/>
      <c r="AG65" s="214">
        <v>242799</v>
      </c>
      <c r="AH65" s="214"/>
      <c r="AI65" s="214">
        <v>396614</v>
      </c>
      <c r="AJ65" s="214">
        <v>18397</v>
      </c>
      <c r="AK65" s="214">
        <v>12029</v>
      </c>
      <c r="AL65" s="214">
        <v>2733</v>
      </c>
      <c r="AM65" s="214">
        <v>311</v>
      </c>
      <c r="AN65" s="214"/>
      <c r="AO65" s="214"/>
      <c r="AP65" s="214"/>
      <c r="AQ65" s="214"/>
      <c r="AR65" s="214"/>
      <c r="AS65" s="214"/>
      <c r="AT65" s="214"/>
      <c r="AU65" s="214"/>
      <c r="AV65" s="228">
        <v>86014</v>
      </c>
      <c r="AW65" s="228"/>
      <c r="AX65" s="228">
        <v>3201</v>
      </c>
      <c r="AY65" s="214">
        <v>2819</v>
      </c>
      <c r="AZ65" s="214"/>
      <c r="BA65" s="228">
        <v>32998</v>
      </c>
      <c r="BB65" s="228"/>
      <c r="BC65" s="228"/>
      <c r="BD65" s="228">
        <v>103838</v>
      </c>
      <c r="BE65" s="214">
        <v>59740</v>
      </c>
      <c r="BF65" s="228">
        <v>16404</v>
      </c>
      <c r="BG65" s="228"/>
      <c r="BH65" s="228">
        <v>31647</v>
      </c>
      <c r="BI65" s="228"/>
      <c r="BJ65" s="228">
        <v>-2637</v>
      </c>
      <c r="BK65" s="228">
        <v>45974</v>
      </c>
      <c r="BL65" s="228">
        <v>17583</v>
      </c>
      <c r="BM65" s="228">
        <v>855</v>
      </c>
      <c r="BN65" s="228">
        <v>18853</v>
      </c>
      <c r="BO65" s="228"/>
      <c r="BP65" s="228"/>
      <c r="BQ65" s="228"/>
      <c r="BR65" s="228"/>
      <c r="BS65" s="228"/>
      <c r="BT65" s="228"/>
      <c r="BU65" s="228"/>
      <c r="BV65" s="228">
        <v>11508</v>
      </c>
      <c r="BW65" s="228">
        <v>5836</v>
      </c>
      <c r="BX65" s="228"/>
      <c r="BY65" s="228">
        <v>4895</v>
      </c>
      <c r="BZ65" s="228"/>
      <c r="CA65" s="228"/>
      <c r="CB65" s="228"/>
      <c r="CC65" s="228">
        <v>171477</v>
      </c>
      <c r="CD65" s="29" t="s">
        <v>233</v>
      </c>
      <c r="CE65" s="32">
        <f t="shared" si="4"/>
        <v>17469013</v>
      </c>
    </row>
    <row r="66" spans="1:83" x14ac:dyDescent="0.35">
      <c r="A66" s="39" t="s">
        <v>251</v>
      </c>
      <c r="B66" s="20"/>
      <c r="C66" s="213"/>
      <c r="D66" s="213"/>
      <c r="E66" s="213">
        <v>170</v>
      </c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>
        <v>270</v>
      </c>
      <c r="Q66" s="214"/>
      <c r="R66" s="214">
        <v>86</v>
      </c>
      <c r="S66" s="228"/>
      <c r="T66" s="228"/>
      <c r="U66" s="227">
        <v>6656</v>
      </c>
      <c r="V66" s="214"/>
      <c r="W66" s="214"/>
      <c r="X66" s="214"/>
      <c r="Y66" s="214">
        <v>11346</v>
      </c>
      <c r="Z66" s="214"/>
      <c r="AA66" s="214"/>
      <c r="AB66" s="240">
        <v>37351</v>
      </c>
      <c r="AC66" s="214"/>
      <c r="AD66" s="214"/>
      <c r="AE66" s="214">
        <v>4686</v>
      </c>
      <c r="AF66" s="214"/>
      <c r="AG66" s="214"/>
      <c r="AH66" s="214"/>
      <c r="AI66" s="214"/>
      <c r="AJ66" s="214">
        <v>6868</v>
      </c>
      <c r="AK66" s="214">
        <v>2827</v>
      </c>
      <c r="AL66" s="214">
        <v>1020</v>
      </c>
      <c r="AM66" s="214"/>
      <c r="AN66" s="214"/>
      <c r="AO66" s="214"/>
      <c r="AP66" s="214"/>
      <c r="AQ66" s="214"/>
      <c r="AR66" s="214"/>
      <c r="AS66" s="214"/>
      <c r="AT66" s="214"/>
      <c r="AU66" s="214"/>
      <c r="AV66" s="228">
        <v>10306</v>
      </c>
      <c r="AW66" s="228"/>
      <c r="AX66" s="228"/>
      <c r="AY66" s="214">
        <v>9709</v>
      </c>
      <c r="AZ66" s="214"/>
      <c r="BA66" s="228"/>
      <c r="BB66" s="228"/>
      <c r="BC66" s="228"/>
      <c r="BD66" s="228"/>
      <c r="BE66" s="214">
        <v>657049</v>
      </c>
      <c r="BF66" s="228">
        <v>54025</v>
      </c>
      <c r="BG66" s="228"/>
      <c r="BH66" s="228">
        <v>418207</v>
      </c>
      <c r="BI66" s="228"/>
      <c r="BJ66" s="228">
        <v>3896</v>
      </c>
      <c r="BK66" s="228">
        <v>2844</v>
      </c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>
        <v>936</v>
      </c>
      <c r="BZ66" s="228"/>
      <c r="CA66" s="228"/>
      <c r="CB66" s="228"/>
      <c r="CC66" s="228">
        <v>10436</v>
      </c>
      <c r="CD66" s="29" t="s">
        <v>233</v>
      </c>
      <c r="CE66" s="32">
        <f t="shared" si="4"/>
        <v>1238688</v>
      </c>
    </row>
    <row r="67" spans="1:83" x14ac:dyDescent="0.35">
      <c r="A67" s="39" t="s">
        <v>252</v>
      </c>
      <c r="B67" s="20"/>
      <c r="C67" s="213"/>
      <c r="D67" s="213"/>
      <c r="E67" s="213">
        <v>127538</v>
      </c>
      <c r="F67" s="213"/>
      <c r="G67" s="213">
        <v>44508</v>
      </c>
      <c r="H67" s="213"/>
      <c r="I67" s="213"/>
      <c r="J67" s="213"/>
      <c r="K67" s="213"/>
      <c r="L67" s="213"/>
      <c r="M67" s="213"/>
      <c r="N67" s="213">
        <v>1401</v>
      </c>
      <c r="O67" s="213"/>
      <c r="P67" s="214">
        <v>242728</v>
      </c>
      <c r="Q67" s="214"/>
      <c r="R67" s="214"/>
      <c r="S67" s="228"/>
      <c r="T67" s="228"/>
      <c r="U67" s="227">
        <v>1674067</v>
      </c>
      <c r="V67" s="214"/>
      <c r="W67" s="214"/>
      <c r="X67" s="214">
        <v>3928</v>
      </c>
      <c r="Y67" s="214">
        <v>127799</v>
      </c>
      <c r="Z67" s="214"/>
      <c r="AA67" s="214">
        <v>2257</v>
      </c>
      <c r="AB67" s="240">
        <v>124405</v>
      </c>
      <c r="AC67" s="214">
        <v>76070</v>
      </c>
      <c r="AD67" s="214"/>
      <c r="AE67" s="214">
        <v>133688</v>
      </c>
      <c r="AF67" s="214"/>
      <c r="AG67" s="214">
        <v>2062</v>
      </c>
      <c r="AH67" s="214"/>
      <c r="AI67" s="214">
        <v>1942</v>
      </c>
      <c r="AJ67" s="214"/>
      <c r="AK67" s="214">
        <v>11345</v>
      </c>
      <c r="AL67" s="214">
        <v>1087</v>
      </c>
      <c r="AM67" s="214">
        <v>11</v>
      </c>
      <c r="AN67" s="214"/>
      <c r="AO67" s="214"/>
      <c r="AP67" s="214"/>
      <c r="AQ67" s="214"/>
      <c r="AR67" s="214"/>
      <c r="AS67" s="214"/>
      <c r="AT67" s="214"/>
      <c r="AU67" s="214"/>
      <c r="AV67" s="228">
        <v>296476</v>
      </c>
      <c r="AW67" s="228"/>
      <c r="AX67" s="228"/>
      <c r="AY67" s="214">
        <v>1475060</v>
      </c>
      <c r="AZ67" s="214"/>
      <c r="BA67" s="228">
        <v>172057</v>
      </c>
      <c r="BB67" s="228"/>
      <c r="BC67" s="228"/>
      <c r="BD67" s="228">
        <v>3020</v>
      </c>
      <c r="BE67" s="214">
        <v>1342325</v>
      </c>
      <c r="BF67" s="228">
        <v>1094311</v>
      </c>
      <c r="BG67" s="228"/>
      <c r="BH67" s="228">
        <v>4671059</v>
      </c>
      <c r="BI67" s="228"/>
      <c r="BJ67" s="228">
        <v>5640</v>
      </c>
      <c r="BK67" s="228">
        <v>265567</v>
      </c>
      <c r="BL67" s="228">
        <v>122</v>
      </c>
      <c r="BM67" s="228">
        <v>1325</v>
      </c>
      <c r="BN67" s="228">
        <v>10791</v>
      </c>
      <c r="BO67" s="228"/>
      <c r="BP67" s="228"/>
      <c r="BQ67" s="228"/>
      <c r="BR67" s="228"/>
      <c r="BS67" s="228"/>
      <c r="BT67" s="228"/>
      <c r="BU67" s="228"/>
      <c r="BV67" s="228">
        <v>49702</v>
      </c>
      <c r="BW67" s="228">
        <v>4280</v>
      </c>
      <c r="BX67" s="228"/>
      <c r="BY67" s="228"/>
      <c r="BZ67" s="228"/>
      <c r="CA67" s="228"/>
      <c r="CB67" s="228"/>
      <c r="CC67" s="228">
        <v>542</v>
      </c>
      <c r="CD67" s="29" t="s">
        <v>233</v>
      </c>
      <c r="CE67" s="32">
        <f t="shared" si="4"/>
        <v>11967113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32271</v>
      </c>
      <c r="F68" s="32">
        <f t="shared" si="7"/>
        <v>0</v>
      </c>
      <c r="G68" s="32">
        <f t="shared" si="7"/>
        <v>5187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606</v>
      </c>
      <c r="O68" s="32">
        <f t="shared" si="7"/>
        <v>0</v>
      </c>
      <c r="P68" s="32">
        <f t="shared" si="7"/>
        <v>712308</v>
      </c>
      <c r="Q68" s="32">
        <f t="shared" si="7"/>
        <v>935</v>
      </c>
      <c r="R68" s="32">
        <f t="shared" si="7"/>
        <v>6160</v>
      </c>
      <c r="S68" s="32">
        <f t="shared" si="7"/>
        <v>0</v>
      </c>
      <c r="T68" s="32">
        <f t="shared" si="7"/>
        <v>0</v>
      </c>
      <c r="U68" s="32">
        <f t="shared" si="7"/>
        <v>2513</v>
      </c>
      <c r="V68" s="32">
        <f t="shared" si="7"/>
        <v>0</v>
      </c>
      <c r="W68" s="32">
        <f t="shared" si="7"/>
        <v>84040</v>
      </c>
      <c r="X68" s="32">
        <f t="shared" si="7"/>
        <v>0</v>
      </c>
      <c r="Y68" s="32">
        <f t="shared" si="7"/>
        <v>258429</v>
      </c>
      <c r="Z68" s="32">
        <f t="shared" si="7"/>
        <v>0</v>
      </c>
      <c r="AA68" s="32">
        <f t="shared" si="7"/>
        <v>3505</v>
      </c>
      <c r="AB68" s="32">
        <f t="shared" si="7"/>
        <v>65044</v>
      </c>
      <c r="AC68" s="32">
        <f t="shared" si="7"/>
        <v>13677</v>
      </c>
      <c r="AD68" s="32">
        <f t="shared" si="7"/>
        <v>0</v>
      </c>
      <c r="AE68" s="32">
        <f t="shared" si="7"/>
        <v>655</v>
      </c>
      <c r="AF68" s="32">
        <f t="shared" si="7"/>
        <v>0</v>
      </c>
      <c r="AG68" s="32">
        <f t="shared" si="7"/>
        <v>126232</v>
      </c>
      <c r="AH68" s="32">
        <f t="shared" si="7"/>
        <v>0</v>
      </c>
      <c r="AI68" s="32">
        <f t="shared" si="7"/>
        <v>211351</v>
      </c>
      <c r="AJ68" s="32">
        <f t="shared" si="7"/>
        <v>2902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9118</v>
      </c>
      <c r="AW68" s="32">
        <f t="shared" si="7"/>
        <v>0</v>
      </c>
      <c r="AX68" s="32">
        <f t="shared" si="7"/>
        <v>0</v>
      </c>
      <c r="AY68" s="32">
        <f t="shared" si="7"/>
        <v>23311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3363</v>
      </c>
      <c r="BE68" s="32">
        <f t="shared" si="7"/>
        <v>441443</v>
      </c>
      <c r="BF68" s="32">
        <f t="shared" si="7"/>
        <v>2695</v>
      </c>
      <c r="BG68" s="32">
        <f t="shared" si="7"/>
        <v>0</v>
      </c>
      <c r="BH68" s="32">
        <f t="shared" si="7"/>
        <v>139489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5961</v>
      </c>
      <c r="CD68" s="29" t="s">
        <v>233</v>
      </c>
      <c r="CE68" s="32">
        <f t="shared" si="4"/>
        <v>2151195</v>
      </c>
    </row>
    <row r="69" spans="1:83" x14ac:dyDescent="0.35">
      <c r="A69" s="39" t="s">
        <v>253</v>
      </c>
      <c r="B69" s="32"/>
      <c r="C69" s="213"/>
      <c r="D69" s="213"/>
      <c r="E69" s="213">
        <v>15851</v>
      </c>
      <c r="F69" s="213"/>
      <c r="G69" s="213">
        <v>2918</v>
      </c>
      <c r="H69" s="213"/>
      <c r="I69" s="213"/>
      <c r="J69" s="213"/>
      <c r="K69" s="213"/>
      <c r="L69" s="213"/>
      <c r="M69" s="213"/>
      <c r="N69" s="213">
        <v>6026</v>
      </c>
      <c r="O69" s="213"/>
      <c r="P69" s="214">
        <v>60550</v>
      </c>
      <c r="Q69" s="214"/>
      <c r="R69" s="214"/>
      <c r="S69" s="228"/>
      <c r="T69" s="228"/>
      <c r="U69" s="227">
        <v>10285</v>
      </c>
      <c r="V69" s="214"/>
      <c r="W69" s="214">
        <v>215873</v>
      </c>
      <c r="X69" s="214">
        <v>144191</v>
      </c>
      <c r="Y69" s="214">
        <v>215466</v>
      </c>
      <c r="Z69" s="214"/>
      <c r="AA69" s="214">
        <v>85194</v>
      </c>
      <c r="AB69" s="240">
        <v>13377</v>
      </c>
      <c r="AC69" s="214">
        <v>6697</v>
      </c>
      <c r="AD69" s="214"/>
      <c r="AE69" s="214">
        <v>87246</v>
      </c>
      <c r="AF69" s="214"/>
      <c r="AG69" s="214"/>
      <c r="AH69" s="214"/>
      <c r="AI69" s="214"/>
      <c r="AJ69" s="214"/>
      <c r="AK69" s="214">
        <v>33341</v>
      </c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>
        <v>51508</v>
      </c>
      <c r="AW69" s="228"/>
      <c r="AX69" s="228"/>
      <c r="AY69" s="214"/>
      <c r="AZ69" s="214"/>
      <c r="BA69" s="228"/>
      <c r="BB69" s="228"/>
      <c r="BC69" s="228"/>
      <c r="BD69" s="228">
        <v>1610</v>
      </c>
      <c r="BE69" s="214">
        <v>24124</v>
      </c>
      <c r="BF69" s="228"/>
      <c r="BG69" s="228">
        <v>21640</v>
      </c>
      <c r="BH69" s="228"/>
      <c r="BI69" s="228"/>
      <c r="BJ69" s="228"/>
      <c r="BK69" s="228"/>
      <c r="BL69" s="228"/>
      <c r="BM69" s="228">
        <v>1440</v>
      </c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>
        <v>2596</v>
      </c>
      <c r="CD69" s="29" t="s">
        <v>233</v>
      </c>
      <c r="CE69" s="32">
        <f t="shared" si="4"/>
        <v>999933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1071212</v>
      </c>
      <c r="F70" s="32">
        <f t="shared" si="9"/>
        <v>0</v>
      </c>
      <c r="G70" s="32">
        <f t="shared" si="9"/>
        <v>456000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350027</v>
      </c>
      <c r="O70" s="32">
        <f t="shared" si="9"/>
        <v>0</v>
      </c>
      <c r="P70" s="32">
        <f t="shared" si="9"/>
        <v>2604474</v>
      </c>
      <c r="Q70" s="32">
        <f t="shared" si="9"/>
        <v>178935</v>
      </c>
      <c r="R70" s="32">
        <f t="shared" si="9"/>
        <v>239173</v>
      </c>
      <c r="S70" s="32">
        <f t="shared" si="9"/>
        <v>47789</v>
      </c>
      <c r="T70" s="32">
        <f t="shared" si="9"/>
        <v>18682</v>
      </c>
      <c r="U70" s="32">
        <f t="shared" si="9"/>
        <v>373136</v>
      </c>
      <c r="V70" s="32">
        <f t="shared" si="9"/>
        <v>0</v>
      </c>
      <c r="W70" s="32">
        <f t="shared" si="9"/>
        <v>80189</v>
      </c>
      <c r="X70" s="32">
        <f t="shared" si="9"/>
        <v>124580</v>
      </c>
      <c r="Y70" s="32">
        <f t="shared" si="9"/>
        <v>571029</v>
      </c>
      <c r="Z70" s="32">
        <f t="shared" si="9"/>
        <v>0</v>
      </c>
      <c r="AA70" s="32">
        <f t="shared" si="9"/>
        <v>119460</v>
      </c>
      <c r="AB70" s="32">
        <f t="shared" si="9"/>
        <v>3176473</v>
      </c>
      <c r="AC70" s="32">
        <f t="shared" si="9"/>
        <v>156618</v>
      </c>
      <c r="AD70" s="32">
        <f t="shared" si="9"/>
        <v>0</v>
      </c>
      <c r="AE70" s="32">
        <f t="shared" si="9"/>
        <v>374257</v>
      </c>
      <c r="AF70" s="32">
        <f t="shared" si="9"/>
        <v>0</v>
      </c>
      <c r="AG70" s="32">
        <f t="shared" si="9"/>
        <v>1110762</v>
      </c>
      <c r="AH70" s="32">
        <f t="shared" si="9"/>
        <v>0</v>
      </c>
      <c r="AI70" s="32">
        <f t="shared" si="9"/>
        <v>428619</v>
      </c>
      <c r="AJ70" s="32">
        <f t="shared" si="9"/>
        <v>241344</v>
      </c>
      <c r="AK70" s="32">
        <f t="shared" si="9"/>
        <v>124330</v>
      </c>
      <c r="AL70" s="32">
        <f t="shared" si="9"/>
        <v>99493</v>
      </c>
      <c r="AM70" s="32">
        <f t="shared" si="9"/>
        <v>5435</v>
      </c>
      <c r="AN70" s="32">
        <f t="shared" si="9"/>
        <v>0</v>
      </c>
      <c r="AO70" s="32">
        <f t="shared" si="9"/>
        <v>0</v>
      </c>
      <c r="AP70" s="32">
        <f t="shared" si="9"/>
        <v>56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-2048846</v>
      </c>
      <c r="AW70" s="32">
        <f t="shared" si="9"/>
        <v>0</v>
      </c>
      <c r="AX70" s="32">
        <f t="shared" si="9"/>
        <v>45586</v>
      </c>
      <c r="AY70" s="32">
        <f t="shared" si="9"/>
        <v>369468</v>
      </c>
      <c r="AZ70" s="32">
        <f t="shared" si="9"/>
        <v>0</v>
      </c>
      <c r="BA70" s="32">
        <f t="shared" si="9"/>
        <v>15603</v>
      </c>
      <c r="BB70" s="32">
        <f t="shared" si="9"/>
        <v>0</v>
      </c>
      <c r="BC70" s="32">
        <f t="shared" si="9"/>
        <v>0</v>
      </c>
      <c r="BD70" s="32">
        <f t="shared" si="9"/>
        <v>-400830</v>
      </c>
      <c r="BE70" s="32">
        <f t="shared" si="9"/>
        <v>726103</v>
      </c>
      <c r="BF70" s="32">
        <f t="shared" si="9"/>
        <v>107269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-772207</v>
      </c>
      <c r="BK70" s="32">
        <f t="shared" si="9"/>
        <v>-2056165</v>
      </c>
      <c r="BL70" s="32">
        <f t="shared" si="9"/>
        <v>196795</v>
      </c>
      <c r="BM70" s="32">
        <f t="shared" si="9"/>
        <v>-3620</v>
      </c>
      <c r="BN70" s="32">
        <f t="shared" si="9"/>
        <v>-1994986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468454</v>
      </c>
      <c r="BW70" s="32">
        <f t="shared" si="10"/>
        <v>77869</v>
      </c>
      <c r="BX70" s="32">
        <f t="shared" si="10"/>
        <v>0</v>
      </c>
      <c r="BY70" s="32">
        <f t="shared" si="10"/>
        <v>107347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-1285467</v>
      </c>
      <c r="CD70" s="32">
        <f t="shared" si="10"/>
        <v>1753103</v>
      </c>
      <c r="CE70" s="32">
        <f>SUM(CE71:CE85)</f>
        <v>14477581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>
        <v>1071212</v>
      </c>
      <c r="F84" s="30"/>
      <c r="G84" s="24">
        <v>456000</v>
      </c>
      <c r="H84" s="24"/>
      <c r="I84" s="30"/>
      <c r="J84" s="30"/>
      <c r="K84" s="30"/>
      <c r="L84" s="30"/>
      <c r="M84" s="24"/>
      <c r="N84" s="24">
        <v>350027</v>
      </c>
      <c r="O84" s="24"/>
      <c r="P84" s="30">
        <v>2604474</v>
      </c>
      <c r="Q84" s="30">
        <v>178935</v>
      </c>
      <c r="R84" s="31">
        <v>239173</v>
      </c>
      <c r="S84" s="30">
        <v>47789</v>
      </c>
      <c r="T84" s="24">
        <v>18682</v>
      </c>
      <c r="U84" s="30">
        <v>373136</v>
      </c>
      <c r="V84" s="30"/>
      <c r="W84" s="24">
        <v>80189</v>
      </c>
      <c r="X84" s="30">
        <v>124580</v>
      </c>
      <c r="Y84" s="30">
        <v>571029</v>
      </c>
      <c r="Z84" s="30"/>
      <c r="AA84" s="30">
        <v>119460</v>
      </c>
      <c r="AB84" s="30">
        <v>3176473</v>
      </c>
      <c r="AC84" s="30">
        <v>156618</v>
      </c>
      <c r="AD84" s="30"/>
      <c r="AE84" s="30">
        <v>374257</v>
      </c>
      <c r="AF84" s="30"/>
      <c r="AG84" s="30">
        <v>1110762</v>
      </c>
      <c r="AH84" s="30"/>
      <c r="AI84" s="30">
        <v>428619</v>
      </c>
      <c r="AJ84" s="30">
        <v>241344</v>
      </c>
      <c r="AK84" s="30">
        <v>124330</v>
      </c>
      <c r="AL84" s="30">
        <v>99493</v>
      </c>
      <c r="AM84" s="30">
        <v>5435</v>
      </c>
      <c r="AN84" s="30"/>
      <c r="AO84" s="24"/>
      <c r="AP84" s="30">
        <v>56</v>
      </c>
      <c r="AQ84" s="24"/>
      <c r="AR84" s="24"/>
      <c r="AS84" s="24"/>
      <c r="AT84" s="24"/>
      <c r="AU84" s="30"/>
      <c r="AV84" s="30">
        <v>-2048846</v>
      </c>
      <c r="AW84" s="30"/>
      <c r="AX84" s="30">
        <v>45586</v>
      </c>
      <c r="AY84" s="30">
        <v>369468</v>
      </c>
      <c r="AZ84" s="30"/>
      <c r="BA84" s="30">
        <v>15603</v>
      </c>
      <c r="BB84" s="30"/>
      <c r="BC84" s="30"/>
      <c r="BD84" s="30">
        <v>-400830</v>
      </c>
      <c r="BE84" s="30">
        <v>726103</v>
      </c>
      <c r="BF84" s="30">
        <v>107269</v>
      </c>
      <c r="BG84" s="30"/>
      <c r="BH84" s="31"/>
      <c r="BI84" s="30"/>
      <c r="BJ84" s="30">
        <v>-772207</v>
      </c>
      <c r="BK84" s="30">
        <v>-2056165</v>
      </c>
      <c r="BL84" s="30">
        <v>196795</v>
      </c>
      <c r="BM84" s="30">
        <v>-3620</v>
      </c>
      <c r="BN84" s="30">
        <v>-1994986</v>
      </c>
      <c r="BO84" s="30"/>
      <c r="BP84" s="30"/>
      <c r="BQ84" s="30"/>
      <c r="BR84" s="30"/>
      <c r="BS84" s="30"/>
      <c r="BT84" s="30"/>
      <c r="BU84" s="30"/>
      <c r="BV84" s="30">
        <v>468454</v>
      </c>
      <c r="BW84" s="30">
        <v>77869</v>
      </c>
      <c r="BX84" s="30"/>
      <c r="BY84" s="30">
        <v>107347</v>
      </c>
      <c r="BZ84" s="30"/>
      <c r="CA84" s="30"/>
      <c r="CB84" s="30"/>
      <c r="CC84" s="30">
        <v>-1285467</v>
      </c>
      <c r="CD84" s="35">
        <v>1753103</v>
      </c>
      <c r="CE84" s="32">
        <f t="shared" si="11"/>
        <v>7257549</v>
      </c>
    </row>
    <row r="85" spans="1:84" x14ac:dyDescent="0.35">
      <c r="A85" s="39" t="s">
        <v>269</v>
      </c>
      <c r="B85" s="20"/>
      <c r="C85" s="213"/>
      <c r="D85" s="213"/>
      <c r="E85" s="213">
        <v>11559</v>
      </c>
      <c r="F85" s="213"/>
      <c r="G85" s="213">
        <v>10061</v>
      </c>
      <c r="H85" s="213"/>
      <c r="I85" s="213"/>
      <c r="J85" s="213"/>
      <c r="K85" s="213"/>
      <c r="L85" s="213"/>
      <c r="M85" s="213"/>
      <c r="N85" s="213"/>
      <c r="O85" s="213"/>
      <c r="P85" s="213">
        <v>14861</v>
      </c>
      <c r="Q85" s="213"/>
      <c r="R85" s="213"/>
      <c r="S85" s="213"/>
      <c r="T85" s="213"/>
      <c r="U85" s="213"/>
      <c r="V85" s="213"/>
      <c r="W85" s="213">
        <v>534</v>
      </c>
      <c r="X85" s="213">
        <v>820</v>
      </c>
      <c r="Y85" s="213">
        <v>40834</v>
      </c>
      <c r="Z85" s="213"/>
      <c r="AA85" s="213">
        <v>592</v>
      </c>
      <c r="AB85" s="213">
        <v>3461929</v>
      </c>
      <c r="AC85" s="213">
        <v>1013</v>
      </c>
      <c r="AD85" s="213"/>
      <c r="AE85" s="213">
        <v>2404</v>
      </c>
      <c r="AF85" s="213"/>
      <c r="AG85" s="213">
        <v>19203</v>
      </c>
      <c r="AH85" s="213"/>
      <c r="AI85" s="213">
        <v>2566</v>
      </c>
      <c r="AJ85" s="213">
        <v>1597</v>
      </c>
      <c r="AK85" s="213">
        <v>805</v>
      </c>
      <c r="AL85" s="213">
        <v>635</v>
      </c>
      <c r="AM85" s="213"/>
      <c r="AN85" s="213"/>
      <c r="AO85" s="213"/>
      <c r="AP85" s="213"/>
      <c r="AQ85" s="213"/>
      <c r="AR85" s="213"/>
      <c r="AS85" s="213"/>
      <c r="AT85" s="213"/>
      <c r="AU85" s="213"/>
      <c r="AV85" s="213">
        <v>16119</v>
      </c>
      <c r="AW85" s="213"/>
      <c r="AX85" s="213"/>
      <c r="AY85" s="213">
        <v>247265</v>
      </c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>
        <v>-15494</v>
      </c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>
        <v>16050</v>
      </c>
      <c r="BX85" s="213"/>
      <c r="BY85" s="213"/>
      <c r="BZ85" s="213"/>
      <c r="CA85" s="213"/>
      <c r="CB85" s="213">
        <v>1294</v>
      </c>
      <c r="CC85" s="213"/>
      <c r="CD85" s="35">
        <v>3385385</v>
      </c>
      <c r="CE85" s="32">
        <f t="shared" si="11"/>
        <v>7220032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6125987</v>
      </c>
      <c r="F86" s="32">
        <f t="shared" si="12"/>
        <v>0</v>
      </c>
      <c r="G86" s="32">
        <f t="shared" si="12"/>
        <v>2225786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1925549</v>
      </c>
      <c r="O86" s="32">
        <f t="shared" si="12"/>
        <v>0</v>
      </c>
      <c r="P86" s="32">
        <f t="shared" si="12"/>
        <v>18517427</v>
      </c>
      <c r="Q86" s="32">
        <f t="shared" si="12"/>
        <v>1131810</v>
      </c>
      <c r="R86" s="32">
        <f t="shared" si="12"/>
        <v>2739753</v>
      </c>
      <c r="S86" s="32">
        <f t="shared" si="12"/>
        <v>465665</v>
      </c>
      <c r="T86" s="32">
        <f t="shared" si="12"/>
        <v>191231</v>
      </c>
      <c r="U86" s="32">
        <f t="shared" si="12"/>
        <v>2719492</v>
      </c>
      <c r="V86" s="32">
        <f t="shared" si="12"/>
        <v>0</v>
      </c>
      <c r="W86" s="32">
        <f t="shared" si="12"/>
        <v>674235</v>
      </c>
      <c r="X86" s="32">
        <f t="shared" si="12"/>
        <v>495119</v>
      </c>
      <c r="Y86" s="32">
        <f t="shared" si="12"/>
        <v>3515121</v>
      </c>
      <c r="Z86" s="32">
        <f t="shared" si="12"/>
        <v>0</v>
      </c>
      <c r="AA86" s="32">
        <f t="shared" si="12"/>
        <v>640869</v>
      </c>
      <c r="AB86" s="32">
        <f t="shared" si="12"/>
        <v>3195821</v>
      </c>
      <c r="AC86" s="32">
        <f t="shared" si="12"/>
        <v>1044372</v>
      </c>
      <c r="AD86" s="32">
        <f t="shared" si="12"/>
        <v>0</v>
      </c>
      <c r="AE86" s="32">
        <f t="shared" si="12"/>
        <v>2279891</v>
      </c>
      <c r="AF86" s="32">
        <f t="shared" si="12"/>
        <v>0</v>
      </c>
      <c r="AG86" s="32">
        <f t="shared" si="12"/>
        <v>7911927</v>
      </c>
      <c r="AH86" s="32">
        <f t="shared" si="12"/>
        <v>0</v>
      </c>
      <c r="AI86" s="32">
        <f t="shared" si="12"/>
        <v>2210815</v>
      </c>
      <c r="AJ86" s="32">
        <f t="shared" si="12"/>
        <v>1178486</v>
      </c>
      <c r="AK86" s="32">
        <f t="shared" si="12"/>
        <v>851858</v>
      </c>
      <c r="AL86" s="32">
        <f t="shared" si="12"/>
        <v>582762</v>
      </c>
      <c r="AM86" s="32">
        <f t="shared" si="12"/>
        <v>56078</v>
      </c>
      <c r="AN86" s="32">
        <f t="shared" si="12"/>
        <v>0</v>
      </c>
      <c r="AO86" s="32">
        <f t="shared" si="12"/>
        <v>0</v>
      </c>
      <c r="AP86" s="32">
        <f t="shared" si="12"/>
        <v>56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2121269</v>
      </c>
      <c r="AW86" s="32">
        <f t="shared" si="12"/>
        <v>0</v>
      </c>
      <c r="AX86" s="32">
        <f t="shared" si="12"/>
        <v>48787</v>
      </c>
      <c r="AY86" s="32">
        <f t="shared" si="12"/>
        <v>1633102</v>
      </c>
      <c r="AZ86" s="32">
        <f t="shared" si="12"/>
        <v>0</v>
      </c>
      <c r="BA86" s="32">
        <f t="shared" si="12"/>
        <v>220658</v>
      </c>
      <c r="BB86" s="32">
        <f t="shared" si="12"/>
        <v>0</v>
      </c>
      <c r="BC86" s="32">
        <f t="shared" si="12"/>
        <v>0</v>
      </c>
      <c r="BD86" s="32">
        <f t="shared" si="12"/>
        <v>71949</v>
      </c>
      <c r="BE86" s="32">
        <f t="shared" si="12"/>
        <v>3985828</v>
      </c>
      <c r="BF86" s="32">
        <f t="shared" si="12"/>
        <v>1274704</v>
      </c>
      <c r="BG86" s="32">
        <f t="shared" si="12"/>
        <v>21640</v>
      </c>
      <c r="BH86" s="32">
        <f t="shared" si="12"/>
        <v>5298415</v>
      </c>
      <c r="BI86" s="32">
        <f t="shared" si="12"/>
        <v>0</v>
      </c>
      <c r="BJ86" s="32">
        <f t="shared" si="12"/>
        <v>158045</v>
      </c>
      <c r="BK86" s="32">
        <f t="shared" si="12"/>
        <v>194364</v>
      </c>
      <c r="BL86" s="32">
        <f t="shared" si="12"/>
        <v>1357869</v>
      </c>
      <c r="BM86" s="32">
        <f t="shared" si="12"/>
        <v>0</v>
      </c>
      <c r="BN86" s="32">
        <f t="shared" si="12"/>
        <v>976881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1909708</v>
      </c>
      <c r="BW86" s="32">
        <f t="shared" si="13"/>
        <v>222867</v>
      </c>
      <c r="BX86" s="32">
        <f t="shared" si="13"/>
        <v>0</v>
      </c>
      <c r="BY86" s="32">
        <f t="shared" si="13"/>
        <v>1047225</v>
      </c>
      <c r="BZ86" s="32">
        <f t="shared" si="13"/>
        <v>0</v>
      </c>
      <c r="CA86" s="32">
        <f t="shared" si="13"/>
        <v>0</v>
      </c>
      <c r="CB86" s="32">
        <f t="shared" si="13"/>
        <v>-1294</v>
      </c>
      <c r="CC86" s="32">
        <f t="shared" si="13"/>
        <v>-740241</v>
      </c>
      <c r="CD86" s="32">
        <f t="shared" si="13"/>
        <v>-1632282</v>
      </c>
      <c r="CE86" s="32">
        <f t="shared" si="11"/>
        <v>78849604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/>
      <c r="D88" s="213"/>
      <c r="E88" s="213">
        <v>13659077</v>
      </c>
      <c r="F88" s="213"/>
      <c r="G88" s="213">
        <v>5871789</v>
      </c>
      <c r="H88" s="213"/>
      <c r="I88" s="213"/>
      <c r="J88" s="213"/>
      <c r="K88" s="213"/>
      <c r="L88" s="213"/>
      <c r="M88" s="213"/>
      <c r="N88" s="213">
        <v>4552198</v>
      </c>
      <c r="O88" s="213"/>
      <c r="P88" s="213">
        <v>65011392</v>
      </c>
      <c r="Q88" s="213">
        <v>1443915</v>
      </c>
      <c r="R88" s="213">
        <v>2347330</v>
      </c>
      <c r="S88" s="213"/>
      <c r="T88" s="213">
        <v>490</v>
      </c>
      <c r="U88" s="213">
        <v>4806456</v>
      </c>
      <c r="V88" s="213"/>
      <c r="W88" s="213">
        <v>317509</v>
      </c>
      <c r="X88" s="213">
        <v>1045184</v>
      </c>
      <c r="Y88" s="213">
        <v>1603181</v>
      </c>
      <c r="Z88" s="213"/>
      <c r="AA88" s="213">
        <v>74285</v>
      </c>
      <c r="AB88" s="213">
        <v>8074249</v>
      </c>
      <c r="AC88" s="213">
        <v>3943387</v>
      </c>
      <c r="AD88" s="213"/>
      <c r="AE88" s="213">
        <v>3107924</v>
      </c>
      <c r="AF88" s="213"/>
      <c r="AG88" s="213">
        <v>1229619</v>
      </c>
      <c r="AH88" s="213"/>
      <c r="AI88" s="213">
        <v>224976</v>
      </c>
      <c r="AJ88" s="213"/>
      <c r="AK88" s="213">
        <v>1934310</v>
      </c>
      <c r="AL88" s="213">
        <v>631739</v>
      </c>
      <c r="AM88" s="213"/>
      <c r="AN88" s="213"/>
      <c r="AO88" s="213"/>
      <c r="AP88" s="213"/>
      <c r="AQ88" s="213"/>
      <c r="AR88" s="213"/>
      <c r="AS88" s="213"/>
      <c r="AT88" s="213"/>
      <c r="AU88" s="213"/>
      <c r="AV88" s="213">
        <v>506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119879516</v>
      </c>
    </row>
    <row r="89" spans="1:84" x14ac:dyDescent="0.35">
      <c r="A89" s="26" t="s">
        <v>273</v>
      </c>
      <c r="B89" s="20"/>
      <c r="C89" s="213"/>
      <c r="D89" s="213"/>
      <c r="E89" s="213">
        <v>3568114</v>
      </c>
      <c r="F89" s="213"/>
      <c r="G89" s="213">
        <v>55</v>
      </c>
      <c r="H89" s="213"/>
      <c r="I89" s="213"/>
      <c r="J89" s="213"/>
      <c r="K89" s="213"/>
      <c r="L89" s="213"/>
      <c r="M89" s="213"/>
      <c r="N89" s="213">
        <v>-1375</v>
      </c>
      <c r="O89" s="213"/>
      <c r="P89" s="213">
        <v>30921212</v>
      </c>
      <c r="Q89" s="213">
        <v>1689470</v>
      </c>
      <c r="R89" s="213">
        <v>4069644</v>
      </c>
      <c r="S89" s="213"/>
      <c r="T89" s="213">
        <v>208463</v>
      </c>
      <c r="U89" s="213">
        <v>12136178</v>
      </c>
      <c r="V89" s="213"/>
      <c r="W89" s="213">
        <v>3258003</v>
      </c>
      <c r="X89" s="213">
        <v>12406029</v>
      </c>
      <c r="Y89" s="213">
        <v>10075627</v>
      </c>
      <c r="Z89" s="213"/>
      <c r="AA89" s="213">
        <v>2379671</v>
      </c>
      <c r="AB89" s="213">
        <v>10425378</v>
      </c>
      <c r="AC89" s="213">
        <v>3112835</v>
      </c>
      <c r="AD89" s="213"/>
      <c r="AE89" s="213">
        <v>5356359</v>
      </c>
      <c r="AF89" s="213"/>
      <c r="AG89" s="213">
        <v>35902816</v>
      </c>
      <c r="AH89" s="213"/>
      <c r="AI89" s="213">
        <v>7037652</v>
      </c>
      <c r="AJ89" s="213"/>
      <c r="AK89" s="213">
        <v>2407011</v>
      </c>
      <c r="AL89" s="213">
        <v>717163</v>
      </c>
      <c r="AM89" s="213">
        <v>109440</v>
      </c>
      <c r="AN89" s="213"/>
      <c r="AO89" s="213"/>
      <c r="AP89" s="213"/>
      <c r="AQ89" s="213"/>
      <c r="AR89" s="213"/>
      <c r="AS89" s="213"/>
      <c r="AT89" s="213"/>
      <c r="AU89" s="213"/>
      <c r="AV89" s="213">
        <v>5376005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151155750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17227191</v>
      </c>
      <c r="F90" s="32">
        <f t="shared" si="15"/>
        <v>0</v>
      </c>
      <c r="G90" s="32">
        <f t="shared" si="15"/>
        <v>5871844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4550823</v>
      </c>
      <c r="O90" s="32">
        <f t="shared" si="15"/>
        <v>0</v>
      </c>
      <c r="P90" s="32">
        <f t="shared" si="15"/>
        <v>95932604</v>
      </c>
      <c r="Q90" s="32">
        <f t="shared" si="15"/>
        <v>3133385</v>
      </c>
      <c r="R90" s="32">
        <f t="shared" si="15"/>
        <v>6416974</v>
      </c>
      <c r="S90" s="32">
        <f t="shared" si="15"/>
        <v>0</v>
      </c>
      <c r="T90" s="32">
        <f t="shared" si="15"/>
        <v>208953</v>
      </c>
      <c r="U90" s="32">
        <f t="shared" si="15"/>
        <v>16942634</v>
      </c>
      <c r="V90" s="32">
        <f t="shared" si="15"/>
        <v>0</v>
      </c>
      <c r="W90" s="32">
        <f t="shared" si="15"/>
        <v>3575512</v>
      </c>
      <c r="X90" s="32">
        <f t="shared" si="15"/>
        <v>13451213</v>
      </c>
      <c r="Y90" s="32">
        <f t="shared" si="15"/>
        <v>11678808</v>
      </c>
      <c r="Z90" s="32">
        <f t="shared" si="15"/>
        <v>0</v>
      </c>
      <c r="AA90" s="32">
        <f t="shared" si="15"/>
        <v>2453956</v>
      </c>
      <c r="AB90" s="32">
        <f t="shared" si="15"/>
        <v>18499627</v>
      </c>
      <c r="AC90" s="32">
        <f t="shared" si="15"/>
        <v>7056222</v>
      </c>
      <c r="AD90" s="32">
        <f t="shared" si="15"/>
        <v>0</v>
      </c>
      <c r="AE90" s="32">
        <f t="shared" si="15"/>
        <v>8464283</v>
      </c>
      <c r="AF90" s="32">
        <f t="shared" si="15"/>
        <v>0</v>
      </c>
      <c r="AG90" s="32">
        <f t="shared" si="15"/>
        <v>37132435</v>
      </c>
      <c r="AH90" s="32">
        <f t="shared" si="15"/>
        <v>0</v>
      </c>
      <c r="AI90" s="32">
        <f t="shared" si="15"/>
        <v>7262628</v>
      </c>
      <c r="AJ90" s="32">
        <f t="shared" si="15"/>
        <v>0</v>
      </c>
      <c r="AK90" s="32">
        <f t="shared" si="15"/>
        <v>4341321</v>
      </c>
      <c r="AL90" s="32">
        <f t="shared" si="15"/>
        <v>1348902</v>
      </c>
      <c r="AM90" s="32">
        <f t="shared" si="15"/>
        <v>109440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5376511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271035266</v>
      </c>
    </row>
    <row r="91" spans="1:84" x14ac:dyDescent="0.35">
      <c r="A91" s="39" t="s">
        <v>275</v>
      </c>
      <c r="B91" s="32"/>
      <c r="C91" s="213"/>
      <c r="D91" s="213"/>
      <c r="E91" s="213">
        <v>20174</v>
      </c>
      <c r="F91" s="213"/>
      <c r="G91" s="213">
        <v>6931</v>
      </c>
      <c r="H91" s="213"/>
      <c r="I91" s="213"/>
      <c r="J91" s="213">
        <v>840</v>
      </c>
      <c r="K91" s="213"/>
      <c r="L91" s="213"/>
      <c r="M91" s="213"/>
      <c r="N91" s="213"/>
      <c r="O91" s="213">
        <v>1997</v>
      </c>
      <c r="P91" s="213">
        <v>8683</v>
      </c>
      <c r="Q91" s="213">
        <v>796</v>
      </c>
      <c r="R91" s="213">
        <v>363</v>
      </c>
      <c r="S91" s="213">
        <v>5730</v>
      </c>
      <c r="T91" s="213"/>
      <c r="U91" s="213">
        <v>1895</v>
      </c>
      <c r="V91" s="213"/>
      <c r="W91" s="213">
        <v>3812</v>
      </c>
      <c r="X91" s="213"/>
      <c r="Y91" s="213">
        <v>8247</v>
      </c>
      <c r="Z91" s="213"/>
      <c r="AA91" s="213">
        <v>1314</v>
      </c>
      <c r="AB91" s="213">
        <v>1361</v>
      </c>
      <c r="AC91" s="213">
        <v>587</v>
      </c>
      <c r="AD91" s="213"/>
      <c r="AE91" s="213">
        <v>2188</v>
      </c>
      <c r="AF91" s="213"/>
      <c r="AG91" s="213">
        <v>4928</v>
      </c>
      <c r="AH91" s="213"/>
      <c r="AI91" s="213">
        <v>8953</v>
      </c>
      <c r="AJ91" s="213">
        <v>3317</v>
      </c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>
        <v>519</v>
      </c>
      <c r="AW91" s="213"/>
      <c r="AX91" s="213"/>
      <c r="AY91" s="213">
        <v>3979</v>
      </c>
      <c r="AZ91" s="213"/>
      <c r="BA91" s="213">
        <v>1723</v>
      </c>
      <c r="BB91" s="213"/>
      <c r="BC91" s="213"/>
      <c r="BD91" s="213">
        <v>1068</v>
      </c>
      <c r="BE91" s="213">
        <v>21550</v>
      </c>
      <c r="BF91" s="213">
        <v>554</v>
      </c>
      <c r="BG91" s="213">
        <v>729</v>
      </c>
      <c r="BH91" s="213">
        <v>1658</v>
      </c>
      <c r="BI91" s="213"/>
      <c r="BJ91" s="213"/>
      <c r="BK91" s="213"/>
      <c r="BL91" s="213">
        <v>1112</v>
      </c>
      <c r="BM91" s="213"/>
      <c r="BN91" s="213">
        <v>35783</v>
      </c>
      <c r="BO91" s="213"/>
      <c r="BP91" s="213"/>
      <c r="BQ91" s="213"/>
      <c r="BR91" s="213">
        <v>2111</v>
      </c>
      <c r="BS91" s="213"/>
      <c r="BT91" s="213">
        <v>1691</v>
      </c>
      <c r="BU91" s="213"/>
      <c r="BV91" s="213">
        <v>4177</v>
      </c>
      <c r="BW91" s="213"/>
      <c r="BX91" s="213"/>
      <c r="BY91" s="213">
        <v>458</v>
      </c>
      <c r="BZ91" s="213"/>
      <c r="CA91" s="213"/>
      <c r="CB91" s="213"/>
      <c r="CC91" s="213"/>
      <c r="CD91" s="233" t="s">
        <v>233</v>
      </c>
      <c r="CE91" s="32">
        <f t="shared" si="14"/>
        <v>159228</v>
      </c>
      <c r="CF91" s="32">
        <f>BE60-CE91</f>
        <v>0</v>
      </c>
    </row>
    <row r="92" spans="1:84" x14ac:dyDescent="0.35">
      <c r="A92" s="26" t="s">
        <v>276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>
        <v>34133</v>
      </c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34133</v>
      </c>
      <c r="CF92" s="32">
        <f>AY60-CE92</f>
        <v>0</v>
      </c>
    </row>
    <row r="93" spans="1:84" x14ac:dyDescent="0.35">
      <c r="A93" s="26" t="s">
        <v>277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233</v>
      </c>
      <c r="AY93" s="265" t="s">
        <v>233</v>
      </c>
      <c r="AZ93" s="229" t="s">
        <v>233</v>
      </c>
      <c r="BA93" s="213">
        <v>40407</v>
      </c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40407</v>
      </c>
      <c r="CF93" s="20"/>
    </row>
    <row r="94" spans="1:84" x14ac:dyDescent="0.35">
      <c r="A94" s="26" t="s">
        <v>278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>
        <v>373651</v>
      </c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373651</v>
      </c>
      <c r="CF94" s="32">
        <f>BA60</f>
        <v>0</v>
      </c>
    </row>
    <row r="95" spans="1:84" x14ac:dyDescent="0.35">
      <c r="A95" s="26" t="s">
        <v>279</v>
      </c>
      <c r="B95" s="20"/>
      <c r="C95" s="243"/>
      <c r="D95" s="243"/>
      <c r="E95" s="243">
        <v>46.3</v>
      </c>
      <c r="F95" s="243"/>
      <c r="G95" s="243">
        <v>15.95</v>
      </c>
      <c r="H95" s="243"/>
      <c r="I95" s="243"/>
      <c r="J95" s="243"/>
      <c r="K95" s="243"/>
      <c r="L95" s="243"/>
      <c r="M95" s="243"/>
      <c r="N95" s="243">
        <v>16.87</v>
      </c>
      <c r="O95" s="243"/>
      <c r="P95" s="244">
        <v>19.170000000000002</v>
      </c>
      <c r="Q95" s="244">
        <v>11.99</v>
      </c>
      <c r="R95" s="244"/>
      <c r="S95" s="245"/>
      <c r="T95" s="245">
        <v>0.78</v>
      </c>
      <c r="U95" s="246"/>
      <c r="V95" s="244"/>
      <c r="W95" s="244"/>
      <c r="X95" s="244"/>
      <c r="Y95" s="244">
        <v>0.01</v>
      </c>
      <c r="Z95" s="244"/>
      <c r="AA95" s="343">
        <v>4.0000000000000001E-3</v>
      </c>
      <c r="AB95" s="245"/>
      <c r="AC95" s="244"/>
      <c r="AD95" s="244"/>
      <c r="AE95" s="244"/>
      <c r="AF95" s="244"/>
      <c r="AG95" s="244">
        <v>38.71</v>
      </c>
      <c r="AH95" s="244"/>
      <c r="AI95" s="244">
        <v>10.32</v>
      </c>
      <c r="AJ95" s="244"/>
      <c r="AK95" s="244"/>
      <c r="AL95" s="244"/>
      <c r="AM95" s="244"/>
      <c r="AN95" s="244"/>
      <c r="AO95" s="244"/>
      <c r="AP95" s="244">
        <v>0.18</v>
      </c>
      <c r="AQ95" s="244"/>
      <c r="AR95" s="244"/>
      <c r="AS95" s="244"/>
      <c r="AT95" s="244"/>
      <c r="AU95" s="244"/>
      <c r="AV95" s="245">
        <v>1.91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162.19400000000002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342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99301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0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0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6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 t="s">
        <v>1375</v>
      </c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2384</v>
      </c>
      <c r="D128" s="220">
        <v>8957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6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19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>
        <v>10</v>
      </c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35</v>
      </c>
    </row>
    <row r="145" spans="1:6" x14ac:dyDescent="0.35">
      <c r="A145" s="20" t="s">
        <v>325</v>
      </c>
      <c r="B145" s="46" t="s">
        <v>284</v>
      </c>
      <c r="C145" s="47">
        <v>95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1450</v>
      </c>
      <c r="C155" s="50">
        <v>252</v>
      </c>
      <c r="D155" s="50">
        <v>682</v>
      </c>
      <c r="E155" s="32">
        <f>SUM(B155:D155)</f>
        <v>2384</v>
      </c>
    </row>
    <row r="156" spans="1:6" x14ac:dyDescent="0.35">
      <c r="A156" s="20" t="s">
        <v>227</v>
      </c>
      <c r="B156" s="50">
        <v>5900</v>
      </c>
      <c r="C156" s="50">
        <v>1053</v>
      </c>
      <c r="D156" s="50">
        <v>2004</v>
      </c>
      <c r="E156" s="32">
        <f>SUM(B156:D156)</f>
        <v>8957</v>
      </c>
    </row>
    <row r="157" spans="1:6" x14ac:dyDescent="0.35">
      <c r="A157" s="20" t="s">
        <v>332</v>
      </c>
      <c r="B157" s="50">
        <v>6307</v>
      </c>
      <c r="C157" s="50">
        <v>6478</v>
      </c>
      <c r="D157" s="50">
        <v>11013</v>
      </c>
      <c r="E157" s="32">
        <f>SUM(B157:D157)</f>
        <v>23798</v>
      </c>
    </row>
    <row r="158" spans="1:6" x14ac:dyDescent="0.35">
      <c r="A158" s="20" t="s">
        <v>272</v>
      </c>
      <c r="B158" s="50">
        <v>70925600</v>
      </c>
      <c r="C158" s="50">
        <v>9505467</v>
      </c>
      <c r="D158" s="50">
        <v>39448448</v>
      </c>
      <c r="E158" s="32">
        <f>SUM(B158:D158)</f>
        <v>119879515</v>
      </c>
      <c r="F158" s="18"/>
    </row>
    <row r="159" spans="1:6" x14ac:dyDescent="0.35">
      <c r="A159" s="20" t="s">
        <v>273</v>
      </c>
      <c r="B159" s="50">
        <v>40060612</v>
      </c>
      <c r="C159" s="50">
        <v>41144158</v>
      </c>
      <c r="D159" s="50">
        <v>69950980</v>
      </c>
      <c r="E159" s="32">
        <f>SUM(B159:D159)</f>
        <v>151155750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1982303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-219471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342085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5360377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-5416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1342502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686003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9488383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302997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696938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999935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/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699919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699919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155750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482230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637980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415204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415204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807700</v>
      </c>
      <c r="C212" s="216"/>
      <c r="D212" s="220"/>
      <c r="E212" s="32">
        <f t="shared" ref="E212:E220" si="16">SUM(B212:C212)-D212</f>
        <v>807700</v>
      </c>
    </row>
    <row r="213" spans="1:5" x14ac:dyDescent="0.35">
      <c r="A213" s="20" t="s">
        <v>367</v>
      </c>
      <c r="B213" s="220">
        <v>511574</v>
      </c>
      <c r="C213" s="216">
        <v>9880</v>
      </c>
      <c r="D213" s="220"/>
      <c r="E213" s="32">
        <f t="shared" si="16"/>
        <v>521454</v>
      </c>
    </row>
    <row r="214" spans="1:5" x14ac:dyDescent="0.35">
      <c r="A214" s="20" t="s">
        <v>368</v>
      </c>
      <c r="B214" s="220">
        <v>14165726</v>
      </c>
      <c r="C214" s="216"/>
      <c r="D214" s="220"/>
      <c r="E214" s="32">
        <f t="shared" si="16"/>
        <v>14165726</v>
      </c>
    </row>
    <row r="215" spans="1:5" x14ac:dyDescent="0.35">
      <c r="A215" s="20" t="s">
        <v>369</v>
      </c>
      <c r="B215" s="220">
        <v>3685684</v>
      </c>
      <c r="C215" s="216">
        <v>1086871</v>
      </c>
      <c r="D215" s="220"/>
      <c r="E215" s="32">
        <f t="shared" si="16"/>
        <v>4772555</v>
      </c>
    </row>
    <row r="216" spans="1:5" x14ac:dyDescent="0.35">
      <c r="A216" s="20" t="s">
        <v>370</v>
      </c>
      <c r="B216" s="220">
        <v>6170506</v>
      </c>
      <c r="C216" s="216"/>
      <c r="D216" s="220"/>
      <c r="E216" s="32">
        <f t="shared" si="16"/>
        <v>6170506</v>
      </c>
    </row>
    <row r="217" spans="1:5" x14ac:dyDescent="0.35">
      <c r="A217" s="20" t="s">
        <v>371</v>
      </c>
      <c r="B217" s="220">
        <v>1955710</v>
      </c>
      <c r="C217" s="216">
        <v>1107490</v>
      </c>
      <c r="D217" s="220"/>
      <c r="E217" s="32">
        <f t="shared" si="16"/>
        <v>3063200</v>
      </c>
    </row>
    <row r="218" spans="1:5" x14ac:dyDescent="0.35">
      <c r="A218" s="20" t="s">
        <v>372</v>
      </c>
      <c r="B218" s="220">
        <v>614812</v>
      </c>
      <c r="C218" s="216"/>
      <c r="D218" s="220"/>
      <c r="E218" s="32">
        <f t="shared" si="16"/>
        <v>614812</v>
      </c>
    </row>
    <row r="219" spans="1:5" x14ac:dyDescent="0.35">
      <c r="A219" s="20" t="s">
        <v>373</v>
      </c>
      <c r="B219" s="220">
        <v>176176</v>
      </c>
      <c r="C219" s="216">
        <v>36691</v>
      </c>
      <c r="D219" s="220"/>
      <c r="E219" s="32">
        <f t="shared" si="16"/>
        <v>212867</v>
      </c>
    </row>
    <row r="220" spans="1:5" x14ac:dyDescent="0.35">
      <c r="A220" s="20" t="s">
        <v>374</v>
      </c>
      <c r="B220" s="220">
        <v>1560184</v>
      </c>
      <c r="C220" s="216">
        <v>135225</v>
      </c>
      <c r="D220" s="220">
        <v>849874</v>
      </c>
      <c r="E220" s="32">
        <f t="shared" si="16"/>
        <v>845535</v>
      </c>
    </row>
    <row r="221" spans="1:5" x14ac:dyDescent="0.35">
      <c r="A221" s="20" t="s">
        <v>215</v>
      </c>
      <c r="B221" s="32">
        <f>SUM(B212:B220)</f>
        <v>29648072</v>
      </c>
      <c r="C221" s="266">
        <f>SUM(C212:C220)</f>
        <v>2376157</v>
      </c>
      <c r="D221" s="32">
        <f>SUM(D212:D220)</f>
        <v>849874</v>
      </c>
      <c r="E221" s="32">
        <f>SUM(E212:E220)</f>
        <v>31174355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397327</v>
      </c>
      <c r="C226" s="216">
        <v>23665</v>
      </c>
      <c r="D226" s="220"/>
      <c r="E226" s="32">
        <f t="shared" ref="E226:E233" si="17">SUM(B226:C226)-D226</f>
        <v>420992</v>
      </c>
    </row>
    <row r="227" spans="1:5" x14ac:dyDescent="0.35">
      <c r="A227" s="20" t="s">
        <v>368</v>
      </c>
      <c r="B227" s="220">
        <v>6491165</v>
      </c>
      <c r="C227" s="216">
        <v>847741</v>
      </c>
      <c r="D227" s="220"/>
      <c r="E227" s="32">
        <f t="shared" si="17"/>
        <v>7338906</v>
      </c>
    </row>
    <row r="228" spans="1:5" x14ac:dyDescent="0.35">
      <c r="A228" s="20" t="s">
        <v>369</v>
      </c>
      <c r="B228" s="220">
        <v>478406</v>
      </c>
      <c r="C228" s="216">
        <v>289842</v>
      </c>
      <c r="D228" s="220"/>
      <c r="E228" s="32">
        <f t="shared" si="17"/>
        <v>768248</v>
      </c>
    </row>
    <row r="229" spans="1:5" x14ac:dyDescent="0.35">
      <c r="A229" s="20" t="s">
        <v>370</v>
      </c>
      <c r="B229" s="220">
        <v>4950880</v>
      </c>
      <c r="C229" s="216">
        <v>340726</v>
      </c>
      <c r="D229" s="220"/>
      <c r="E229" s="32">
        <f t="shared" si="17"/>
        <v>5291606</v>
      </c>
    </row>
    <row r="230" spans="1:5" x14ac:dyDescent="0.35">
      <c r="A230" s="20" t="s">
        <v>371</v>
      </c>
      <c r="B230" s="220">
        <v>544445</v>
      </c>
      <c r="C230" s="216">
        <v>499347</v>
      </c>
      <c r="D230" s="220"/>
      <c r="E230" s="32">
        <f t="shared" si="17"/>
        <v>1043792</v>
      </c>
    </row>
    <row r="231" spans="1:5" x14ac:dyDescent="0.35">
      <c r="A231" s="20" t="s">
        <v>372</v>
      </c>
      <c r="B231" s="220">
        <v>189233</v>
      </c>
      <c r="C231" s="216">
        <v>124077</v>
      </c>
      <c r="D231" s="220"/>
      <c r="E231" s="32">
        <f t="shared" si="17"/>
        <v>313310</v>
      </c>
    </row>
    <row r="232" spans="1:5" x14ac:dyDescent="0.35">
      <c r="A232" s="20" t="s">
        <v>373</v>
      </c>
      <c r="B232" s="220">
        <v>104030</v>
      </c>
      <c r="C232" s="216">
        <v>29244</v>
      </c>
      <c r="D232" s="220"/>
      <c r="E232" s="32">
        <f t="shared" si="17"/>
        <v>133274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13155486</v>
      </c>
      <c r="C234" s="266">
        <f>SUM(C225:C233)</f>
        <v>2154642</v>
      </c>
      <c r="D234" s="32">
        <f>SUM(D225:D233)</f>
        <v>0</v>
      </c>
      <c r="E234" s="32">
        <f>SUM(E225:E233)</f>
        <v>15310128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4" t="s">
        <v>377</v>
      </c>
      <c r="C237" s="344"/>
      <c r="D237" s="38"/>
      <c r="E237" s="38"/>
    </row>
    <row r="238" spans="1:5" x14ac:dyDescent="0.35">
      <c r="A238" s="56" t="s">
        <v>377</v>
      </c>
      <c r="B238" s="38"/>
      <c r="C238" s="216">
        <v>5014895</v>
      </c>
      <c r="D238" s="40">
        <f>C238</f>
        <v>5014895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80490000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38657936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/>
      <c r="D242" s="20"/>
      <c r="E242" s="20"/>
    </row>
    <row r="243" spans="1:5" x14ac:dyDescent="0.35">
      <c r="A243" s="20" t="s">
        <v>382</v>
      </c>
      <c r="B243" s="46" t="s">
        <v>284</v>
      </c>
      <c r="C243" s="216"/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36062819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8875474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164086229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2834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1357203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4046790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5403993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>
        <v>5603625</v>
      </c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5603625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180108742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585307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47082913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32468593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1979044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675061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2619297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156469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20629498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807700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521453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14165726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4772555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6170506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3678012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212866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845536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31174354</v>
      </c>
      <c r="E292" s="20"/>
    </row>
    <row r="293" spans="1:5" x14ac:dyDescent="0.35">
      <c r="A293" s="20" t="s">
        <v>416</v>
      </c>
      <c r="B293" s="46" t="s">
        <v>284</v>
      </c>
      <c r="C293" s="47">
        <v>15310128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15864226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>
        <v>5415157</v>
      </c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3385730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8800887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45294611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>
        <v>160055</v>
      </c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2412485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1664840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1599688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2309581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>
        <v>10162432</v>
      </c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3158732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21467813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11230544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3847160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15077704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15077704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8749094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45294611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45294611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119879515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151155750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271035265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5014895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164086228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5403992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5603625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180108740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90926525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7220031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7220031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7220031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98146556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28516185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9488382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6981575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17469013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1238689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11967113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2151195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999934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699919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637980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415204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5504446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5504446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86069635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12076921</v>
      </c>
      <c r="E418" s="32"/>
    </row>
    <row r="419" spans="1:13" x14ac:dyDescent="0.35">
      <c r="A419" s="32" t="s">
        <v>508</v>
      </c>
      <c r="B419" s="20"/>
      <c r="C419" s="236">
        <v>45278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45278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12122199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>
        <v>162500</v>
      </c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11959699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137678</v>
      </c>
      <c r="E613" s="258">
        <f>SUM(C625:D648)+SUM(C669:D714)</f>
        <v>77761629.115443274</v>
      </c>
      <c r="F613" s="258">
        <f>CE65-(AX65+BD65+BE65+BG65+BJ65+BN65+BP65+BQ65+CB65+CC65+CD65)</f>
        <v>17114541</v>
      </c>
      <c r="G613" s="256">
        <f>CE92-(AX92+AY92+BD92+BE92+BG92+BJ92+BN92+BP92+BQ92+CB92+CC92+CD92)</f>
        <v>34133</v>
      </c>
      <c r="H613" s="261">
        <f>CE61-(AX61+AY61+AZ61+BD61+BE61+BG61+BJ61+BN61+BO61+BP61+BQ61+BR61+CB61+CC61+CD61)</f>
        <v>3116.1799999999994</v>
      </c>
      <c r="I613" s="256">
        <f>CE93-(AX93+AY93+AZ93+BD93+BE93+BF93+BG93+BJ93+BN93+BO93+BP93+BQ93+BR93+CB93+CC93+CD93)</f>
        <v>40407</v>
      </c>
      <c r="J613" s="256">
        <f>CE94-(AX94+AY94+AZ94+BA94+BD94+BE94+BF94+BG94+BJ94+BN94+BO94+BP94+BQ94+BR94+CB94+CC94+CD94)</f>
        <v>373651</v>
      </c>
      <c r="K613" s="256">
        <f>CE90-(AW90+AX90+AY90+AZ90+BA90+BB90+BC90+BD90+BE90+BF90+BG90+BH90+BI90+BJ90+BK90+BL90+BM90+BN90+BO90+BP90+BQ90+BR90+BS90+BT90+BU90+BV90+BW90+BX90+CB90+CC90+CD90)</f>
        <v>271035266</v>
      </c>
      <c r="L613" s="262">
        <f>CE95-(AW95+AX95+AY95+AZ95+BA95+BB95+BC95+BD95+BE95+BF95+BG95+BH95+BI95+BJ95+BK95+BL95+BM95+BN95+BO95+BP95+BQ95+BR95+BS95+BT95+BU95+BV95+BW95+BX95+BY95+BZ95+CA95+CB95+CC95+CD95)</f>
        <v>162.19400000000002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3985828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-1632282</v>
      </c>
      <c r="D616" s="256">
        <f>SUM(C615:C616)</f>
        <v>2353546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48787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158045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21640</v>
      </c>
      <c r="D619" s="256">
        <f>(D616/D613)*BG91</f>
        <v>12461.940426211886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976881</v>
      </c>
      <c r="D620" s="256">
        <f>(D616/D613)*BN91</f>
        <v>611694.94413050741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-740241</v>
      </c>
      <c r="D621" s="256">
        <f>(D616/D613)*CC91</f>
        <v>0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-1294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1087974.8845567191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71949</v>
      </c>
      <c r="D625" s="256">
        <f>(D616/D613)*BD91</f>
        <v>18256.999142927703</v>
      </c>
      <c r="E625" s="258">
        <f>(E624/E613)*SUM(C625:D625)</f>
        <v>1262.0859750526949</v>
      </c>
      <c r="F625" s="258">
        <f>SUM(C625:E625)</f>
        <v>91468.085117980401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1633102</v>
      </c>
      <c r="D626" s="256">
        <f>(D616/D613)*AY91</f>
        <v>68019.288005345807</v>
      </c>
      <c r="E626" s="258">
        <f>(E624/E613)*SUM(C626:D626)</f>
        <v>23800.648957430771</v>
      </c>
      <c r="F626" s="258">
        <f>(F625/F613)*AY65</f>
        <v>15.066050088494148</v>
      </c>
      <c r="G626" s="256">
        <f>SUM(C626:F626)</f>
        <v>1724937.0030128651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36086.634073708221</v>
      </c>
      <c r="E627" s="258">
        <f>(E624/E613)*SUM(C627:D627)</f>
        <v>504.89363439257028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1724937.0030128651</v>
      </c>
      <c r="H629" s="258">
        <f>SUM(C627:G629)</f>
        <v>1761528.5307209659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1274704</v>
      </c>
      <c r="D630" s="256">
        <f>(D616/D613)*BF91</f>
        <v>9470.3909411815985</v>
      </c>
      <c r="E630" s="258">
        <f>(E624/E613)*SUM(C630:D630)</f>
        <v>17967.080945034581</v>
      </c>
      <c r="F630" s="258">
        <f>(F625/F613)*BF65</f>
        <v>87.670622792358287</v>
      </c>
      <c r="G630" s="256">
        <f>(G626/G613)*BF92</f>
        <v>0</v>
      </c>
      <c r="H630" s="258">
        <f>(H629/H613)*BF61</f>
        <v>44504.855696288942</v>
      </c>
      <c r="I630" s="256">
        <f>SUM(C630:H630)</f>
        <v>1346733.9982052974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220658</v>
      </c>
      <c r="D631" s="256">
        <f>(D616/D613)*BA91</f>
        <v>29453.941501183923</v>
      </c>
      <c r="E631" s="258">
        <f>(E624/E613)*SUM(C631:D631)</f>
        <v>3499.3545502632219</v>
      </c>
      <c r="F631" s="258">
        <f>(F625/F613)*BA65</f>
        <v>176.35669415400139</v>
      </c>
      <c r="G631" s="256">
        <f>(G626/G613)*BA92</f>
        <v>0</v>
      </c>
      <c r="H631" s="258">
        <f>(H629/H613)*BA61</f>
        <v>101547.72357781461</v>
      </c>
      <c r="I631" s="256">
        <f>(I630/I613)*BA93</f>
        <v>1346733.9982052974</v>
      </c>
      <c r="J631" s="256">
        <f>SUM(C631:I631)</f>
        <v>1702069.3745287131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0</v>
      </c>
      <c r="D633" s="256">
        <f>(D616/D613)*BB91</f>
        <v>0</v>
      </c>
      <c r="E633" s="258">
        <f>(E624/E613)*SUM(C633:D633)</f>
        <v>0</v>
      </c>
      <c r="F633" s="258">
        <f>(F625/F613)*BB65</f>
        <v>0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1702069.3745287133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194364</v>
      </c>
      <c r="D636" s="256">
        <f>(D616/D613)*BK91</f>
        <v>0</v>
      </c>
      <c r="E636" s="258">
        <f>(E624/E613)*SUM(C636:D636)</f>
        <v>2719.3765468576848</v>
      </c>
      <c r="F636" s="258">
        <f>(F625/F613)*BK65</f>
        <v>245.70648696999999</v>
      </c>
      <c r="G636" s="256">
        <f>(G626/G613)*BK92</f>
        <v>0</v>
      </c>
      <c r="H636" s="258">
        <f>(H629/H613)*BK61</f>
        <v>17484.252339466748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5298415</v>
      </c>
      <c r="D637" s="256">
        <f>(D616/D613)*BH91</f>
        <v>28342.794549601243</v>
      </c>
      <c r="E637" s="258">
        <f>(E624/E613)*SUM(C637:D637)</f>
        <v>74527.485631544681</v>
      </c>
      <c r="F637" s="258">
        <f>(F625/F613)*BH65</f>
        <v>169.13632037977095</v>
      </c>
      <c r="G637" s="256">
        <f>(G626/G613)*BH92</f>
        <v>0</v>
      </c>
      <c r="H637" s="258">
        <f>(H629/H613)*BH61</f>
        <v>101.75122602987437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1357869</v>
      </c>
      <c r="D638" s="256">
        <f>(D616/D613)*BL91</f>
        <v>19009.160156306745</v>
      </c>
      <c r="E638" s="258">
        <f>(E624/E613)*SUM(C638:D638)</f>
        <v>19264.113604420676</v>
      </c>
      <c r="F638" s="258">
        <f>(F625/F613)*BL65</f>
        <v>93.971748388078254</v>
      </c>
      <c r="G638" s="256">
        <f>(G626/G613)*BL92</f>
        <v>0</v>
      </c>
      <c r="H638" s="258">
        <f>(H629/H613)*BL61</f>
        <v>11305.691781097154</v>
      </c>
      <c r="I638" s="256">
        <f>(I630/I613)*BL93</f>
        <v>0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4.5695185617816589</v>
      </c>
      <c r="G639" s="256">
        <f>(G626/G613)*BM92</f>
        <v>0</v>
      </c>
      <c r="H639" s="258">
        <f>(H629/H613)*BM61</f>
        <v>101.75122602987437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28906.915309635529</v>
      </c>
      <c r="E641" s="258">
        <f>(E624/E613)*SUM(C641:D641)</f>
        <v>404.44108752147628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1909708</v>
      </c>
      <c r="D643" s="256">
        <f>(D616/D613)*BV91</f>
        <v>71404.012565551515</v>
      </c>
      <c r="E643" s="258">
        <f>(E624/E613)*SUM(C643:D643)</f>
        <v>27718.04214601875</v>
      </c>
      <c r="F643" s="258">
        <f>(F625/F613)*BV65</f>
        <v>61.504116501734892</v>
      </c>
      <c r="G643" s="256">
        <f>(G626/G613)*BV92</f>
        <v>0</v>
      </c>
      <c r="H643" s="258">
        <f>(H629/H613)*BV61</f>
        <v>25059.065832801836</v>
      </c>
      <c r="I643" s="256">
        <f>(I630/I613)*BV93</f>
        <v>0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222867</v>
      </c>
      <c r="D644" s="256">
        <f>(D616/D613)*BW91</f>
        <v>0</v>
      </c>
      <c r="E644" s="258">
        <f>(E624/E613)*SUM(C644:D644)</f>
        <v>3118.1663933060222</v>
      </c>
      <c r="F644" s="258">
        <f>(F625/F613)*BW65</f>
        <v>31.190304475506156</v>
      </c>
      <c r="G644" s="256">
        <f>(G626/G613)*BW92</f>
        <v>0</v>
      </c>
      <c r="H644" s="258">
        <f>(H629/H613)*BW61</f>
        <v>1164.4862534530068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11016529.959673634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1047225</v>
      </c>
      <c r="D646" s="256">
        <f>(D616/D613)*BY91</f>
        <v>7829.312366536411</v>
      </c>
      <c r="E646" s="258">
        <f>(E624/E613)*SUM(C646:D646)</f>
        <v>14761.426769929723</v>
      </c>
      <c r="F646" s="258">
        <f>(F625/F613)*BY65</f>
        <v>26.161161824469264</v>
      </c>
      <c r="G646" s="256">
        <f>(G626/G613)*BY92</f>
        <v>0</v>
      </c>
      <c r="H646" s="258">
        <f>(H629/H613)*BY61</f>
        <v>3838.2823596824833</v>
      </c>
      <c r="I646" s="256">
        <f>(I630/I613)*BY93</f>
        <v>0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>
        <f>(F625/F613)*CA65</f>
        <v>0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1073680.1826579729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16048225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0</v>
      </c>
      <c r="D669" s="256">
        <f>(D616/D613)*C91</f>
        <v>0</v>
      </c>
      <c r="E669" s="258">
        <f>(E624/E613)*SUM(C669:D669)</f>
        <v>0</v>
      </c>
      <c r="F669" s="258">
        <f>(F625/F613)*C65</f>
        <v>0</v>
      </c>
      <c r="G669" s="256">
        <f>(G626/G613)*C92</f>
        <v>0</v>
      </c>
      <c r="H669" s="258">
        <f>(H629/H613)*C61</f>
        <v>0</v>
      </c>
      <c r="I669" s="256">
        <f>(I630/I613)*C93</f>
        <v>0</v>
      </c>
      <c r="J669" s="256">
        <f>(J631/J613)*C94</f>
        <v>0</v>
      </c>
      <c r="K669" s="256">
        <f>(K645/K613)*C90</f>
        <v>0</v>
      </c>
      <c r="L669" s="256">
        <f>(L648/L613)*C95</f>
        <v>0</v>
      </c>
      <c r="M669" s="231">
        <f t="shared" ref="M669:M714" si="18">ROUND(SUM(D669:L669),0)</f>
        <v>0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6125987</v>
      </c>
      <c r="D671" s="256">
        <f>(D616/D613)*E91</f>
        <v>344865.82463429164</v>
      </c>
      <c r="E671" s="258">
        <f>(E624/E613)*SUM(C671:D671)</f>
        <v>90534.694745314438</v>
      </c>
      <c r="F671" s="258">
        <f>(F625/F613)*E65</f>
        <v>1477.8731588048088</v>
      </c>
      <c r="G671" s="256">
        <f>(G626/G613)*E92</f>
        <v>0</v>
      </c>
      <c r="H671" s="258">
        <f>(H629/H613)*E61</f>
        <v>34013.173723430788</v>
      </c>
      <c r="I671" s="256">
        <f>(I630/I613)*E93</f>
        <v>0</v>
      </c>
      <c r="J671" s="256">
        <f>(J631/J613)*E94</f>
        <v>0</v>
      </c>
      <c r="K671" s="256">
        <f>(K645/K613)*E90</f>
        <v>700218.34639231046</v>
      </c>
      <c r="L671" s="256">
        <f>(L648/L613)*E95</f>
        <v>306493.41194535024</v>
      </c>
      <c r="M671" s="231">
        <f t="shared" si="18"/>
        <v>1477603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2225786</v>
      </c>
      <c r="D673" s="256">
        <f>(D616/D613)*G91</f>
        <v>118482.4541756853</v>
      </c>
      <c r="E673" s="258">
        <f>(E624/E613)*SUM(C673:D673)</f>
        <v>32799.019642648222</v>
      </c>
      <c r="F673" s="258">
        <f>(F625/F613)*G65</f>
        <v>243.07166515601361</v>
      </c>
      <c r="G673" s="256">
        <f>(G626/G613)*G92</f>
        <v>0</v>
      </c>
      <c r="H673" s="258">
        <f>(H629/H613)*G61</f>
        <v>11712.69668521665</v>
      </c>
      <c r="I673" s="256">
        <f>(I630/I613)*G93</f>
        <v>0</v>
      </c>
      <c r="J673" s="256">
        <f>(J631/J613)*G94</f>
        <v>0</v>
      </c>
      <c r="K673" s="256">
        <f>(K645/K613)*G90</f>
        <v>238667.63281103747</v>
      </c>
      <c r="L673" s="256">
        <f>(L648/L613)*G95</f>
        <v>105584.66351033124</v>
      </c>
      <c r="M673" s="231">
        <f t="shared" si="18"/>
        <v>507490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0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14359.437528145383</v>
      </c>
      <c r="E676" s="258">
        <f>(E624/E613)*SUM(C676:D676)</f>
        <v>200.90509374218806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14560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1925549</v>
      </c>
      <c r="D680" s="256">
        <f>(D616/D613)*N91</f>
        <v>0</v>
      </c>
      <c r="E680" s="258">
        <f>(E624/E613)*SUM(C680:D680)</f>
        <v>26940.651511726803</v>
      </c>
      <c r="F680" s="258">
        <f>(F625/F613)*N65</f>
        <v>573.18330609819805</v>
      </c>
      <c r="G680" s="256">
        <f>(G626/G613)*N92</f>
        <v>0</v>
      </c>
      <c r="H680" s="258">
        <f>(H629/H613)*N61</f>
        <v>10429.500668062123</v>
      </c>
      <c r="I680" s="256">
        <f>(I630/I613)*N93</f>
        <v>0</v>
      </c>
      <c r="J680" s="256">
        <f>(J631/J613)*N94</f>
        <v>0</v>
      </c>
      <c r="K680" s="256">
        <f>(K645/K613)*N90</f>
        <v>184973.26440416742</v>
      </c>
      <c r="L680" s="256">
        <f>(L648/L613)*N95</f>
        <v>111674.81338051964</v>
      </c>
      <c r="M680" s="231">
        <f t="shared" si="18"/>
        <v>334591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0</v>
      </c>
      <c r="D681" s="256">
        <f>(D616/D613)*O91</f>
        <v>34137.853266317063</v>
      </c>
      <c r="E681" s="258">
        <f>(E624/E613)*SUM(C681:D681)</f>
        <v>477.62794309898766</v>
      </c>
      <c r="F681" s="258">
        <f>(F625/F613)*O65</f>
        <v>0</v>
      </c>
      <c r="G681" s="256">
        <f>(G626/G613)*O92</f>
        <v>0</v>
      </c>
      <c r="H681" s="258">
        <f>(H629/H613)*O61</f>
        <v>0</v>
      </c>
      <c r="I681" s="256">
        <f>(I630/I613)*O93</f>
        <v>0</v>
      </c>
      <c r="J681" s="256">
        <f>(J631/J613)*O94</f>
        <v>0</v>
      </c>
      <c r="K681" s="256">
        <f>(K645/K613)*O90</f>
        <v>0</v>
      </c>
      <c r="L681" s="256">
        <f>(L648/L613)*O95</f>
        <v>0</v>
      </c>
      <c r="M681" s="231">
        <f t="shared" si="18"/>
        <v>34615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18517427</v>
      </c>
      <c r="D682" s="256">
        <f>(D616/D613)*P91</f>
        <v>148432.13816295995</v>
      </c>
      <c r="E682" s="258">
        <f>(E624/E613)*SUM(C682:D682)</f>
        <v>261156.8992574219</v>
      </c>
      <c r="F682" s="258">
        <f>(F625/F613)*P65</f>
        <v>65610.895150493467</v>
      </c>
      <c r="G682" s="256">
        <f>(G626/G613)*P92</f>
        <v>0</v>
      </c>
      <c r="H682" s="258">
        <f>(H629/H613)*P61</f>
        <v>318215.65371665097</v>
      </c>
      <c r="I682" s="256">
        <f>(I630/I613)*P93</f>
        <v>0</v>
      </c>
      <c r="J682" s="256">
        <f>(J631/J613)*P94</f>
        <v>0</v>
      </c>
      <c r="K682" s="256">
        <f>(K645/K613)*P90</f>
        <v>3899287.4310146291</v>
      </c>
      <c r="L682" s="256">
        <f>(L648/L613)*P95</f>
        <v>126900.1880559906</v>
      </c>
      <c r="M682" s="231">
        <f t="shared" si="18"/>
        <v>4819603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1131810</v>
      </c>
      <c r="D683" s="256">
        <f>(D616/D613)*Q91</f>
        <v>13607.276514766339</v>
      </c>
      <c r="E683" s="258">
        <f>(E624/E613)*SUM(C683:D683)</f>
        <v>16025.708866456027</v>
      </c>
      <c r="F683" s="258">
        <f>(F625/F613)*Q65</f>
        <v>72.428205320777835</v>
      </c>
      <c r="G683" s="256">
        <f>(G626/G613)*Q92</f>
        <v>0</v>
      </c>
      <c r="H683" s="258">
        <f>(H629/H613)*Q61</f>
        <v>98466.922567465648</v>
      </c>
      <c r="I683" s="256">
        <f>(I630/I613)*Q93</f>
        <v>0</v>
      </c>
      <c r="J683" s="256">
        <f>(J631/J613)*Q94</f>
        <v>0</v>
      </c>
      <c r="K683" s="256">
        <f>(K645/K613)*Q90</f>
        <v>127359.91975188929</v>
      </c>
      <c r="L683" s="256">
        <f>(L648/L613)*Q95</f>
        <v>79370.540156042116</v>
      </c>
      <c r="M683" s="231">
        <f t="shared" si="18"/>
        <v>334903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2739753</v>
      </c>
      <c r="D684" s="256">
        <f>(D616/D613)*R91</f>
        <v>6205.3283603771124</v>
      </c>
      <c r="E684" s="258">
        <f>(E624/E613)*SUM(C684:D684)</f>
        <v>38419.124306927944</v>
      </c>
      <c r="F684" s="258">
        <f>(F625/F613)*R65</f>
        <v>3568.8314080145547</v>
      </c>
      <c r="G684" s="256">
        <f>(G626/G613)*R92</f>
        <v>0</v>
      </c>
      <c r="H684" s="258">
        <f>(H629/H613)*R61</f>
        <v>200766.47464872326</v>
      </c>
      <c r="I684" s="256">
        <f>(I630/I613)*R93</f>
        <v>0</v>
      </c>
      <c r="J684" s="256">
        <f>(J631/J613)*R94</f>
        <v>0</v>
      </c>
      <c r="K684" s="256">
        <f>(K645/K613)*R90</f>
        <v>260825.04821142633</v>
      </c>
      <c r="L684" s="256">
        <f>(L648/L613)*R95</f>
        <v>0</v>
      </c>
      <c r="M684" s="231">
        <f t="shared" si="18"/>
        <v>509785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465665</v>
      </c>
      <c r="D685" s="256">
        <f>(D616/D613)*S91</f>
        <v>97951.877424134582</v>
      </c>
      <c r="E685" s="258">
        <f>(E624/E613)*SUM(C685:D685)</f>
        <v>7885.6502123868322</v>
      </c>
      <c r="F685" s="258">
        <f>(F625/F613)*S65</f>
        <v>1050.4441336620603</v>
      </c>
      <c r="G685" s="256">
        <f>(G626/G613)*S92</f>
        <v>0</v>
      </c>
      <c r="H685" s="258">
        <f>(H629/H613)*S61</f>
        <v>2645.5318767767335</v>
      </c>
      <c r="I685" s="256">
        <f>(I630/I613)*S93</f>
        <v>0</v>
      </c>
      <c r="J685" s="256">
        <f>(J631/J613)*S94</f>
        <v>0</v>
      </c>
      <c r="K685" s="256">
        <f>(K645/K613)*S90</f>
        <v>0</v>
      </c>
      <c r="L685" s="256">
        <f>(L648/L613)*S95</f>
        <v>0</v>
      </c>
      <c r="M685" s="231">
        <f t="shared" si="18"/>
        <v>109534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191231</v>
      </c>
      <c r="D686" s="256">
        <f>(D616/D613)*T91</f>
        <v>0</v>
      </c>
      <c r="E686" s="258">
        <f>(E624/E613)*SUM(C686:D686)</f>
        <v>2675.5422631358788</v>
      </c>
      <c r="F686" s="258">
        <f>(F625/F613)*T65</f>
        <v>5.1734432371984163</v>
      </c>
      <c r="G686" s="256">
        <f>(G626/G613)*T92</f>
        <v>0</v>
      </c>
      <c r="H686" s="258">
        <f>(H629/H613)*T61</f>
        <v>983.59518495545228</v>
      </c>
      <c r="I686" s="256">
        <f>(I630/I613)*T93</f>
        <v>0</v>
      </c>
      <c r="J686" s="256">
        <f>(J631/J613)*T94</f>
        <v>0</v>
      </c>
      <c r="K686" s="256">
        <f>(K645/K613)*T90</f>
        <v>8493.1271809613318</v>
      </c>
      <c r="L686" s="256">
        <f>(L648/L613)*T95</f>
        <v>5163.3879334205876</v>
      </c>
      <c r="M686" s="231">
        <f t="shared" si="18"/>
        <v>17321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2719492</v>
      </c>
      <c r="D687" s="256">
        <f>(D616/D613)*U91</f>
        <v>32394.207280756549</v>
      </c>
      <c r="E687" s="258">
        <f>(E624/E613)*SUM(C687:D687)</f>
        <v>38502.062170465906</v>
      </c>
      <c r="F687" s="258">
        <f>(F625/F613)*U65</f>
        <v>2800.0673630059473</v>
      </c>
      <c r="G687" s="256">
        <f>(G626/G613)*U92</f>
        <v>0</v>
      </c>
      <c r="H687" s="258">
        <f>(H629/H613)*U61</f>
        <v>121462.69965021726</v>
      </c>
      <c r="I687" s="256">
        <f>(I630/I613)*U93</f>
        <v>0</v>
      </c>
      <c r="J687" s="256">
        <f>(J631/J613)*U94</f>
        <v>0</v>
      </c>
      <c r="K687" s="256">
        <f>(K645/K613)*U90</f>
        <v>688652.21050896437</v>
      </c>
      <c r="L687" s="256">
        <f>(L648/L613)*U95</f>
        <v>0</v>
      </c>
      <c r="M687" s="231">
        <f t="shared" si="18"/>
        <v>883811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0</v>
      </c>
      <c r="D688" s="256">
        <f>(D616/D613)*V91</f>
        <v>0</v>
      </c>
      <c r="E688" s="258">
        <f>(E624/E613)*SUM(C688:D688)</f>
        <v>0</v>
      </c>
      <c r="F688" s="258">
        <f>(F625/F613)*V65</f>
        <v>0</v>
      </c>
      <c r="G688" s="256">
        <f>(G626/G613)*V92</f>
        <v>0</v>
      </c>
      <c r="H688" s="258">
        <f>(H629/H613)*V61</f>
        <v>0</v>
      </c>
      <c r="I688" s="256">
        <f>(I630/I613)*V93</f>
        <v>0</v>
      </c>
      <c r="J688" s="256">
        <f>(J631/J613)*V94</f>
        <v>0</v>
      </c>
      <c r="K688" s="256">
        <f>(K645/K613)*V90</f>
        <v>0</v>
      </c>
      <c r="L688" s="256">
        <f>(L648/L613)*V95</f>
        <v>0</v>
      </c>
      <c r="M688" s="231">
        <f t="shared" si="18"/>
        <v>0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674235</v>
      </c>
      <c r="D689" s="256">
        <f>(D616/D613)*W91</f>
        <v>65164.495068202617</v>
      </c>
      <c r="E689" s="258">
        <f>(E624/E613)*SUM(C689:D689)</f>
        <v>10345.051787609253</v>
      </c>
      <c r="F689" s="258">
        <f>(F625/F613)*W65</f>
        <v>49.313389204163002</v>
      </c>
      <c r="G689" s="256">
        <f>(G626/G613)*W92</f>
        <v>0</v>
      </c>
      <c r="H689" s="258">
        <f>(H629/H613)*W61</f>
        <v>11701.390993435552</v>
      </c>
      <c r="I689" s="256">
        <f>(I630/I613)*W93</f>
        <v>0</v>
      </c>
      <c r="J689" s="256">
        <f>(J631/J613)*W94</f>
        <v>0</v>
      </c>
      <c r="K689" s="256">
        <f>(K645/K613)*W90</f>
        <v>145330.66360881831</v>
      </c>
      <c r="L689" s="256">
        <f>(L648/L613)*W95</f>
        <v>0</v>
      </c>
      <c r="M689" s="231">
        <f t="shared" si="18"/>
        <v>232591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495119</v>
      </c>
      <c r="D690" s="256">
        <f>(D616/D613)*X91</f>
        <v>0</v>
      </c>
      <c r="E690" s="258">
        <f>(E624/E613)*SUM(C690:D690)</f>
        <v>6927.2858991563771</v>
      </c>
      <c r="F690" s="258">
        <f>(F625/F613)*X65</f>
        <v>299.80317338210989</v>
      </c>
      <c r="G690" s="256">
        <f>(G626/G613)*X92</f>
        <v>0</v>
      </c>
      <c r="H690" s="258">
        <f>(H629/H613)*X61</f>
        <v>30672.341802116574</v>
      </c>
      <c r="I690" s="256">
        <f>(I630/I613)*X93</f>
        <v>0</v>
      </c>
      <c r="J690" s="256">
        <f>(J631/J613)*X94</f>
        <v>0</v>
      </c>
      <c r="K690" s="256">
        <f>(K645/K613)*X90</f>
        <v>546739.51916077023</v>
      </c>
      <c r="L690" s="256">
        <f>(L648/L613)*X95</f>
        <v>0</v>
      </c>
      <c r="M690" s="231">
        <f t="shared" si="18"/>
        <v>584639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3515121</v>
      </c>
      <c r="D691" s="256">
        <f>(D616/D613)*Y91</f>
        <v>140978.90630311306</v>
      </c>
      <c r="E691" s="258">
        <f>(E624/E613)*SUM(C691:D691)</f>
        <v>51153.054774388591</v>
      </c>
      <c r="F691" s="258">
        <f>(F625/F613)*Y65</f>
        <v>579.44702043083919</v>
      </c>
      <c r="G691" s="256">
        <f>(G626/G613)*Y92</f>
        <v>0</v>
      </c>
      <c r="H691" s="258">
        <f>(H629/H613)*Y61</f>
        <v>62362.195864531888</v>
      </c>
      <c r="I691" s="256">
        <f>(I630/I613)*Y93</f>
        <v>0</v>
      </c>
      <c r="J691" s="256">
        <f>(J631/J613)*Y94</f>
        <v>0</v>
      </c>
      <c r="K691" s="256">
        <f>(K645/K613)*Y90</f>
        <v>474698.14583197492</v>
      </c>
      <c r="L691" s="256">
        <f>(L648/L613)*Y95</f>
        <v>66.197281197699837</v>
      </c>
      <c r="M691" s="231">
        <f t="shared" si="18"/>
        <v>729838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8"/>
        <v>0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640869</v>
      </c>
      <c r="D693" s="256">
        <f>(D616/D613)*AA91</f>
        <v>22462.262990455994</v>
      </c>
      <c r="E693" s="258">
        <f>(E624/E613)*SUM(C693:D693)</f>
        <v>9280.7694808386987</v>
      </c>
      <c r="F693" s="258">
        <f>(F625/F613)*AA65</f>
        <v>997.43771834539302</v>
      </c>
      <c r="G693" s="256">
        <f>(G626/G613)*AA92</f>
        <v>0</v>
      </c>
      <c r="H693" s="258">
        <f>(H629/H613)*AA61</f>
        <v>5330.6336747873074</v>
      </c>
      <c r="I693" s="256">
        <f>(I630/I613)*AA93</f>
        <v>0</v>
      </c>
      <c r="J693" s="256">
        <f>(J631/J613)*AA94</f>
        <v>0</v>
      </c>
      <c r="K693" s="256">
        <f>(K645/K613)*AA90</f>
        <v>99743.77206588634</v>
      </c>
      <c r="L693" s="256">
        <f>(L648/L613)*AA95</f>
        <v>26.478912479079938</v>
      </c>
      <c r="M693" s="231">
        <f t="shared" si="18"/>
        <v>137841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3195821</v>
      </c>
      <c r="D694" s="256">
        <f>(D616/D613)*AB91</f>
        <v>23265.707709292699</v>
      </c>
      <c r="E694" s="258">
        <f>(E624/E613)*SUM(C694:D694)</f>
        <v>45038.736058354276</v>
      </c>
      <c r="F694" s="258">
        <f>(F625/F613)*AB65</f>
        <v>8736.2834986541911</v>
      </c>
      <c r="G694" s="256">
        <f>(G626/G613)*AB92</f>
        <v>0</v>
      </c>
      <c r="H694" s="258">
        <f>(H629/H613)*AB61</f>
        <v>202654.52517616647</v>
      </c>
      <c r="I694" s="256">
        <f>(I630/I613)*AB93</f>
        <v>0</v>
      </c>
      <c r="J694" s="256">
        <f>(J631/J613)*AB94</f>
        <v>0</v>
      </c>
      <c r="K694" s="256">
        <f>(K645/K613)*AB90</f>
        <v>751937.92341505573</v>
      </c>
      <c r="L694" s="256">
        <f>(L648/L613)*AB95</f>
        <v>0</v>
      </c>
      <c r="M694" s="231">
        <f t="shared" si="18"/>
        <v>1031633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1044372</v>
      </c>
      <c r="D695" s="256">
        <f>(D616/D613)*AC91</f>
        <v>10034.511701215881</v>
      </c>
      <c r="E695" s="258">
        <f>(E624/E613)*SUM(C695:D695)</f>
        <v>14752.363291423873</v>
      </c>
      <c r="F695" s="258">
        <f>(F625/F613)*AC65</f>
        <v>169.32337669516554</v>
      </c>
      <c r="G695" s="256">
        <f>(G626/G613)*AC92</f>
        <v>0</v>
      </c>
      <c r="H695" s="258">
        <f>(H629/H613)*AC61</f>
        <v>111281.92420133928</v>
      </c>
      <c r="I695" s="256">
        <f>(I630/I613)*AC93</f>
        <v>0</v>
      </c>
      <c r="J695" s="256">
        <f>(J631/J613)*AC94</f>
        <v>0</v>
      </c>
      <c r="K695" s="256">
        <f>(K645/K613)*AC90</f>
        <v>286807.99444419239</v>
      </c>
      <c r="L695" s="256">
        <f>(L648/L613)*AC95</f>
        <v>0</v>
      </c>
      <c r="M695" s="231">
        <f t="shared" si="18"/>
        <v>423046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2279891</v>
      </c>
      <c r="D697" s="256">
        <f>(D616/D613)*AE91</f>
        <v>37402.915847121549</v>
      </c>
      <c r="E697" s="258">
        <f>(E624/E613)*SUM(C697:D697)</f>
        <v>32421.614737969318</v>
      </c>
      <c r="F697" s="258">
        <f>(F625/F613)*AE65</f>
        <v>267.27675236807107</v>
      </c>
      <c r="G697" s="256">
        <f>(G626/G613)*AE92</f>
        <v>0</v>
      </c>
      <c r="H697" s="258">
        <f>(H629/H613)*AE61</f>
        <v>34832.836377560328</v>
      </c>
      <c r="I697" s="256">
        <f>(I630/I613)*AE93</f>
        <v>0</v>
      </c>
      <c r="J697" s="256">
        <f>(J631/J613)*AE94</f>
        <v>0</v>
      </c>
      <c r="K697" s="256">
        <f>(K645/K613)*AE90</f>
        <v>344040.20049795375</v>
      </c>
      <c r="L697" s="256">
        <f>(L648/L613)*AE95</f>
        <v>0</v>
      </c>
      <c r="M697" s="231">
        <f t="shared" si="18"/>
        <v>448965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7911927</v>
      </c>
      <c r="D699" s="256">
        <f>(D616/D613)*AG91</f>
        <v>84242.033498452918</v>
      </c>
      <c r="E699" s="258">
        <f>(E624/E613)*SUM(C699:D699)</f>
        <v>111875.62786527019</v>
      </c>
      <c r="F699" s="258">
        <f>(F625/F613)*AG65</f>
        <v>1297.6310377567545</v>
      </c>
      <c r="G699" s="256">
        <f>(G626/G613)*AG92</f>
        <v>0</v>
      </c>
      <c r="H699" s="258">
        <f>(H629/H613)*AG61</f>
        <v>32973.050079569846</v>
      </c>
      <c r="I699" s="256">
        <f>(I630/I613)*AG93</f>
        <v>0</v>
      </c>
      <c r="J699" s="256">
        <f>(J631/J613)*AG94</f>
        <v>0</v>
      </c>
      <c r="K699" s="256">
        <f>(K645/K613)*AG90</f>
        <v>1509289.1367617594</v>
      </c>
      <c r="L699" s="256">
        <f>(L648/L613)*AG95</f>
        <v>256249.67551629609</v>
      </c>
      <c r="M699" s="231">
        <f t="shared" si="18"/>
        <v>1995927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2210815</v>
      </c>
      <c r="D701" s="256">
        <f>(D616/D613)*AI91</f>
        <v>153047.67165414954</v>
      </c>
      <c r="E701" s="258">
        <f>(E624/E613)*SUM(C701:D701)</f>
        <v>33073.165345890404</v>
      </c>
      <c r="F701" s="258">
        <f>(F625/F613)*AI65</f>
        <v>2119.6900992543519</v>
      </c>
      <c r="G701" s="256">
        <f>(G626/G613)*AI92</f>
        <v>0</v>
      </c>
      <c r="H701" s="258">
        <f>(H629/H613)*AI61</f>
        <v>201043.46409736009</v>
      </c>
      <c r="I701" s="256">
        <f>(I630/I613)*AI93</f>
        <v>0</v>
      </c>
      <c r="J701" s="256">
        <f>(J631/J613)*AI94</f>
        <v>0</v>
      </c>
      <c r="K701" s="256">
        <f>(K645/K613)*AI90</f>
        <v>295197.59597618046</v>
      </c>
      <c r="L701" s="256">
        <f>(L648/L613)*AI95</f>
        <v>68315.594196026243</v>
      </c>
      <c r="M701" s="231">
        <f t="shared" si="18"/>
        <v>752797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1178486</v>
      </c>
      <c r="D702" s="256">
        <f>(D616/D613)*AJ91</f>
        <v>56702.683667688376</v>
      </c>
      <c r="E702" s="258">
        <f>(E624/E613)*SUM(C702:D702)</f>
        <v>17281.714398293552</v>
      </c>
      <c r="F702" s="258">
        <f>(F625/F613)*AJ65</f>
        <v>98.322143837540565</v>
      </c>
      <c r="G702" s="256">
        <f>(G626/G613)*AJ92</f>
        <v>0</v>
      </c>
      <c r="H702" s="258">
        <f>(H629/H613)*AJ61</f>
        <v>1995.4545993636473</v>
      </c>
      <c r="I702" s="256">
        <f>(I630/I613)*AJ93</f>
        <v>0</v>
      </c>
      <c r="J702" s="256">
        <f>(J631/J613)*AJ94</f>
        <v>0</v>
      </c>
      <c r="K702" s="256">
        <f>(K645/K613)*AJ90</f>
        <v>0</v>
      </c>
      <c r="L702" s="256">
        <f>(L648/L613)*AJ95</f>
        <v>0</v>
      </c>
      <c r="M702" s="231">
        <f t="shared" si="18"/>
        <v>76078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851858</v>
      </c>
      <c r="D703" s="256">
        <f>(D616/D613)*AK91</f>
        <v>0</v>
      </c>
      <c r="E703" s="258">
        <f>(E624/E613)*SUM(C703:D703)</f>
        <v>11918.475985537927</v>
      </c>
      <c r="F703" s="258">
        <f>(F625/F613)*AK65</f>
        <v>64.288583368036939</v>
      </c>
      <c r="G703" s="256">
        <f>(G626/G613)*AK92</f>
        <v>0</v>
      </c>
      <c r="H703" s="258">
        <f>(H629/H613)*AK61</f>
        <v>16201.056322312219</v>
      </c>
      <c r="I703" s="256">
        <f>(I630/I613)*AK93</f>
        <v>0</v>
      </c>
      <c r="J703" s="256">
        <f>(J631/J613)*AK94</f>
        <v>0</v>
      </c>
      <c r="K703" s="256">
        <f>(K645/K613)*AK90</f>
        <v>176457.82250734966</v>
      </c>
      <c r="L703" s="256">
        <f>(L648/L613)*AK95</f>
        <v>0</v>
      </c>
      <c r="M703" s="231">
        <f t="shared" si="18"/>
        <v>204642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582762</v>
      </c>
      <c r="D704" s="256">
        <f>(D616/D613)*AL91</f>
        <v>0</v>
      </c>
      <c r="E704" s="258">
        <f>(E624/E613)*SUM(C704:D704)</f>
        <v>8153.5125599384564</v>
      </c>
      <c r="F704" s="258">
        <f>(F625/F613)*AL65</f>
        <v>14.606425999238917</v>
      </c>
      <c r="G704" s="256">
        <f>(G626/G613)*AL92</f>
        <v>0</v>
      </c>
      <c r="H704" s="258">
        <f>(H629/H613)*AL61</f>
        <v>6189.8662501506906</v>
      </c>
      <c r="I704" s="256">
        <f>(I630/I613)*AL93</f>
        <v>0</v>
      </c>
      <c r="J704" s="256">
        <f>(J631/J613)*AL94</f>
        <v>0</v>
      </c>
      <c r="K704" s="256">
        <f>(K645/K613)*AL90</f>
        <v>54827.622674252598</v>
      </c>
      <c r="L704" s="256">
        <f>(L648/L613)*AL95</f>
        <v>0</v>
      </c>
      <c r="M704" s="231">
        <f t="shared" si="18"/>
        <v>69186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56078</v>
      </c>
      <c r="D705" s="256">
        <f>(D616/D613)*AM91</f>
        <v>0</v>
      </c>
      <c r="E705" s="258">
        <f>(E624/E613)*SUM(C705:D705)</f>
        <v>784.59590250604663</v>
      </c>
      <c r="F705" s="258">
        <f>(F625/F613)*AM65</f>
        <v>1.6621289739346152</v>
      </c>
      <c r="G705" s="256">
        <f>(G626/G613)*AM92</f>
        <v>0</v>
      </c>
      <c r="H705" s="258">
        <f>(H629/H613)*AM61</f>
        <v>514.4089760399205</v>
      </c>
      <c r="I705" s="256">
        <f>(I630/I613)*AM93</f>
        <v>0</v>
      </c>
      <c r="J705" s="256">
        <f>(J631/J613)*AM94</f>
        <v>0</v>
      </c>
      <c r="K705" s="256">
        <f>(K645/K613)*AM90</f>
        <v>4448.3105707235991</v>
      </c>
      <c r="L705" s="256">
        <f>(L648/L613)*AM95</f>
        <v>0</v>
      </c>
      <c r="M705" s="231">
        <f t="shared" si="18"/>
        <v>5749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56</v>
      </c>
      <c r="D708" s="256">
        <f>(D616/D613)*AP91</f>
        <v>0</v>
      </c>
      <c r="E708" s="258">
        <f>(E624/E613)*SUM(C708:D708)</f>
        <v>0.78350459253786897</v>
      </c>
      <c r="F708" s="258">
        <f>(F625/F613)*AP65</f>
        <v>0</v>
      </c>
      <c r="G708" s="256">
        <f>(G626/G613)*AP92</f>
        <v>0</v>
      </c>
      <c r="H708" s="258">
        <f>(H629/H613)*AP61</f>
        <v>3600.8628322794434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1191.551061558597</v>
      </c>
      <c r="M708" s="231">
        <f t="shared" si="18"/>
        <v>4793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2121269</v>
      </c>
      <c r="D714" s="256">
        <f>(D616/D613)*AV91</f>
        <v>8872.0810441755402</v>
      </c>
      <c r="E714" s="258">
        <f>(E624/E613)*SUM(C714:D714)</f>
        <v>29803.130709851652</v>
      </c>
      <c r="F714" s="258">
        <f>(F625/F613)*AV65</f>
        <v>459.69891178138903</v>
      </c>
      <c r="G714" s="256">
        <f>(G626/G613)*AV92</f>
        <v>0</v>
      </c>
      <c r="H714" s="258">
        <f>(H629/H613)*AV61</f>
        <v>36370.410459789542</v>
      </c>
      <c r="I714" s="256">
        <f>(I630/I613)*AV93</f>
        <v>0</v>
      </c>
      <c r="J714" s="256">
        <f>(J631/J613)*AV94</f>
        <v>0</v>
      </c>
      <c r="K714" s="256">
        <f>(K645/K613)*AV90</f>
        <v>218534.27188333069</v>
      </c>
      <c r="L714" s="256">
        <f>(L648/L613)*AV95</f>
        <v>12643.680708760668</v>
      </c>
      <c r="M714" s="231">
        <f t="shared" si="18"/>
        <v>306683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78849604</v>
      </c>
      <c r="D716" s="231">
        <f>SUM(D617:D648)+SUM(D669:D714)</f>
        <v>2353546</v>
      </c>
      <c r="E716" s="231">
        <f>SUM(E625:E648)+SUM(E669:E714)</f>
        <v>1087974.8845567191</v>
      </c>
      <c r="F716" s="231">
        <f>SUM(F626:F649)+SUM(F669:F714)</f>
        <v>91468.085117980416</v>
      </c>
      <c r="G716" s="231">
        <f>SUM(G627:G648)+SUM(G669:G714)</f>
        <v>1724937.0030128651</v>
      </c>
      <c r="H716" s="231">
        <f>SUM(H630:H648)+SUM(H669:H714)</f>
        <v>1761528.5307209662</v>
      </c>
      <c r="I716" s="231">
        <f>SUM(I631:I648)+SUM(I669:I714)</f>
        <v>1346733.9982052974</v>
      </c>
      <c r="J716" s="231">
        <f>SUM(J632:J648)+SUM(J669:J714)</f>
        <v>1702069.3745287133</v>
      </c>
      <c r="K716" s="231">
        <f>SUM(K669:K714)</f>
        <v>11016529.959673634</v>
      </c>
      <c r="L716" s="231">
        <f>SUM(L669:L714)</f>
        <v>1073680.1826579727</v>
      </c>
      <c r="M716" s="231">
        <f>SUM(M669:M714)</f>
        <v>16048224</v>
      </c>
      <c r="N716" s="250" t="s">
        <v>669</v>
      </c>
    </row>
    <row r="717" spans="1:14" s="231" customFormat="1" ht="12.65" customHeight="1" x14ac:dyDescent="0.3">
      <c r="C717" s="253">
        <f>CE86</f>
        <v>78849604</v>
      </c>
      <c r="D717" s="231">
        <f>D616</f>
        <v>2353546</v>
      </c>
      <c r="E717" s="231">
        <f>E624</f>
        <v>1087974.8845567191</v>
      </c>
      <c r="F717" s="231">
        <f>F625</f>
        <v>91468.085117980401</v>
      </c>
      <c r="G717" s="231">
        <f>G626</f>
        <v>1724937.0030128651</v>
      </c>
      <c r="H717" s="231">
        <f>H629</f>
        <v>1761528.5307209659</v>
      </c>
      <c r="I717" s="231">
        <f>I630</f>
        <v>1346733.9982052974</v>
      </c>
      <c r="J717" s="231">
        <f>J631</f>
        <v>1702069.3745287131</v>
      </c>
      <c r="K717" s="231">
        <f>K645</f>
        <v>11016529.959673634</v>
      </c>
      <c r="L717" s="231">
        <f>L648</f>
        <v>1073680.1826579729</v>
      </c>
      <c r="M717" s="231">
        <f>C649</f>
        <v>16048225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L3" sqref="L3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022</v>
      </c>
      <c r="C2" s="12" t="str">
        <f>SUBSTITUTE(LEFT(data!C98,49),",","")</f>
        <v>Lourdes Medical Center</v>
      </c>
      <c r="D2" s="12" t="str">
        <f>LEFT(data!C99,49)</f>
        <v>520 North 4th Avenue</v>
      </c>
      <c r="E2" s="12" t="str">
        <f>RIGHT(data!C100,100)</f>
        <v>Pasco</v>
      </c>
      <c r="F2" s="12" t="str">
        <f>RIGHT(data!C101,100)</f>
        <v>WA</v>
      </c>
      <c r="G2" s="12" t="str">
        <f>RIGHT(data!C102,100)</f>
        <v>99301</v>
      </c>
      <c r="H2" s="12" t="str">
        <f>RIGHT(data!C103,100)</f>
        <v>Franklin</v>
      </c>
      <c r="I2" s="12" t="str">
        <f>LEFT(data!C104,49)</f>
        <v>Mark Holyoak</v>
      </c>
      <c r="J2" s="12" t="str">
        <f>LEFT(data!C105,49)</f>
        <v>Erika Wier</v>
      </c>
      <c r="K2" s="12" t="str">
        <f>LEFT(data!C107,49)</f>
        <v>509-547-7704</v>
      </c>
      <c r="L2" s="12" t="str">
        <f>LEFT(data!C108,49)</f>
        <v>509-542-3070</v>
      </c>
      <c r="M2" s="12" t="str">
        <f>LEFT(data!C109,49)</f>
        <v/>
      </c>
      <c r="N2" s="12" t="str">
        <f>LEFT(data!C110,49)</f>
        <v>anita.kauffman@lourdesonline.org</v>
      </c>
    </row>
  </sheetData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022</v>
      </c>
      <c r="B2" s="224" t="str">
        <f>RIGHT(data!C96,4)</f>
        <v>2022</v>
      </c>
      <c r="C2" s="16" t="s">
        <v>1123</v>
      </c>
      <c r="D2" s="223">
        <f>ROUND(data!C181,0)</f>
        <v>2399373</v>
      </c>
      <c r="E2" s="223">
        <f>ROUND(data!C182,0)</f>
        <v>140021</v>
      </c>
      <c r="F2" s="223">
        <f>ROUND(data!C183,0)</f>
        <v>354033</v>
      </c>
      <c r="G2" s="223">
        <f>ROUND(data!C184,0)</f>
        <v>2520650</v>
      </c>
      <c r="H2" s="223">
        <f>ROUND(data!C185,0)</f>
        <v>72509</v>
      </c>
      <c r="I2" s="223">
        <f>ROUND(data!C186,0)</f>
        <v>612186</v>
      </c>
      <c r="J2" s="223">
        <f>ROUND(data!C187+data!C188,0)</f>
        <v>324559</v>
      </c>
      <c r="K2" s="223">
        <f>ROUND(data!C191,0)</f>
        <v>1542277</v>
      </c>
      <c r="L2" s="223">
        <f>ROUND(data!C192,0)</f>
        <v>273616</v>
      </c>
      <c r="M2" s="223">
        <f>ROUND(data!C195,0)</f>
        <v>681680</v>
      </c>
      <c r="N2" s="223">
        <f>ROUND(data!C196,0)</f>
        <v>131328</v>
      </c>
      <c r="O2" s="223">
        <f>ROUND(data!C199,0)</f>
        <v>0</v>
      </c>
      <c r="P2" s="223">
        <f>ROUND(data!C200,0)</f>
        <v>1716880</v>
      </c>
      <c r="Q2" s="223">
        <f>ROUND(data!C201,0)</f>
        <v>0</v>
      </c>
      <c r="R2" s="223">
        <f>ROUND(data!C204,0)</f>
        <v>0</v>
      </c>
      <c r="S2" s="223">
        <f>ROUND(data!C205,0)</f>
        <v>1513765</v>
      </c>
      <c r="T2" s="223">
        <f>ROUND(data!B211,0)</f>
        <v>2127268</v>
      </c>
      <c r="U2" s="223">
        <f>ROUND(data!C211,0)</f>
        <v>3587472</v>
      </c>
      <c r="V2" s="223">
        <f>ROUND(data!D211,0)</f>
        <v>0</v>
      </c>
      <c r="W2" s="223">
        <f>ROUND(data!B212,0)</f>
        <v>0</v>
      </c>
      <c r="X2" s="223">
        <f>ROUND(data!C212,0)</f>
        <v>0</v>
      </c>
      <c r="Y2" s="223">
        <f>ROUND(data!D212,0)</f>
        <v>0</v>
      </c>
      <c r="Z2" s="223">
        <f>ROUND(data!B213,0)</f>
        <v>6441480</v>
      </c>
      <c r="AA2" s="223">
        <f>ROUND(data!C213,0)</f>
        <v>632358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1897419</v>
      </c>
      <c r="AJ2" s="223">
        <f>ROUND(data!C216,0)</f>
        <v>522507</v>
      </c>
      <c r="AK2" s="223">
        <f>ROUND(data!D216,0)</f>
        <v>0</v>
      </c>
      <c r="AL2" s="223">
        <f>ROUND(data!B217,0)</f>
        <v>5146859</v>
      </c>
      <c r="AM2" s="223">
        <f>ROUND(data!C217,0)</f>
        <v>458557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1568113</v>
      </c>
      <c r="AS2" s="223">
        <f>ROUND(data!C219,0)</f>
        <v>1274912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0</v>
      </c>
      <c r="AY2" s="223">
        <f>ROUND(data!C225,0)</f>
        <v>0</v>
      </c>
      <c r="AZ2" s="223">
        <f>ROUND(data!D225,0)</f>
        <v>0</v>
      </c>
      <c r="BA2" s="223">
        <f>ROUND(data!B226,0)</f>
        <v>1586925</v>
      </c>
      <c r="BB2" s="223">
        <f>ROUND(data!C226,0)</f>
        <v>853391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709329</v>
      </c>
      <c r="BK2" s="223">
        <f>ROUND(data!C229,0)</f>
        <v>282112</v>
      </c>
      <c r="BL2" s="223">
        <f>ROUND(data!D229,0)</f>
        <v>0</v>
      </c>
      <c r="BM2" s="223">
        <f>ROUND(data!B230,0)</f>
        <v>3250851</v>
      </c>
      <c r="BN2" s="223">
        <f>ROUND(data!C230,0)</f>
        <v>1203375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71734251</v>
      </c>
      <c r="BW2" s="223">
        <f>ROUND(data!C240,0)</f>
        <v>3540123</v>
      </c>
      <c r="BX2" s="223">
        <f>ROUND(data!C241,0)</f>
        <v>0</v>
      </c>
      <c r="BY2" s="223">
        <f>ROUND(data!C242,0)</f>
        <v>0</v>
      </c>
      <c r="BZ2" s="223">
        <f>ROUND(data!C243,0)</f>
        <v>114550771</v>
      </c>
      <c r="CA2" s="223">
        <f>ROUND(data!C244,0)</f>
        <v>0</v>
      </c>
      <c r="CB2" s="223">
        <f>ROUND(data!C247,0)</f>
        <v>0</v>
      </c>
      <c r="CC2" s="223">
        <f>ROUND(data!C249,0)</f>
        <v>611573</v>
      </c>
      <c r="CD2" s="223">
        <f>ROUND(data!C250,0)</f>
        <v>3034461</v>
      </c>
      <c r="CE2" s="223">
        <f>ROUND(data!C254+data!C255,0)</f>
        <v>0</v>
      </c>
      <c r="CF2" s="223">
        <f>data!D237</f>
        <v>7884335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022</v>
      </c>
      <c r="B2" s="16" t="str">
        <f>RIGHT(data!C96,4)</f>
        <v>2022</v>
      </c>
      <c r="C2" s="16" t="s">
        <v>1123</v>
      </c>
      <c r="D2" s="222">
        <f>ROUND(data!C127,0)</f>
        <v>1119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5722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6</v>
      </c>
      <c r="M2" s="222">
        <f>ROUND(data!C133,0)</f>
        <v>0</v>
      </c>
      <c r="N2" s="222">
        <f>ROUND(data!C134,0)</f>
        <v>19</v>
      </c>
      <c r="O2" s="222">
        <f>ROUND(data!C135,0)</f>
        <v>0</v>
      </c>
      <c r="P2" s="222">
        <f>ROUND(data!C136,0)</f>
        <v>0</v>
      </c>
      <c r="Q2" s="222">
        <f>ROUND(data!C137,0)</f>
        <v>10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95</v>
      </c>
      <c r="X2" s="222">
        <f>ROUND(data!C145,0)</f>
        <v>0</v>
      </c>
      <c r="Y2" s="222">
        <f>ROUND(data!B154,0)</f>
        <v>472</v>
      </c>
      <c r="Z2" s="222">
        <f>ROUND(data!B155,0)</f>
        <v>2657</v>
      </c>
      <c r="AA2" s="222">
        <f>ROUND(data!B156,0)</f>
        <v>0</v>
      </c>
      <c r="AB2" s="222">
        <f>ROUND(data!B157,0)</f>
        <v>25995798</v>
      </c>
      <c r="AC2" s="222">
        <f>ROUND(data!B158,0)</f>
        <v>78818434</v>
      </c>
      <c r="AD2" s="222">
        <f>ROUND(data!C154,0)</f>
        <v>10</v>
      </c>
      <c r="AE2" s="222">
        <f>ROUND(data!C155,0)</f>
        <v>155</v>
      </c>
      <c r="AF2" s="222">
        <f>ROUND(data!C156,0)</f>
        <v>0</v>
      </c>
      <c r="AG2" s="222">
        <f>ROUND(data!C157,0)</f>
        <v>1061302</v>
      </c>
      <c r="AH2" s="222">
        <f>ROUND(data!C158,0)</f>
        <v>3169663</v>
      </c>
      <c r="AI2" s="222">
        <f>ROUND(data!D154,0)</f>
        <v>637</v>
      </c>
      <c r="AJ2" s="222">
        <f>ROUND(data!D155,0)</f>
        <v>2910</v>
      </c>
      <c r="AK2" s="222">
        <f>ROUND(data!D156,0)</f>
        <v>0</v>
      </c>
      <c r="AL2" s="222">
        <f>ROUND(data!D157,0)</f>
        <v>31500110</v>
      </c>
      <c r="AM2" s="222">
        <f>ROUND(data!D158,0)</f>
        <v>151114753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022</v>
      </c>
      <c r="B2" s="224" t="str">
        <f>RIGHT(data!C96,4)</f>
        <v>2022</v>
      </c>
      <c r="C2" s="16" t="s">
        <v>1123</v>
      </c>
      <c r="D2" s="222">
        <f>ROUND(data!C266,0)</f>
        <v>-846150</v>
      </c>
      <c r="E2" s="222">
        <f>ROUND(data!C267,0)</f>
        <v>0</v>
      </c>
      <c r="F2" s="222">
        <f>ROUND(data!C268,0)</f>
        <v>31991865</v>
      </c>
      <c r="G2" s="222">
        <f>ROUND(data!C269,0)</f>
        <v>17306002</v>
      </c>
      <c r="H2" s="222">
        <f>ROUND(data!C270,0)</f>
        <v>-145498</v>
      </c>
      <c r="I2" s="222">
        <f>ROUND(data!C271,0)</f>
        <v>1387568</v>
      </c>
      <c r="J2" s="222">
        <f>ROUND(data!C272,0)</f>
        <v>0</v>
      </c>
      <c r="K2" s="222">
        <f>ROUND(data!C273,0)</f>
        <v>2995109</v>
      </c>
      <c r="L2" s="222">
        <f>ROUND(data!C274,0)</f>
        <v>784151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5714739</v>
      </c>
      <c r="R2" s="222">
        <f>ROUND(data!C284,0)</f>
        <v>0</v>
      </c>
      <c r="S2" s="222">
        <f>ROUND(data!C285,0)</f>
        <v>7073838</v>
      </c>
      <c r="T2" s="222">
        <f>ROUND(data!C286,0)</f>
        <v>0</v>
      </c>
      <c r="U2" s="222">
        <f>ROUND(data!C287,0)</f>
        <v>0</v>
      </c>
      <c r="V2" s="222">
        <f>ROUND(data!C288,0)</f>
        <v>8025343</v>
      </c>
      <c r="W2" s="222">
        <f>ROUND(data!C289,0)</f>
        <v>0</v>
      </c>
      <c r="X2" s="222">
        <f>ROUND(data!C290,0)</f>
        <v>2843025</v>
      </c>
      <c r="Y2" s="222">
        <f>ROUND(data!C291,0)</f>
        <v>0</v>
      </c>
      <c r="Z2" s="222">
        <f>ROUND(data!C292,0)</f>
        <v>7885983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2371594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5857666</v>
      </c>
      <c r="AK2" s="222">
        <f>ROUND(data!C316,0)</f>
        <v>1920374</v>
      </c>
      <c r="AL2" s="222">
        <f>ROUND(data!C317,0)</f>
        <v>509074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804643</v>
      </c>
      <c r="AR2" s="222">
        <f>ROUND(data!C323,0)</f>
        <v>1039100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18492760</v>
      </c>
      <c r="AZ2" s="222">
        <f>ROUND(data!C335,0)</f>
        <v>0</v>
      </c>
      <c r="BA2" s="222">
        <f>ROUND(data!C336,0)</f>
        <v>12160549</v>
      </c>
      <c r="BB2" s="222">
        <f>ROUND(data!C337,0)</f>
        <v>0</v>
      </c>
      <c r="BC2" s="222">
        <f>ROUND(data!C338,0)</f>
        <v>1433573</v>
      </c>
      <c r="BD2" s="222">
        <f>ROUND(data!C339,0)</f>
        <v>0</v>
      </c>
      <c r="BE2" s="222">
        <f>ROUND(data!C343,0)</f>
        <v>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2424913</v>
      </c>
      <c r="BJ2" s="222">
        <f>ROUND(data!C349,0)</f>
        <v>0</v>
      </c>
      <c r="BK2" s="222">
        <f>ROUND(data!CE60,2)</f>
        <v>385.38</v>
      </c>
      <c r="BL2" s="222">
        <f>ROUND(data!C358,0)</f>
        <v>58557210</v>
      </c>
      <c r="BM2" s="222">
        <f>ROUND(data!C359,0)</f>
        <v>233102850</v>
      </c>
      <c r="BN2" s="222">
        <f>ROUND(data!C363,0)</f>
        <v>189825146</v>
      </c>
      <c r="BO2" s="222">
        <f>ROUND(data!C364,0)</f>
        <v>3646035</v>
      </c>
      <c r="BP2" s="222">
        <f>ROUND(data!C365,0)</f>
        <v>0</v>
      </c>
      <c r="BQ2" s="222">
        <f>ROUND(data!D381,0)</f>
        <v>1288043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1288043</v>
      </c>
      <c r="CC2" s="222">
        <f>ROUND(data!C382,0)</f>
        <v>0</v>
      </c>
      <c r="CD2" s="222">
        <f>ROUND(data!C389,0)</f>
        <v>33476574</v>
      </c>
      <c r="CE2" s="222">
        <f>ROUND(data!C390,0)</f>
        <v>6423331</v>
      </c>
      <c r="CF2" s="222">
        <f>ROUND(data!C391,0)</f>
        <v>6946282</v>
      </c>
      <c r="CG2" s="222">
        <f>ROUND(data!C392,0)</f>
        <v>20476080</v>
      </c>
      <c r="CH2" s="222">
        <f>ROUND(data!C393,0)</f>
        <v>1245482</v>
      </c>
      <c r="CI2" s="222">
        <f>ROUND(data!C394,0)</f>
        <v>9114625</v>
      </c>
      <c r="CJ2" s="222">
        <f>ROUND(data!C395,0)</f>
        <v>2338879</v>
      </c>
      <c r="CK2" s="222">
        <f>ROUND(data!C396,0)</f>
        <v>1815893</v>
      </c>
      <c r="CL2" s="222">
        <f>ROUND(data!C397,0)</f>
        <v>0</v>
      </c>
      <c r="CM2" s="222">
        <f>ROUND(data!C398,0)</f>
        <v>0</v>
      </c>
      <c r="CN2" s="222">
        <f>ROUND(data!C399,0)</f>
        <v>1513765</v>
      </c>
      <c r="CO2" s="222">
        <f>ROUND(data!C362,0)</f>
        <v>7884335</v>
      </c>
      <c r="CP2" s="222">
        <f>ROUND(data!D415,0)</f>
        <v>15880729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15880729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022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0</v>
      </c>
      <c r="F2" s="212">
        <f>ROUND(data!C60,2)</f>
        <v>0</v>
      </c>
      <c r="G2" s="222">
        <f>ROUND(data!C61,0)</f>
        <v>19184</v>
      </c>
      <c r="H2" s="222">
        <f>ROUND(data!C62,0)</f>
        <v>3681</v>
      </c>
      <c r="I2" s="222">
        <f>ROUND(data!C63,0)</f>
        <v>0</v>
      </c>
      <c r="J2" s="222">
        <f>ROUND(data!C64,0)</f>
        <v>319</v>
      </c>
      <c r="K2" s="222">
        <f>ROUND(data!C65,0)</f>
        <v>0</v>
      </c>
      <c r="L2" s="222">
        <f>ROUND(data!C66,0)</f>
        <v>0</v>
      </c>
      <c r="M2" s="66">
        <f>ROUND(data!C67,0)</f>
        <v>39178</v>
      </c>
      <c r="N2" s="222">
        <f>ROUND(data!C68,0)</f>
        <v>0</v>
      </c>
      <c r="O2" s="222">
        <f>ROUND(data!C69,0)</f>
        <v>134463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134463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2671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022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21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022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4109</v>
      </c>
      <c r="F4" s="212">
        <f>ROUND(data!E60,2)</f>
        <v>30.41</v>
      </c>
      <c r="G4" s="222">
        <f>ROUND(data!E61,0)</f>
        <v>2657074</v>
      </c>
      <c r="H4" s="222">
        <f>ROUND(data!E62,0)</f>
        <v>509827</v>
      </c>
      <c r="I4" s="222">
        <f>ROUND(data!E63,0)</f>
        <v>0</v>
      </c>
      <c r="J4" s="222">
        <f>ROUND(data!E64,0)</f>
        <v>456769</v>
      </c>
      <c r="K4" s="222">
        <f>ROUND(data!E65,0)</f>
        <v>0</v>
      </c>
      <c r="L4" s="222">
        <f>ROUND(data!E66,0)</f>
        <v>41743</v>
      </c>
      <c r="M4" s="66">
        <f>ROUND(data!E67,0)</f>
        <v>200861</v>
      </c>
      <c r="N4" s="222">
        <f>ROUND(data!E68,0)</f>
        <v>41179</v>
      </c>
      <c r="O4" s="222">
        <f>ROUND(data!E69,0)</f>
        <v>1734630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1734630</v>
      </c>
      <c r="AD4" s="222">
        <f>ROUND(data!E84,0)</f>
        <v>0</v>
      </c>
      <c r="AE4" s="222">
        <f>ROUND(data!E89,0)</f>
        <v>17542325</v>
      </c>
      <c r="AF4" s="222">
        <f>ROUND(data!E87,0)</f>
        <v>16008817</v>
      </c>
      <c r="AG4" s="222">
        <f>IF(data!E90&gt;0,ROUND(data!E90,0),0)</f>
        <v>13692</v>
      </c>
      <c r="AH4" s="222">
        <f>IF(data!E91&gt;0,ROUND(data!E91,0),0)</f>
        <v>0</v>
      </c>
      <c r="AI4" s="222">
        <f>IF(data!E92&gt;0,ROUND(data!E92,0),0)</f>
        <v>0</v>
      </c>
      <c r="AJ4" s="222">
        <f>IF(data!E93&gt;0,ROUND(data!E93,0),0)</f>
        <v>0</v>
      </c>
      <c r="AK4" s="212">
        <f>IF(data!E94&gt;0,ROUND(data!E94,2),0)</f>
        <v>23.26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022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022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1473</v>
      </c>
      <c r="F6" s="212">
        <f>ROUND(data!G60,2)</f>
        <v>11.53</v>
      </c>
      <c r="G6" s="222">
        <f>ROUND(data!G61,0)</f>
        <v>963264</v>
      </c>
      <c r="H6" s="222">
        <f>ROUND(data!G62,0)</f>
        <v>184827</v>
      </c>
      <c r="I6" s="222">
        <f>ROUND(data!G63,0)</f>
        <v>117641</v>
      </c>
      <c r="J6" s="222">
        <f>ROUND(data!G64,0)</f>
        <v>51249</v>
      </c>
      <c r="K6" s="222">
        <f>ROUND(data!G65,0)</f>
        <v>0</v>
      </c>
      <c r="L6" s="222">
        <f>ROUND(data!G66,0)</f>
        <v>272859</v>
      </c>
      <c r="M6" s="66">
        <f>ROUND(data!G67,0)</f>
        <v>75354</v>
      </c>
      <c r="N6" s="222">
        <f>ROUND(data!G68,0)</f>
        <v>-1395</v>
      </c>
      <c r="O6" s="222">
        <f>ROUND(data!G69,0)</f>
        <v>106730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106730</v>
      </c>
      <c r="AD6" s="222">
        <f>ROUND(data!G84,0)</f>
        <v>0</v>
      </c>
      <c r="AE6" s="222">
        <f>ROUND(data!G89,0)</f>
        <v>4444497</v>
      </c>
      <c r="AF6" s="222">
        <f>ROUND(data!G87,0)</f>
        <v>4444497</v>
      </c>
      <c r="AG6" s="222">
        <f>IF(data!G90&gt;0,ROUND(data!G90,0),0)</f>
        <v>5137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022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0.26</v>
      </c>
      <c r="G7" s="222">
        <f>ROUND(data!H61,0)</f>
        <v>10227</v>
      </c>
      <c r="H7" s="222">
        <f>ROUND(data!H62,0)</f>
        <v>1962</v>
      </c>
      <c r="I7" s="222">
        <f>ROUND(data!H63,0)</f>
        <v>0</v>
      </c>
      <c r="J7" s="222">
        <f>ROUND(data!H64,0)</f>
        <v>353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532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532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022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0.28999999999999998</v>
      </c>
      <c r="G8" s="222">
        <f>ROUND(data!I61,0)</f>
        <v>41869</v>
      </c>
      <c r="H8" s="222">
        <f>ROUND(data!I62,0)</f>
        <v>8034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022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022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022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022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022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140</v>
      </c>
      <c r="F13" s="212">
        <f>ROUND(data!N60,2)</f>
        <v>18.43</v>
      </c>
      <c r="G13" s="222">
        <f>ROUND(data!N61,0)</f>
        <v>1253891</v>
      </c>
      <c r="H13" s="222">
        <f>ROUND(data!N62,0)</f>
        <v>240591</v>
      </c>
      <c r="I13" s="222">
        <f>ROUND(data!N63,0)</f>
        <v>43702</v>
      </c>
      <c r="J13" s="222">
        <f>ROUND(data!N64,0)</f>
        <v>257686</v>
      </c>
      <c r="K13" s="222">
        <f>ROUND(data!N65,0)</f>
        <v>0</v>
      </c>
      <c r="L13" s="222">
        <f>ROUND(data!N66,0)</f>
        <v>487858</v>
      </c>
      <c r="M13" s="66">
        <f>ROUND(data!N67,0)</f>
        <v>35914</v>
      </c>
      <c r="N13" s="222">
        <f>ROUND(data!N68,0)</f>
        <v>1958</v>
      </c>
      <c r="O13" s="222">
        <f>ROUND(data!N69,0)</f>
        <v>108432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108432</v>
      </c>
      <c r="AD13" s="222">
        <f>ROUND(data!N84,0)</f>
        <v>0</v>
      </c>
      <c r="AE13" s="222">
        <f>ROUND(data!N89,0)</f>
        <v>17314087</v>
      </c>
      <c r="AF13" s="222">
        <f>ROUND(data!N87,0)</f>
        <v>1333665</v>
      </c>
      <c r="AG13" s="222">
        <f>IF(data!N90&gt;0,ROUND(data!N90,0),0)</f>
        <v>2448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022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022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232563</v>
      </c>
      <c r="F15" s="212">
        <f>ROUND(data!P60,2)</f>
        <v>31.32</v>
      </c>
      <c r="G15" s="222">
        <f>ROUND(data!P61,0)</f>
        <v>2348240</v>
      </c>
      <c r="H15" s="222">
        <f>ROUND(data!P62,0)</f>
        <v>450570</v>
      </c>
      <c r="I15" s="222">
        <f>ROUND(data!P63,0)</f>
        <v>0</v>
      </c>
      <c r="J15" s="222">
        <f>ROUND(data!P64,0)</f>
        <v>9401813</v>
      </c>
      <c r="K15" s="222">
        <f>ROUND(data!P65,0)</f>
        <v>111</v>
      </c>
      <c r="L15" s="222">
        <f>ROUND(data!P66,0)</f>
        <v>551125</v>
      </c>
      <c r="M15" s="66">
        <f>ROUND(data!P67,0)</f>
        <v>476584</v>
      </c>
      <c r="N15" s="222">
        <f>ROUND(data!P68,0)</f>
        <v>251</v>
      </c>
      <c r="O15" s="222">
        <f>ROUND(data!P69,0)</f>
        <v>976520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976520</v>
      </c>
      <c r="AD15" s="222">
        <f>ROUND(data!P84,0)</f>
        <v>0</v>
      </c>
      <c r="AE15" s="222">
        <f>ROUND(data!P89,0)</f>
        <v>88979726</v>
      </c>
      <c r="AF15" s="222">
        <f>ROUND(data!P87,0)</f>
        <v>19110249</v>
      </c>
      <c r="AG15" s="222">
        <f>IF(data!P90&gt;0,ROUND(data!P90,0),0)</f>
        <v>32488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0</v>
      </c>
      <c r="AK15" s="212">
        <f>IF(data!P94&gt;0,ROUND(data!P94,2),0)</f>
        <v>31.32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022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3.3</v>
      </c>
      <c r="G16" s="222">
        <f>ROUND(data!Q61,0)</f>
        <v>413550</v>
      </c>
      <c r="H16" s="222">
        <f>ROUND(data!Q62,0)</f>
        <v>79350</v>
      </c>
      <c r="I16" s="222">
        <f>ROUND(data!Q63,0)</f>
        <v>0</v>
      </c>
      <c r="J16" s="222">
        <f>ROUND(data!Q64,0)</f>
        <v>13101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283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283</v>
      </c>
      <c r="AD16" s="222">
        <f>ROUND(data!Q84,0)</f>
        <v>0</v>
      </c>
      <c r="AE16" s="222">
        <f>ROUND(data!Q89,0)</f>
        <v>2533853</v>
      </c>
      <c r="AF16" s="222">
        <f>ROUND(data!Q87,0)</f>
        <v>377102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022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232563</v>
      </c>
      <c r="F17" s="212">
        <f>ROUND(data!R60,2)</f>
        <v>1</v>
      </c>
      <c r="G17" s="222">
        <f>ROUND(data!R61,0)</f>
        <v>0</v>
      </c>
      <c r="H17" s="222">
        <f>ROUND(data!R62,0)</f>
        <v>0</v>
      </c>
      <c r="I17" s="222">
        <f>ROUND(data!R63,0)</f>
        <v>2468363</v>
      </c>
      <c r="J17" s="222">
        <f>ROUND(data!R64,0)</f>
        <v>123126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4841562</v>
      </c>
      <c r="AF17" s="222">
        <f>ROUND(data!R87,0)</f>
        <v>647380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022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4.5199999999999996</v>
      </c>
      <c r="G18" s="222">
        <f>ROUND(data!S61,0)</f>
        <v>262289</v>
      </c>
      <c r="H18" s="222">
        <f>ROUND(data!S62,0)</f>
        <v>50327</v>
      </c>
      <c r="I18" s="222">
        <f>ROUND(data!S63,0)</f>
        <v>0</v>
      </c>
      <c r="J18" s="222">
        <f>ROUND(data!S64,0)</f>
        <v>310126</v>
      </c>
      <c r="K18" s="222">
        <f>ROUND(data!S65,0)</f>
        <v>280</v>
      </c>
      <c r="L18" s="222">
        <f>ROUND(data!S66,0)</f>
        <v>4800</v>
      </c>
      <c r="M18" s="66">
        <f>ROUND(data!S67,0)</f>
        <v>0</v>
      </c>
      <c r="N18" s="222">
        <f>ROUND(data!S68,0)</f>
        <v>5539</v>
      </c>
      <c r="O18" s="222">
        <f>ROUND(data!S69,0)</f>
        <v>18897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18897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022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39988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022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12.31</v>
      </c>
      <c r="G20" s="222">
        <f>ROUND(data!U61,0)</f>
        <v>773503</v>
      </c>
      <c r="H20" s="222">
        <f>ROUND(data!U62,0)</f>
        <v>148416</v>
      </c>
      <c r="I20" s="222">
        <f>ROUND(data!U63,0)</f>
        <v>27218</v>
      </c>
      <c r="J20" s="222">
        <f>ROUND(data!U64,0)</f>
        <v>864279</v>
      </c>
      <c r="K20" s="222">
        <f>ROUND(data!U65,0)</f>
        <v>0</v>
      </c>
      <c r="L20" s="222">
        <f>ROUND(data!U66,0)</f>
        <v>479831</v>
      </c>
      <c r="M20" s="66">
        <f>ROUND(data!U67,0)</f>
        <v>39335</v>
      </c>
      <c r="N20" s="222">
        <f>ROUND(data!U68,0)</f>
        <v>33439</v>
      </c>
      <c r="O20" s="222">
        <f>ROUND(data!U69,0)</f>
        <v>1183511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1183511</v>
      </c>
      <c r="AD20" s="222">
        <f>ROUND(data!U84,0)</f>
        <v>0</v>
      </c>
      <c r="AE20" s="222">
        <f>ROUND(data!U89,0)</f>
        <v>22368290</v>
      </c>
      <c r="AF20" s="222">
        <f>ROUND(data!U87,0)</f>
        <v>3370661</v>
      </c>
      <c r="AG20" s="222">
        <f>IF(data!U90&gt;0,ROUND(data!U90,0),0)</f>
        <v>2681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022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022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2.11</v>
      </c>
      <c r="G22" s="222">
        <f>ROUND(data!W61,0)</f>
        <v>234095</v>
      </c>
      <c r="H22" s="222">
        <f>ROUND(data!W62,0)</f>
        <v>44917</v>
      </c>
      <c r="I22" s="222">
        <f>ROUND(data!W63,0)</f>
        <v>0</v>
      </c>
      <c r="J22" s="222">
        <f>ROUND(data!W64,0)</f>
        <v>2791</v>
      </c>
      <c r="K22" s="222">
        <f>ROUND(data!W65,0)</f>
        <v>0</v>
      </c>
      <c r="L22" s="222">
        <f>ROUND(data!W66,0)</f>
        <v>0</v>
      </c>
      <c r="M22" s="66">
        <f>ROUND(data!W67,0)</f>
        <v>17268</v>
      </c>
      <c r="N22" s="222">
        <f>ROUND(data!W68,0)</f>
        <v>0</v>
      </c>
      <c r="O22" s="222">
        <f>ROUND(data!W69,0)</f>
        <v>1960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1960</v>
      </c>
      <c r="AD22" s="222">
        <f>ROUND(data!W84,0)</f>
        <v>0</v>
      </c>
      <c r="AE22" s="222">
        <f>ROUND(data!W89,0)</f>
        <v>2657373</v>
      </c>
      <c r="AF22" s="222">
        <f>ROUND(data!W87,0)</f>
        <v>219302</v>
      </c>
      <c r="AG22" s="222">
        <f>IF(data!W90&gt;0,ROUND(data!W90,0),0)</f>
        <v>1177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022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3.02</v>
      </c>
      <c r="G23" s="222">
        <f>ROUND(data!X61,0)</f>
        <v>258814</v>
      </c>
      <c r="H23" s="222">
        <f>ROUND(data!X62,0)</f>
        <v>49660</v>
      </c>
      <c r="I23" s="222">
        <f>ROUND(data!X63,0)</f>
        <v>0</v>
      </c>
      <c r="J23" s="222">
        <f>ROUND(data!X64,0)</f>
        <v>19160</v>
      </c>
      <c r="K23" s="222">
        <f>ROUND(data!X65,0)</f>
        <v>0</v>
      </c>
      <c r="L23" s="222">
        <f>ROUND(data!X66,0)</f>
        <v>0</v>
      </c>
      <c r="M23" s="66">
        <f>ROUND(data!X67,0)</f>
        <v>6139</v>
      </c>
      <c r="N23" s="222">
        <f>ROUND(data!X68,0)</f>
        <v>0</v>
      </c>
      <c r="O23" s="222">
        <f>ROUND(data!X69,0)</f>
        <v>8023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8023</v>
      </c>
      <c r="AD23" s="222">
        <f>ROUND(data!X84,0)</f>
        <v>0</v>
      </c>
      <c r="AE23" s="222">
        <f>ROUND(data!X89,0)</f>
        <v>16557561</v>
      </c>
      <c r="AF23" s="222">
        <f>ROUND(data!X87,0)</f>
        <v>1190205</v>
      </c>
      <c r="AG23" s="222">
        <f>IF(data!X90&gt;0,ROUND(data!X90,0),0)</f>
        <v>419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022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15.5</v>
      </c>
      <c r="G24" s="222">
        <f>ROUND(data!Y61,0)</f>
        <v>1140176</v>
      </c>
      <c r="H24" s="222">
        <f>ROUND(data!Y62,0)</f>
        <v>218772</v>
      </c>
      <c r="I24" s="222">
        <f>ROUND(data!Y63,0)</f>
        <v>0</v>
      </c>
      <c r="J24" s="222">
        <f>ROUND(data!Y64,0)</f>
        <v>43659</v>
      </c>
      <c r="K24" s="222">
        <f>ROUND(data!Y65,0)</f>
        <v>757</v>
      </c>
      <c r="L24" s="222">
        <f>ROUND(data!Y66,0)</f>
        <v>2628</v>
      </c>
      <c r="M24" s="66">
        <f>ROUND(data!Y67,0)</f>
        <v>41571</v>
      </c>
      <c r="N24" s="222">
        <f>ROUND(data!Y68,0)</f>
        <v>184791</v>
      </c>
      <c r="O24" s="222">
        <f>ROUND(data!Y69,0)</f>
        <v>153725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153725</v>
      </c>
      <c r="AD24" s="222">
        <f>ROUND(data!Y84,0)</f>
        <v>0</v>
      </c>
      <c r="AE24" s="222">
        <f>ROUND(data!Y89,0)</f>
        <v>8304283</v>
      </c>
      <c r="AF24" s="222">
        <f>ROUND(data!Y87,0)</f>
        <v>465503</v>
      </c>
      <c r="AG24" s="222">
        <f>IF(data!Y90&gt;0,ROUND(data!Y90,0),0)</f>
        <v>2834</v>
      </c>
      <c r="AH24" s="222">
        <f>IF(data!Y91&gt;0,ROUND(data!Y91,0),0)</f>
        <v>0</v>
      </c>
      <c r="AI24" s="222">
        <f>IF(data!Y92&gt;0,ROUND(data!Y92,0),0)</f>
        <v>0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022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022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1.76</v>
      </c>
      <c r="G26" s="222">
        <f>ROUND(data!AA61,0)</f>
        <v>264908</v>
      </c>
      <c r="H26" s="222">
        <f>ROUND(data!AA62,0)</f>
        <v>50829</v>
      </c>
      <c r="I26" s="222">
        <f>ROUND(data!AA63,0)</f>
        <v>0</v>
      </c>
      <c r="J26" s="222">
        <f>ROUND(data!AA64,0)</f>
        <v>150169</v>
      </c>
      <c r="K26" s="222">
        <f>ROUND(data!AA65,0)</f>
        <v>0</v>
      </c>
      <c r="L26" s="222">
        <f>ROUND(data!AA66,0)</f>
        <v>0</v>
      </c>
      <c r="M26" s="66">
        <f>ROUND(data!AA67,0)</f>
        <v>15283</v>
      </c>
      <c r="N26" s="222">
        <f>ROUND(data!AA68,0)</f>
        <v>0</v>
      </c>
      <c r="O26" s="222">
        <f>ROUND(data!AA69,0)</f>
        <v>9117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9117</v>
      </c>
      <c r="AD26" s="222">
        <f>ROUND(data!AA84,0)</f>
        <v>0</v>
      </c>
      <c r="AE26" s="222">
        <f>ROUND(data!AA89,0)</f>
        <v>1857580</v>
      </c>
      <c r="AF26" s="222">
        <f>ROUND(data!AA87,0)</f>
        <v>86703</v>
      </c>
      <c r="AG26" s="222">
        <f>IF(data!AA90&gt;0,ROUND(data!AA90,0),0)</f>
        <v>1042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022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11.81</v>
      </c>
      <c r="G27" s="222">
        <f>ROUND(data!AB61,0)</f>
        <v>1079458</v>
      </c>
      <c r="H27" s="222">
        <f>ROUND(data!AB62,0)</f>
        <v>207121</v>
      </c>
      <c r="I27" s="222">
        <f>ROUND(data!AB63,0)</f>
        <v>0</v>
      </c>
      <c r="J27" s="222">
        <f>ROUND(data!AB64,0)</f>
        <v>4700027</v>
      </c>
      <c r="K27" s="222">
        <f>ROUND(data!AB65,0)</f>
        <v>0</v>
      </c>
      <c r="L27" s="222">
        <f>ROUND(data!AB66,0)</f>
        <v>105693</v>
      </c>
      <c r="M27" s="66">
        <f>ROUND(data!AB67,0)</f>
        <v>29235</v>
      </c>
      <c r="N27" s="222">
        <f>ROUND(data!AB68,0)</f>
        <v>3401</v>
      </c>
      <c r="O27" s="222">
        <f>ROUND(data!AB69,0)</f>
        <v>87670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87670</v>
      </c>
      <c r="AD27" s="222">
        <f>ROUND(data!AB84,0)</f>
        <v>0</v>
      </c>
      <c r="AE27" s="222">
        <f>ROUND(data!AB89,0)</f>
        <v>20933214</v>
      </c>
      <c r="AF27" s="222">
        <f>ROUND(data!AB87,0)</f>
        <v>4050238</v>
      </c>
      <c r="AG27" s="222">
        <f>IF(data!AB90&gt;0,ROUND(data!AB90,0),0)</f>
        <v>1993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022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5.99</v>
      </c>
      <c r="G28" s="222">
        <f>ROUND(data!AC61,0)</f>
        <v>525279</v>
      </c>
      <c r="H28" s="222">
        <f>ROUND(data!AC62,0)</f>
        <v>100788</v>
      </c>
      <c r="I28" s="222">
        <f>ROUND(data!AC63,0)</f>
        <v>-36000</v>
      </c>
      <c r="J28" s="222">
        <f>ROUND(data!AC64,0)</f>
        <v>104590</v>
      </c>
      <c r="K28" s="222">
        <f>ROUND(data!AC65,0)</f>
        <v>0</v>
      </c>
      <c r="L28" s="222">
        <f>ROUND(data!AC66,0)</f>
        <v>0</v>
      </c>
      <c r="M28" s="66">
        <f>ROUND(data!AC67,0)</f>
        <v>5241</v>
      </c>
      <c r="N28" s="222">
        <f>ROUND(data!AC68,0)</f>
        <v>-13158</v>
      </c>
      <c r="O28" s="222">
        <f>ROUND(data!AC69,0)</f>
        <v>76866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76866</v>
      </c>
      <c r="AD28" s="222">
        <f>ROUND(data!AC84,0)</f>
        <v>0</v>
      </c>
      <c r="AE28" s="222">
        <f>ROUND(data!AC89,0)</f>
        <v>4758025</v>
      </c>
      <c r="AF28" s="222">
        <f>ROUND(data!AC87,0)</f>
        <v>1965432</v>
      </c>
      <c r="AG28" s="222">
        <f>IF(data!AC90&gt;0,ROUND(data!AC90,0),0)</f>
        <v>357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022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022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20.97</v>
      </c>
      <c r="G30" s="222">
        <f>ROUND(data!AE61,0)</f>
        <v>1546989</v>
      </c>
      <c r="H30" s="222">
        <f>ROUND(data!AE62,0)</f>
        <v>296829</v>
      </c>
      <c r="I30" s="222">
        <f>ROUND(data!AE63,0)</f>
        <v>0</v>
      </c>
      <c r="J30" s="222">
        <f>ROUND(data!AE64,0)</f>
        <v>87278</v>
      </c>
      <c r="K30" s="222">
        <f>ROUND(data!AE65,0)</f>
        <v>164</v>
      </c>
      <c r="L30" s="222">
        <f>ROUND(data!AE66,0)</f>
        <v>-999</v>
      </c>
      <c r="M30" s="66">
        <f>ROUND(data!AE67,0)</f>
        <v>20222</v>
      </c>
      <c r="N30" s="222">
        <f>ROUND(data!AE68,0)</f>
        <v>145819</v>
      </c>
      <c r="O30" s="222">
        <f>ROUND(data!AE69,0)</f>
        <v>165965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165965</v>
      </c>
      <c r="AD30" s="222">
        <f>ROUND(data!AE84,0)</f>
        <v>0</v>
      </c>
      <c r="AE30" s="222">
        <f>ROUND(data!AE89,0)</f>
        <v>12960521</v>
      </c>
      <c r="AF30" s="222">
        <f>ROUND(data!AE87,0)</f>
        <v>1943032</v>
      </c>
      <c r="AG30" s="222">
        <f>IF(data!AE90&gt;0,ROUND(data!AE90,0),0)</f>
        <v>1379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022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022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22015</v>
      </c>
      <c r="F32" s="212">
        <f>ROUND(data!AG60,2)</f>
        <v>20.09</v>
      </c>
      <c r="G32" s="222">
        <f>ROUND(data!AG61,0)</f>
        <v>1767564</v>
      </c>
      <c r="H32" s="222">
        <f>ROUND(data!AG62,0)</f>
        <v>339152</v>
      </c>
      <c r="I32" s="222">
        <f>ROUND(data!AG63,0)</f>
        <v>2002349</v>
      </c>
      <c r="J32" s="222">
        <f>ROUND(data!AG64,0)</f>
        <v>295770</v>
      </c>
      <c r="K32" s="222">
        <f>ROUND(data!AG65,0)</f>
        <v>0</v>
      </c>
      <c r="L32" s="222">
        <f>ROUND(data!AG66,0)</f>
        <v>88509</v>
      </c>
      <c r="M32" s="66">
        <f>ROUND(data!AG67,0)</f>
        <v>56173</v>
      </c>
      <c r="N32" s="222">
        <f>ROUND(data!AG68,0)</f>
        <v>51531</v>
      </c>
      <c r="O32" s="222">
        <f>ROUND(data!AG69,0)</f>
        <v>2134834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2134834</v>
      </c>
      <c r="AD32" s="222">
        <f>ROUND(data!AG84,0)</f>
        <v>0</v>
      </c>
      <c r="AE32" s="222">
        <f>ROUND(data!AG89,0)</f>
        <v>36769486</v>
      </c>
      <c r="AF32" s="222">
        <f>ROUND(data!AG87,0)</f>
        <v>1322128</v>
      </c>
      <c r="AG32" s="222">
        <f>IF(data!AG90&gt;0,ROUND(data!AG90,0),0)</f>
        <v>3829</v>
      </c>
      <c r="AH32" s="222">
        <f>IF(data!AG91&gt;0,ROUND(data!AG91,0),0)</f>
        <v>0</v>
      </c>
      <c r="AI32" s="222">
        <f>IF(data!AG92&gt;0,ROUND(data!AG92,0),0)</f>
        <v>0</v>
      </c>
      <c r="AJ32" s="222">
        <f>IF(data!AG93&gt;0,ROUND(data!AG93,0),0)</f>
        <v>0</v>
      </c>
      <c r="AK32" s="212">
        <f>IF(data!AG94&gt;0,ROUND(data!AG94,2),0)</f>
        <v>0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022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022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022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73503</v>
      </c>
      <c r="F35" s="212">
        <f>ROUND(data!AJ60,2)</f>
        <v>57.66</v>
      </c>
      <c r="G35" s="222">
        <f>ROUND(data!AJ61,0)</f>
        <v>9974075</v>
      </c>
      <c r="H35" s="222">
        <f>ROUND(data!AJ62,0)</f>
        <v>1913780</v>
      </c>
      <c r="I35" s="222">
        <f>ROUND(data!AJ63,0)</f>
        <v>904868</v>
      </c>
      <c r="J35" s="222">
        <f>ROUND(data!AJ64,0)</f>
        <v>588131</v>
      </c>
      <c r="K35" s="222">
        <f>ROUND(data!AJ65,0)</f>
        <v>73908</v>
      </c>
      <c r="L35" s="222">
        <f>ROUND(data!AJ66,0)</f>
        <v>183572</v>
      </c>
      <c r="M35" s="66">
        <f>ROUND(data!AJ67,0)</f>
        <v>43522</v>
      </c>
      <c r="N35" s="222">
        <f>ROUND(data!AJ68,0)</f>
        <v>809789</v>
      </c>
      <c r="O35" s="222">
        <f>ROUND(data!AJ69,0)</f>
        <v>1922732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1922732</v>
      </c>
      <c r="AD35" s="222">
        <f>ROUND(data!AJ84,0)</f>
        <v>0</v>
      </c>
      <c r="AE35" s="222">
        <f>ROUND(data!AJ89,0)</f>
        <v>22400478</v>
      </c>
      <c r="AF35" s="222">
        <f>ROUND(data!AJ87,0)</f>
        <v>0</v>
      </c>
      <c r="AG35" s="222">
        <f>IF(data!AJ90&gt;0,ROUND(data!AJ90,0),0)</f>
        <v>2967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022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19.18</v>
      </c>
      <c r="G36" s="222">
        <f>ROUND(data!AK61,0)</f>
        <v>1159237</v>
      </c>
      <c r="H36" s="222">
        <f>ROUND(data!AK62,0)</f>
        <v>222429</v>
      </c>
      <c r="I36" s="222">
        <f>ROUND(data!AK63,0)</f>
        <v>654941</v>
      </c>
      <c r="J36" s="222">
        <f>ROUND(data!AK64,0)</f>
        <v>87271</v>
      </c>
      <c r="K36" s="222">
        <f>ROUND(data!AK65,0)</f>
        <v>28260</v>
      </c>
      <c r="L36" s="222">
        <f>ROUND(data!AK66,0)</f>
        <v>167494</v>
      </c>
      <c r="M36" s="66">
        <f>ROUND(data!AK67,0)</f>
        <v>0</v>
      </c>
      <c r="N36" s="222">
        <f>ROUND(data!AK68,0)</f>
        <v>143359</v>
      </c>
      <c r="O36" s="222">
        <f>ROUND(data!AK69,0)</f>
        <v>294018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294018</v>
      </c>
      <c r="AD36" s="222">
        <f>ROUND(data!AK84,0)</f>
        <v>0</v>
      </c>
      <c r="AE36" s="222">
        <f>ROUND(data!AK89,0)</f>
        <v>4707921</v>
      </c>
      <c r="AF36" s="222">
        <f>ROUND(data!AK87,0)</f>
        <v>1437747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022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1.93</v>
      </c>
      <c r="G37" s="222">
        <f>ROUND(data!AL61,0)</f>
        <v>190655</v>
      </c>
      <c r="H37" s="222">
        <f>ROUND(data!AL62,0)</f>
        <v>36582</v>
      </c>
      <c r="I37" s="222">
        <f>ROUND(data!AL63,0)</f>
        <v>0</v>
      </c>
      <c r="J37" s="222">
        <f>ROUND(data!AL64,0)</f>
        <v>7870</v>
      </c>
      <c r="K37" s="222">
        <f>ROUND(data!AL65,0)</f>
        <v>0</v>
      </c>
      <c r="L37" s="222">
        <f>ROUND(data!AL66,0)</f>
        <v>0</v>
      </c>
      <c r="M37" s="66">
        <f>ROUND(data!AL67,0)</f>
        <v>2177</v>
      </c>
      <c r="N37" s="222">
        <f>ROUND(data!AL68,0)</f>
        <v>0</v>
      </c>
      <c r="O37" s="222">
        <f>ROUND(data!AL69,0)</f>
        <v>12485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12485</v>
      </c>
      <c r="AD37" s="222">
        <f>ROUND(data!AL84,0)</f>
        <v>0</v>
      </c>
      <c r="AE37" s="222">
        <f>ROUND(data!AL89,0)</f>
        <v>842064</v>
      </c>
      <c r="AF37" s="222">
        <f>ROUND(data!AL87,0)</f>
        <v>584174</v>
      </c>
      <c r="AG37" s="222">
        <f>IF(data!AL90&gt;0,ROUND(data!AL90,0),0)</f>
        <v>148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022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022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022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4.47</v>
      </c>
      <c r="G40" s="222">
        <f>ROUND(data!AO61,0)</f>
        <v>356166</v>
      </c>
      <c r="H40" s="222">
        <f>ROUND(data!AO62,0)</f>
        <v>68340</v>
      </c>
      <c r="I40" s="222">
        <f>ROUND(data!AO63,0)</f>
        <v>0</v>
      </c>
      <c r="J40" s="222">
        <f>ROUND(data!AO64,0)</f>
        <v>1289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887214</v>
      </c>
      <c r="AF40" s="222">
        <f>ROUND(data!AO87,0)</f>
        <v>376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022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022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022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022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022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022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022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6.93</v>
      </c>
      <c r="G47" s="222">
        <f>ROUND(data!AV61,0)</f>
        <v>599393</v>
      </c>
      <c r="H47" s="222">
        <f>ROUND(data!AV62,0)</f>
        <v>115009</v>
      </c>
      <c r="I47" s="222">
        <f>ROUND(data!AV63,0)</f>
        <v>0</v>
      </c>
      <c r="J47" s="222">
        <f>ROUND(data!AV64,0)</f>
        <v>4374</v>
      </c>
      <c r="K47" s="222">
        <f>ROUND(data!AV65,0)</f>
        <v>0</v>
      </c>
      <c r="L47" s="222">
        <f>ROUND(data!AV66,0)</f>
        <v>363015</v>
      </c>
      <c r="M47" s="66">
        <f>ROUND(data!AV67,0)</f>
        <v>15516</v>
      </c>
      <c r="N47" s="222">
        <f>ROUND(data!AV68,0)</f>
        <v>105395</v>
      </c>
      <c r="O47" s="222">
        <f>ROUND(data!AV69,0)</f>
        <v>349359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349359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1058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022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022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022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8.57</v>
      </c>
      <c r="G50" s="222">
        <f>ROUND(data!AY61,0)</f>
        <v>0</v>
      </c>
      <c r="H50" s="222">
        <f>ROUND(data!AY62,0)</f>
        <v>0</v>
      </c>
      <c r="I50" s="222">
        <f>ROUND(data!AY63,0)</f>
        <v>0</v>
      </c>
      <c r="J50" s="222">
        <f>ROUND(data!AY64,0)</f>
        <v>401531</v>
      </c>
      <c r="K50" s="222">
        <f>ROUND(data!AY65,0)</f>
        <v>0</v>
      </c>
      <c r="L50" s="222">
        <f>ROUND(data!AY66,0)</f>
        <v>879110</v>
      </c>
      <c r="M50" s="66">
        <f>ROUND(data!AY67,0)</f>
        <v>67159</v>
      </c>
      <c r="N50" s="222">
        <f>ROUND(data!AY68,0)</f>
        <v>0</v>
      </c>
      <c r="O50" s="222">
        <f>ROUND(data!AY69,0)</f>
        <v>13112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13112</v>
      </c>
      <c r="AD50" s="222">
        <f>ROUND(data!AY84,0)</f>
        <v>0</v>
      </c>
      <c r="AE50" s="222"/>
      <c r="AF50" s="222"/>
      <c r="AG50" s="222">
        <f>IF(data!AY90&gt;0,ROUND(data!AY90,0),0)</f>
        <v>4578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022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022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2.58</v>
      </c>
      <c r="G52" s="222">
        <f>ROUND(data!BA61,0)</f>
        <v>5184</v>
      </c>
      <c r="H52" s="222">
        <f>ROUND(data!BA62,0)</f>
        <v>995</v>
      </c>
      <c r="I52" s="222">
        <f>ROUND(data!BA63,0)</f>
        <v>0</v>
      </c>
      <c r="J52" s="222">
        <f>ROUND(data!BA64,0)</f>
        <v>38204</v>
      </c>
      <c r="K52" s="222">
        <f>ROUND(data!BA65,0)</f>
        <v>0</v>
      </c>
      <c r="L52" s="222">
        <f>ROUND(data!BA66,0)</f>
        <v>138499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022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022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022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7.87</v>
      </c>
      <c r="G55" s="222">
        <f>ROUND(data!BD61,0)</f>
        <v>343909</v>
      </c>
      <c r="H55" s="222">
        <f>ROUND(data!BD62,0)</f>
        <v>65988</v>
      </c>
      <c r="I55" s="222">
        <f>ROUND(data!BD63,0)</f>
        <v>0</v>
      </c>
      <c r="J55" s="222">
        <f>ROUND(data!BD64,0)</f>
        <v>1841655</v>
      </c>
      <c r="K55" s="222">
        <f>ROUND(data!BD65,0)</f>
        <v>0</v>
      </c>
      <c r="L55" s="222">
        <f>ROUND(data!BD66,0)</f>
        <v>98979</v>
      </c>
      <c r="M55" s="66">
        <f>ROUND(data!BD67,0)</f>
        <v>88186</v>
      </c>
      <c r="N55" s="222">
        <f>ROUND(data!BD68,0)</f>
        <v>-7769</v>
      </c>
      <c r="O55" s="222">
        <f>ROUND(data!BD69,0)</f>
        <v>309371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309371</v>
      </c>
      <c r="AD55" s="222">
        <f>ROUND(data!BD84,0)</f>
        <v>0</v>
      </c>
      <c r="AE55" s="222"/>
      <c r="AF55" s="222"/>
      <c r="AG55" s="222">
        <f>IF(data!BD90&gt;0,ROUND(data!BD90,0),0)</f>
        <v>6011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022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159436</v>
      </c>
      <c r="F56" s="212">
        <f>ROUND(data!BE60,2)</f>
        <v>33.42</v>
      </c>
      <c r="G56" s="222">
        <f>ROUND(data!BE61,0)</f>
        <v>536142</v>
      </c>
      <c r="H56" s="222">
        <f>ROUND(data!BE62,0)</f>
        <v>102872</v>
      </c>
      <c r="I56" s="222">
        <f>ROUND(data!BE63,0)</f>
        <v>0</v>
      </c>
      <c r="J56" s="222">
        <f>ROUND(data!BE64,0)</f>
        <v>36836</v>
      </c>
      <c r="K56" s="222">
        <f>ROUND(data!BE65,0)</f>
        <v>562534</v>
      </c>
      <c r="L56" s="222">
        <f>ROUND(data!BE66,0)</f>
        <v>30751</v>
      </c>
      <c r="M56" s="66">
        <f>ROUND(data!BE67,0)</f>
        <v>878254</v>
      </c>
      <c r="N56" s="222">
        <f>ROUND(data!BE68,0)</f>
        <v>0</v>
      </c>
      <c r="O56" s="222">
        <f>ROUND(data!BE69,0)</f>
        <v>482784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482784</v>
      </c>
      <c r="AD56" s="222">
        <f>ROUND(data!BE84,0)</f>
        <v>0</v>
      </c>
      <c r="AE56" s="222"/>
      <c r="AF56" s="222"/>
      <c r="AG56" s="222">
        <f>IF(data!BE90&gt;0,ROUND(data!BE90,0),0)</f>
        <v>59868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022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-4619</v>
      </c>
      <c r="H57" s="222">
        <f>ROUND(data!BF62,0)</f>
        <v>-886</v>
      </c>
      <c r="I57" s="222">
        <f>ROUND(data!BF63,0)</f>
        <v>0</v>
      </c>
      <c r="J57" s="222">
        <f>ROUND(data!BF64,0)</f>
        <v>82687</v>
      </c>
      <c r="K57" s="222">
        <f>ROUND(data!BF65,0)</f>
        <v>86613</v>
      </c>
      <c r="L57" s="222">
        <f>ROUND(data!BF66,0)</f>
        <v>1182811</v>
      </c>
      <c r="M57" s="66">
        <f>ROUND(data!BF67,0)</f>
        <v>24994</v>
      </c>
      <c r="N57" s="222">
        <f>ROUND(data!BF68,0)</f>
        <v>0</v>
      </c>
      <c r="O57" s="222">
        <f>ROUND(data!BF69,0)</f>
        <v>5175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5175</v>
      </c>
      <c r="AD57" s="222">
        <f>ROUND(data!BF84,0)</f>
        <v>0</v>
      </c>
      <c r="AE57" s="222"/>
      <c r="AF57" s="222"/>
      <c r="AG57" s="222">
        <f>IF(data!BF90&gt;0,ROUND(data!BF90,0),0)</f>
        <v>1704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022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022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7.04</v>
      </c>
      <c r="G59" s="222">
        <f>ROUND(data!BH61,0)</f>
        <v>650043</v>
      </c>
      <c r="H59" s="222">
        <f>ROUND(data!BH62,0)</f>
        <v>124727</v>
      </c>
      <c r="I59" s="222">
        <f>ROUND(data!BH63,0)</f>
        <v>0</v>
      </c>
      <c r="J59" s="222">
        <f>ROUND(data!BH64,0)</f>
        <v>19986</v>
      </c>
      <c r="K59" s="222">
        <f>ROUND(data!BH65,0)</f>
        <v>404721</v>
      </c>
      <c r="L59" s="222">
        <f>ROUND(data!BH66,0)</f>
        <v>396990</v>
      </c>
      <c r="M59" s="66">
        <f>ROUND(data!BH67,0)</f>
        <v>29306</v>
      </c>
      <c r="N59" s="222">
        <f>ROUND(data!BH68,0)</f>
        <v>123729</v>
      </c>
      <c r="O59" s="222">
        <f>ROUND(data!BH69,0)</f>
        <v>371929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371929</v>
      </c>
      <c r="AD59" s="222">
        <f>ROUND(data!BH84,0)</f>
        <v>0</v>
      </c>
      <c r="AE59" s="222"/>
      <c r="AF59" s="222"/>
      <c r="AG59" s="222">
        <f>IF(data!BH90&gt;0,ROUND(data!BH90,0),0)</f>
        <v>1998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022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124420</v>
      </c>
      <c r="H60" s="222">
        <f>ROUND(data!BI62,0)</f>
        <v>23873</v>
      </c>
      <c r="I60" s="222">
        <f>ROUND(data!BI63,0)</f>
        <v>0</v>
      </c>
      <c r="J60" s="222">
        <f>ROUND(data!BI64,0)</f>
        <v>667961</v>
      </c>
      <c r="K60" s="222">
        <f>ROUND(data!BI65,0)</f>
        <v>31789</v>
      </c>
      <c r="L60" s="222">
        <f>ROUND(data!BI66,0)</f>
        <v>173293</v>
      </c>
      <c r="M60" s="66">
        <f>ROUND(data!BI67,0)</f>
        <v>0</v>
      </c>
      <c r="N60" s="222">
        <f>ROUND(data!BI68,0)</f>
        <v>52247</v>
      </c>
      <c r="O60" s="222">
        <f>ROUND(data!BI69,0)</f>
        <v>87591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87591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230872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022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5.48</v>
      </c>
      <c r="G61" s="222">
        <f>ROUND(data!BJ61,0)</f>
        <v>494341</v>
      </c>
      <c r="H61" s="222">
        <f>ROUND(data!BJ62,0)</f>
        <v>94852</v>
      </c>
      <c r="I61" s="222">
        <f>ROUND(data!BJ63,0)</f>
        <v>0</v>
      </c>
      <c r="J61" s="222">
        <f>ROUND(data!BJ64,0)</f>
        <v>3042</v>
      </c>
      <c r="K61" s="222">
        <f>ROUND(data!BJ65,0)</f>
        <v>0</v>
      </c>
      <c r="L61" s="222">
        <f>ROUND(data!BJ66,0)</f>
        <v>45670</v>
      </c>
      <c r="M61" s="66">
        <f>ROUND(data!BJ67,0)</f>
        <v>0</v>
      </c>
      <c r="N61" s="222">
        <f>ROUND(data!BJ68,0)</f>
        <v>42168</v>
      </c>
      <c r="O61" s="222">
        <f>ROUND(data!BJ69,0)</f>
        <v>-180244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-180244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022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2002</v>
      </c>
      <c r="K62" s="222">
        <f>ROUND(data!BK65,0)</f>
        <v>0</v>
      </c>
      <c r="L62" s="222">
        <f>ROUND(data!BK66,0)</f>
        <v>11217</v>
      </c>
      <c r="M62" s="66">
        <f>ROUND(data!BK67,0)</f>
        <v>2049</v>
      </c>
      <c r="N62" s="222">
        <f>ROUND(data!BK68,0)</f>
        <v>-6540</v>
      </c>
      <c r="O62" s="222">
        <f>ROUND(data!BK69,0)</f>
        <v>223408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223408</v>
      </c>
      <c r="AD62" s="222">
        <f>ROUND(data!BK84,0)</f>
        <v>0</v>
      </c>
      <c r="AE62" s="222"/>
      <c r="AF62" s="222"/>
      <c r="AG62" s="222">
        <f>IF(data!BK90&gt;0,ROUND(data!BK90,0),0)</f>
        <v>140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022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3.83</v>
      </c>
      <c r="G63" s="222">
        <f>ROUND(data!BL61,0)</f>
        <v>266509</v>
      </c>
      <c r="H63" s="222">
        <f>ROUND(data!BL62,0)</f>
        <v>51137</v>
      </c>
      <c r="I63" s="222">
        <f>ROUND(data!BL63,0)</f>
        <v>0</v>
      </c>
      <c r="J63" s="222">
        <f>ROUND(data!BL64,0)</f>
        <v>3142</v>
      </c>
      <c r="K63" s="222">
        <f>ROUND(data!BL65,0)</f>
        <v>0</v>
      </c>
      <c r="L63" s="222">
        <f>ROUND(data!BL66,0)</f>
        <v>-56318</v>
      </c>
      <c r="M63" s="66">
        <f>ROUND(data!BL67,0)</f>
        <v>11384</v>
      </c>
      <c r="N63" s="222">
        <f>ROUND(data!BL68,0)</f>
        <v>0</v>
      </c>
      <c r="O63" s="222">
        <f>ROUND(data!BL69,0)</f>
        <v>498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498</v>
      </c>
      <c r="AD63" s="222">
        <f>ROUND(data!BL84,0)</f>
        <v>0</v>
      </c>
      <c r="AE63" s="222"/>
      <c r="AF63" s="222"/>
      <c r="AG63" s="222">
        <f>IF(data!BL90&gt;0,ROUND(data!BL90,0),0)</f>
        <v>776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022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6.53</v>
      </c>
      <c r="G64" s="222">
        <f>ROUND(data!BM61,0)</f>
        <v>1876</v>
      </c>
      <c r="H64" s="222">
        <f>ROUND(data!BM62,0)</f>
        <v>360</v>
      </c>
      <c r="I64" s="222">
        <f>ROUND(data!BM63,0)</f>
        <v>0</v>
      </c>
      <c r="J64" s="222">
        <f>ROUND(data!BM64,0)</f>
        <v>377</v>
      </c>
      <c r="K64" s="222">
        <f>ROUND(data!BM65,0)</f>
        <v>0</v>
      </c>
      <c r="L64" s="222">
        <f>ROUND(data!BM66,0)</f>
        <v>2515611</v>
      </c>
      <c r="M64" s="66">
        <f>ROUND(data!BM67,0)</f>
        <v>18255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1244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022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6.51</v>
      </c>
      <c r="G65" s="222">
        <f>ROUND(data!BN61,0)</f>
        <v>1678429</v>
      </c>
      <c r="H65" s="222">
        <f>ROUND(data!BN62,0)</f>
        <v>322049</v>
      </c>
      <c r="I65" s="222">
        <f>ROUND(data!BN63,0)</f>
        <v>-8000</v>
      </c>
      <c r="J65" s="222">
        <f>ROUND(data!BN64,0)</f>
        <v>-272410</v>
      </c>
      <c r="K65" s="222">
        <f>ROUND(data!BN65,0)</f>
        <v>56345</v>
      </c>
      <c r="L65" s="222">
        <f>ROUND(data!BN66,0)</f>
        <v>335933</v>
      </c>
      <c r="M65" s="66">
        <f>ROUND(data!BN67,0)</f>
        <v>38884</v>
      </c>
      <c r="N65" s="222">
        <f>ROUND(data!BN68,0)</f>
        <v>-2528</v>
      </c>
      <c r="O65" s="222">
        <f>ROUND(data!BN69,0)</f>
        <v>4885944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4885944</v>
      </c>
      <c r="AD65" s="222">
        <f>ROUND(data!BN84,0)</f>
        <v>0</v>
      </c>
      <c r="AE65" s="222"/>
      <c r="AF65" s="222"/>
      <c r="AG65" s="222">
        <f>IF(data!BN90&gt;0,ROUND(data!BN90,0),0)</f>
        <v>2651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022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022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0.76</v>
      </c>
      <c r="G67" s="222">
        <f>ROUND(data!BP61,0)</f>
        <v>92719</v>
      </c>
      <c r="H67" s="222">
        <f>ROUND(data!BP62,0)</f>
        <v>17790</v>
      </c>
      <c r="I67" s="222">
        <f>ROUND(data!BP63,0)</f>
        <v>0</v>
      </c>
      <c r="J67" s="222">
        <f>ROUND(data!BP64,0)</f>
        <v>15736</v>
      </c>
      <c r="K67" s="222">
        <f>ROUND(data!BP65,0)</f>
        <v>0</v>
      </c>
      <c r="L67" s="222">
        <f>ROUND(data!BP66,0)</f>
        <v>-3302</v>
      </c>
      <c r="M67" s="66">
        <f>ROUND(data!BP67,0)</f>
        <v>0</v>
      </c>
      <c r="N67" s="222">
        <f>ROUND(data!BP68,0)</f>
        <v>0</v>
      </c>
      <c r="O67" s="222">
        <f>ROUND(data!BP69,0)</f>
        <v>63569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63569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022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022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3.4</v>
      </c>
      <c r="G69" s="222">
        <f>ROUND(data!BR61,0)</f>
        <v>428954</v>
      </c>
      <c r="H69" s="222">
        <f>ROUND(data!BR62,0)</f>
        <v>82306</v>
      </c>
      <c r="I69" s="222">
        <f>ROUND(data!BR63,0)</f>
        <v>0</v>
      </c>
      <c r="J69" s="222">
        <f>ROUND(data!BR64,0)</f>
        <v>5683</v>
      </c>
      <c r="K69" s="222">
        <f>ROUND(data!BR65,0)</f>
        <v>0</v>
      </c>
      <c r="L69" s="222">
        <f>ROUND(data!BR66,0)</f>
        <v>190056</v>
      </c>
      <c r="M69" s="66">
        <f>ROUND(data!BR67,0)</f>
        <v>16832</v>
      </c>
      <c r="N69" s="222">
        <f>ROUND(data!BR68,0)</f>
        <v>52504</v>
      </c>
      <c r="O69" s="222">
        <f>ROUND(data!BR69,0)</f>
        <v>-156914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-156914</v>
      </c>
      <c r="AD69" s="222">
        <f>ROUND(data!BR84,0)</f>
        <v>0</v>
      </c>
      <c r="AE69" s="222"/>
      <c r="AF69" s="222"/>
      <c r="AG69" s="222">
        <f>IF(data!BR90&gt;0,ROUND(data!BR90,0),0)</f>
        <v>1147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022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022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1</v>
      </c>
      <c r="G71" s="222">
        <f>ROUND(data!BT61,0)</f>
        <v>58343</v>
      </c>
      <c r="H71" s="222">
        <f>ROUND(data!BT62,0)</f>
        <v>11195</v>
      </c>
      <c r="I71" s="222">
        <f>ROUND(data!BT63,0)</f>
        <v>0</v>
      </c>
      <c r="J71" s="222">
        <f>ROUND(data!BT64,0)</f>
        <v>262</v>
      </c>
      <c r="K71" s="222">
        <f>ROUND(data!BT65,0)</f>
        <v>0</v>
      </c>
      <c r="L71" s="222">
        <f>ROUND(data!BT66,0)</f>
        <v>0</v>
      </c>
      <c r="M71" s="66">
        <f>ROUND(data!BT67,0)</f>
        <v>8378</v>
      </c>
      <c r="N71" s="222">
        <f>ROUND(data!BT68,0)</f>
        <v>0</v>
      </c>
      <c r="O71" s="222">
        <f>ROUND(data!BT69,0)</f>
        <v>-21339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-21339</v>
      </c>
      <c r="AD71" s="222">
        <f>ROUND(data!BT84,0)</f>
        <v>0</v>
      </c>
      <c r="AE71" s="222"/>
      <c r="AF71" s="222"/>
      <c r="AG71" s="222">
        <f>IF(data!BT90&gt;0,ROUND(data!BT90,0),0)</f>
        <v>571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022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022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7.28</v>
      </c>
      <c r="G73" s="222">
        <f>ROUND(data!BV61,0)</f>
        <v>190724</v>
      </c>
      <c r="H73" s="222">
        <f>ROUND(data!BV62,0)</f>
        <v>36595</v>
      </c>
      <c r="I73" s="222">
        <f>ROUND(data!BV63,0)</f>
        <v>0</v>
      </c>
      <c r="J73" s="222">
        <f>ROUND(data!BV64,0)</f>
        <v>5967</v>
      </c>
      <c r="K73" s="222">
        <f>ROUND(data!BV65,0)</f>
        <v>0</v>
      </c>
      <c r="L73" s="222">
        <f>ROUND(data!BV66,0)</f>
        <v>377208</v>
      </c>
      <c r="M73" s="66">
        <f>ROUND(data!BV67,0)</f>
        <v>35221</v>
      </c>
      <c r="N73" s="222">
        <f>ROUND(data!BV68,0)</f>
        <v>1880</v>
      </c>
      <c r="O73" s="222">
        <f>ROUND(data!BV69,0)</f>
        <v>-154606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-154606</v>
      </c>
      <c r="AD73" s="222">
        <f>ROUND(data!BV84,0)</f>
        <v>0</v>
      </c>
      <c r="AE73" s="222"/>
      <c r="AF73" s="222"/>
      <c r="AG73" s="222">
        <f>IF(data!BV90&gt;0,ROUND(data!BV90,0),0)</f>
        <v>2401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022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1.63</v>
      </c>
      <c r="G74" s="222">
        <f>ROUND(data!BW61,0)</f>
        <v>52166</v>
      </c>
      <c r="H74" s="222">
        <f>ROUND(data!BW62,0)</f>
        <v>10009</v>
      </c>
      <c r="I74" s="222">
        <f>ROUND(data!BW63,0)</f>
        <v>771200</v>
      </c>
      <c r="J74" s="222">
        <f>ROUND(data!BW64,0)</f>
        <v>6339</v>
      </c>
      <c r="K74" s="222">
        <f>ROUND(data!BW65,0)</f>
        <v>0</v>
      </c>
      <c r="L74" s="222">
        <f>ROUND(data!BW66,0)</f>
        <v>14922</v>
      </c>
      <c r="M74" s="66">
        <f>ROUND(data!BW67,0)</f>
        <v>0</v>
      </c>
      <c r="N74" s="222">
        <f>ROUND(data!BW68,0)</f>
        <v>0</v>
      </c>
      <c r="O74" s="222">
        <f>ROUND(data!BW69,0)</f>
        <v>12690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12690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022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022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4.41</v>
      </c>
      <c r="G76" s="222">
        <f>ROUND(data!BY61,0)</f>
        <v>696636</v>
      </c>
      <c r="H76" s="222">
        <f>ROUND(data!BY62,0)</f>
        <v>133667</v>
      </c>
      <c r="I76" s="222">
        <f>ROUND(data!BY63,0)</f>
        <v>0</v>
      </c>
      <c r="J76" s="222">
        <f>ROUND(data!BY64,0)</f>
        <v>1509</v>
      </c>
      <c r="K76" s="222">
        <f>ROUND(data!BY65,0)</f>
        <v>0</v>
      </c>
      <c r="L76" s="222">
        <f>ROUND(data!BY66,0)</f>
        <v>29550</v>
      </c>
      <c r="M76" s="66">
        <f>ROUND(data!BY67,0)</f>
        <v>0</v>
      </c>
      <c r="N76" s="222">
        <f>ROUND(data!BY68,0)</f>
        <v>48304</v>
      </c>
      <c r="O76" s="222">
        <f>ROUND(data!BY69,0)</f>
        <v>441776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441776</v>
      </c>
      <c r="AD76" s="222">
        <f>ROUND(data!BY84,0)</f>
        <v>0</v>
      </c>
      <c r="AE76" s="222"/>
      <c r="AF76" s="222"/>
      <c r="AG76" s="222">
        <f>IF(data!BY90&gt;0,ROUND(data!BY90,0),0)</f>
        <v>0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022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022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0.27</v>
      </c>
      <c r="G78" s="222">
        <f>ROUND(data!CA61,0)</f>
        <v>20896</v>
      </c>
      <c r="H78" s="222">
        <f>ROUND(data!CA62,0)</f>
        <v>4009</v>
      </c>
      <c r="I78" s="222">
        <f>ROUND(data!CA63,0)</f>
        <v>0</v>
      </c>
      <c r="J78" s="222">
        <f>ROUND(data!CA64,0)</f>
        <v>217</v>
      </c>
      <c r="K78" s="222">
        <f>ROUND(data!CA65,0)</f>
        <v>0</v>
      </c>
      <c r="L78" s="222">
        <f>ROUND(data!CA66,0)</f>
        <v>5515</v>
      </c>
      <c r="M78" s="66">
        <f>ROUND(data!CA67,0)</f>
        <v>402</v>
      </c>
      <c r="N78" s="222">
        <f>ROUND(data!CA68,0)</f>
        <v>0</v>
      </c>
      <c r="O78" s="222">
        <f>ROUND(data!CA69,0)</f>
        <v>15234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15234</v>
      </c>
      <c r="AD78" s="222">
        <f>ROUND(data!CA84,0)</f>
        <v>0</v>
      </c>
      <c r="AE78" s="222"/>
      <c r="AF78" s="222"/>
      <c r="AG78" s="222">
        <f>IF(data!CA90&gt;0,ROUND(data!CA90,0),0)</f>
        <v>27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022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4146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022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0</v>
      </c>
      <c r="G80" s="222">
        <f>ROUND(data!CC61,0)</f>
        <v>0</v>
      </c>
      <c r="H80" s="222">
        <f>ROUND(data!CC62,0)</f>
        <v>0</v>
      </c>
      <c r="I80" s="222">
        <f>ROUND(data!CC63,0)</f>
        <v>0</v>
      </c>
      <c r="J80" s="222">
        <f>ROUND(data!CC64,0)</f>
        <v>0</v>
      </c>
      <c r="K80" s="222">
        <f>ROUND(data!CC65,0)</f>
        <v>0</v>
      </c>
      <c r="L80" s="222">
        <f>ROUND(data!CC66,0)</f>
        <v>0</v>
      </c>
      <c r="M80" s="66">
        <f>ROUND(data!CC67,0)</f>
        <v>0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Lourdes Medical Center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H-022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520 North 4th Avenue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Pasco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/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022</v>
      </c>
      <c r="B12" s="275" t="str">
        <f>RIGHT('Prior Year'!C97,4)</f>
        <v>2018</v>
      </c>
      <c r="C12" s="275" t="str">
        <f>RIGHT(data!C96,4)</f>
        <v>2022</v>
      </c>
      <c r="D12" s="1" t="str">
        <f>RIGHT('Prior Year'!C97,4)</f>
        <v>2018</v>
      </c>
      <c r="E12" s="275" t="str">
        <f>RIGHT(data!C96,4)</f>
        <v>2022</v>
      </c>
      <c r="F12" s="1" t="str">
        <f>RIGHT('Prior Year'!C97,4)</f>
        <v>2018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0</v>
      </c>
      <c r="C15" s="275">
        <f>data!C85</f>
        <v>196824.85000000003</v>
      </c>
      <c r="D15" s="275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20.87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6125987</v>
      </c>
      <c r="C17" s="275">
        <f>data!E85</f>
        <v>5642082.6700000009</v>
      </c>
      <c r="D17" s="275">
        <f>'Prior Year'!E60</f>
        <v>4679</v>
      </c>
      <c r="E17" s="1">
        <f>data!E59</f>
        <v>4109</v>
      </c>
      <c r="F17" s="238">
        <f t="shared" si="0"/>
        <v>1309.2513357555033</v>
      </c>
      <c r="G17" s="238">
        <f t="shared" si="1"/>
        <v>1373.1035945485521</v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2225786</v>
      </c>
      <c r="C19" s="275">
        <f>data!G85</f>
        <v>1770528.8</v>
      </c>
      <c r="D19" s="275">
        <f>'Prior Year'!G60</f>
        <v>2433</v>
      </c>
      <c r="E19" s="1">
        <f>data!G59</f>
        <v>1473</v>
      </c>
      <c r="F19" s="238">
        <f t="shared" si="0"/>
        <v>914.83189478010684</v>
      </c>
      <c r="G19" s="238">
        <f t="shared" si="1"/>
        <v>1201.9883231500339</v>
      </c>
      <c r="H19" s="6">
        <f t="shared" si="2"/>
        <v>0.31388983047967445</v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13074.150000000001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49903.45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1925549</v>
      </c>
      <c r="C26" s="275">
        <f>data!N85</f>
        <v>2430032.6399999997</v>
      </c>
      <c r="D26" s="275">
        <f>'Prior Year'!N60</f>
        <v>1845</v>
      </c>
      <c r="E26" s="1">
        <f>data!N59</f>
        <v>140</v>
      </c>
      <c r="F26" s="238">
        <f t="shared" si="0"/>
        <v>1043.6579945799458</v>
      </c>
      <c r="G26" s="238">
        <f t="shared" si="1"/>
        <v>17357.375999999997</v>
      </c>
      <c r="H26" s="6">
        <f t="shared" si="2"/>
        <v>15.631287347140994</v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18517427</v>
      </c>
      <c r="C28" s="275">
        <f>data!P85</f>
        <v>14205214.379999997</v>
      </c>
      <c r="D28" s="275">
        <f>'Prior Year'!P60</f>
        <v>342239</v>
      </c>
      <c r="E28" s="1">
        <f>data!P59</f>
        <v>232563</v>
      </c>
      <c r="F28" s="238">
        <f t="shared" si="0"/>
        <v>54.106711976133639</v>
      </c>
      <c r="G28" s="238">
        <f t="shared" si="1"/>
        <v>61.081145238064515</v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1131810</v>
      </c>
      <c r="C29" s="275">
        <f>data!Q85</f>
        <v>506285.02000000008</v>
      </c>
      <c r="D29" s="275">
        <f>'Prior Year'!Q60</f>
        <v>167660</v>
      </c>
      <c r="E29" s="1">
        <f>data!Q59</f>
        <v>0</v>
      </c>
      <c r="F29" s="238">
        <f t="shared" si="0"/>
        <v>6.7506262674460213</v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2739753</v>
      </c>
      <c r="C30" s="275">
        <f>data!R85</f>
        <v>2591489</v>
      </c>
      <c r="D30" s="275">
        <f>'Prior Year'!R60</f>
        <v>342239</v>
      </c>
      <c r="E30" s="1">
        <f>data!R59</f>
        <v>232563</v>
      </c>
      <c r="F30" s="238">
        <f t="shared" si="0"/>
        <v>8.0053792817300184</v>
      </c>
      <c r="G30" s="238">
        <f>IFERROR(IF(C30=0,"",IF(E30=0,"",C30/E30)),"")</f>
        <v>11.143169807751018</v>
      </c>
      <c r="H30" s="6">
        <f t="shared" si="2"/>
        <v>0.39196025767100218</v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465665</v>
      </c>
      <c r="C31" s="275">
        <f>data!S85</f>
        <v>652256.93000000005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191231</v>
      </c>
      <c r="C32" s="275">
        <f>data!T85</f>
        <v>39988.26999999999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4"/>
        <v/>
      </c>
      <c r="H32" s="6" t="e">
        <f t="shared" si="2"/>
        <v>#VALUE!</v>
      </c>
      <c r="I32" s="275" t="e">
        <f t="shared" si="3"/>
        <v>#VALUE!</v>
      </c>
      <c r="M32" s="7"/>
    </row>
    <row r="33" spans="1:13" x14ac:dyDescent="0.35">
      <c r="A33" s="1" t="s">
        <v>727</v>
      </c>
      <c r="B33" s="275">
        <f>'Prior Year'!U86</f>
        <v>2719492</v>
      </c>
      <c r="C33" s="275">
        <f>data!U85</f>
        <v>3549533.02</v>
      </c>
      <c r="D33" s="275">
        <f>'Prior Year'!U60</f>
        <v>101883</v>
      </c>
      <c r="E33" s="1">
        <f>data!U59</f>
        <v>0</v>
      </c>
      <c r="F33" s="238">
        <f t="shared" si="0"/>
        <v>26.692303917238402</v>
      </c>
      <c r="G33" s="238" t="str">
        <f t="shared" ref="G33:G69" si="5">IF(C33=0,"",IF(E33=0,"",C33/E33))</f>
        <v/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0</v>
      </c>
      <c r="C34" s="275">
        <f>data!V85</f>
        <v>0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674235</v>
      </c>
      <c r="C35" s="275">
        <f>data!W85</f>
        <v>301032.05</v>
      </c>
      <c r="D35" s="275">
        <f>'Prior Year'!W60</f>
        <v>34828</v>
      </c>
      <c r="E35" s="1">
        <f>data!W59</f>
        <v>0</v>
      </c>
      <c r="F35" s="238">
        <f t="shared" si="0"/>
        <v>19.358992764442402</v>
      </c>
      <c r="G35" s="238" t="str">
        <f t="shared" si="5"/>
        <v/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495119</v>
      </c>
      <c r="C36" s="275">
        <f>data!X85</f>
        <v>341796.00999999995</v>
      </c>
      <c r="D36" s="275">
        <f>'Prior Year'!X60</f>
        <v>70712</v>
      </c>
      <c r="E36" s="1">
        <f>data!X59</f>
        <v>0</v>
      </c>
      <c r="F36" s="238">
        <f t="shared" si="0"/>
        <v>7.0019091526190742</v>
      </c>
      <c r="G36" s="238" t="str">
        <f t="shared" si="5"/>
        <v/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3515121</v>
      </c>
      <c r="C37" s="275">
        <f>data!Y85</f>
        <v>1786079.4200000002</v>
      </c>
      <c r="D37" s="275">
        <f>'Prior Year'!Y60</f>
        <v>32473</v>
      </c>
      <c r="E37" s="1">
        <f>data!Y59</f>
        <v>0</v>
      </c>
      <c r="F37" s="238">
        <f t="shared" si="0"/>
        <v>108.24749792135005</v>
      </c>
      <c r="G37" s="238" t="str">
        <f t="shared" si="5"/>
        <v/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640869</v>
      </c>
      <c r="C39" s="275">
        <f>data!AA85</f>
        <v>490305.37999999995</v>
      </c>
      <c r="D39" s="275">
        <f>'Prior Year'!AA60</f>
        <v>10099</v>
      </c>
      <c r="E39" s="1">
        <f>data!AA59</f>
        <v>0</v>
      </c>
      <c r="F39" s="238">
        <f t="shared" si="0"/>
        <v>63.458659273195366</v>
      </c>
      <c r="G39" s="238" t="str">
        <f t="shared" si="5"/>
        <v/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3195821</v>
      </c>
      <c r="C40" s="275">
        <f>data!AB85</f>
        <v>6212604.3500000015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1044372</v>
      </c>
      <c r="C41" s="275">
        <f>data!AC85</f>
        <v>763606.76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5"/>
        <v/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2279891</v>
      </c>
      <c r="C43" s="275">
        <f>data!AE85</f>
        <v>2262266.0000000005</v>
      </c>
      <c r="D43" s="275">
        <f>'Prior Year'!AE60</f>
        <v>30129</v>
      </c>
      <c r="E43" s="1">
        <f>data!AE59</f>
        <v>0</v>
      </c>
      <c r="F43" s="238">
        <f t="shared" si="0"/>
        <v>75.670981446446945</v>
      </c>
      <c r="G43" s="238" t="str">
        <f t="shared" si="5"/>
        <v/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7911927</v>
      </c>
      <c r="C45" s="275">
        <f>data!AG85</f>
        <v>6735881.6600000001</v>
      </c>
      <c r="D45" s="275">
        <f>'Prior Year'!AG60</f>
        <v>22114</v>
      </c>
      <c r="E45" s="1">
        <f>data!AG59</f>
        <v>22015</v>
      </c>
      <c r="F45" s="238">
        <f t="shared" si="0"/>
        <v>357.77909921316814</v>
      </c>
      <c r="G45" s="238">
        <f t="shared" si="5"/>
        <v>305.96782466500116</v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2210815</v>
      </c>
      <c r="C47" s="275">
        <f>data!AI85</f>
        <v>0</v>
      </c>
      <c r="D47" s="275">
        <f>'Prior Year'!AI60</f>
        <v>6594</v>
      </c>
      <c r="E47" s="1">
        <f>data!AI59</f>
        <v>0</v>
      </c>
      <c r="F47" s="238">
        <f t="shared" si="0"/>
        <v>335.27676675765849</v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1178486</v>
      </c>
      <c r="C48" s="275">
        <f>data!AJ85</f>
        <v>16414377.290000003</v>
      </c>
      <c r="D48" s="275">
        <f>'Prior Year'!AJ60</f>
        <v>7683</v>
      </c>
      <c r="E48" s="1">
        <f>data!AJ59</f>
        <v>73503</v>
      </c>
      <c r="F48" s="238">
        <f t="shared" si="0"/>
        <v>153.38878042431341</v>
      </c>
      <c r="G48" s="238">
        <f t="shared" si="5"/>
        <v>223.31574616002072</v>
      </c>
      <c r="H48" s="6">
        <f t="shared" si="2"/>
        <v>0.45588057706874685</v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851858</v>
      </c>
      <c r="C49" s="275">
        <f>data!AK85</f>
        <v>2757010.4300000006</v>
      </c>
      <c r="D49" s="275">
        <f>'Prior Year'!AK60</f>
        <v>8675</v>
      </c>
      <c r="E49" s="1">
        <f>data!AK59</f>
        <v>0</v>
      </c>
      <c r="F49" s="238">
        <f t="shared" si="0"/>
        <v>98.196887608069162</v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582762</v>
      </c>
      <c r="C50" s="275">
        <f>data!AL85</f>
        <v>249769.30000000002</v>
      </c>
      <c r="D50" s="275">
        <f>'Prior Year'!AL60</f>
        <v>3664</v>
      </c>
      <c r="E50" s="1">
        <f>data!AL59</f>
        <v>0</v>
      </c>
      <c r="F50" s="238">
        <f t="shared" si="0"/>
        <v>159.05076419213975</v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56078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425795.00999999995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56</v>
      </c>
      <c r="C54" s="275">
        <f>data!AP85</f>
        <v>0</v>
      </c>
      <c r="D54" s="275">
        <f>'Prior Year'!AP60</f>
        <v>83310</v>
      </c>
      <c r="E54" s="1">
        <f>data!AP59</f>
        <v>0</v>
      </c>
      <c r="F54" s="238">
        <f t="shared" si="0"/>
        <v>6.7218821269955588E-4</v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2121269</v>
      </c>
      <c r="C60" s="275">
        <f>data!AV85</f>
        <v>1552060.6900000002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48787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1633102</v>
      </c>
      <c r="C63" s="275">
        <f>data!AY85</f>
        <v>1360912.02</v>
      </c>
      <c r="D63" s="275">
        <f>'Prior Year'!AY60</f>
        <v>34133</v>
      </c>
      <c r="E63" s="1">
        <f>data!AY59</f>
        <v>0</v>
      </c>
      <c r="F63" s="238">
        <f>IF(B63=0,"",IF(D63=0,"",B63/D63))</f>
        <v>47.84525239504292</v>
      </c>
      <c r="G63" s="238" t="str">
        <f t="shared" si="5"/>
        <v/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220658</v>
      </c>
      <c r="C65" s="275">
        <f>data!BA85</f>
        <v>182882.08000000002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0</v>
      </c>
      <c r="C66" s="275">
        <f>data!BB85</f>
        <v>0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71949</v>
      </c>
      <c r="C68" s="275">
        <f>data!BD85</f>
        <v>2740318.1199999996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3985828</v>
      </c>
      <c r="C69" s="275">
        <f>data!BE85</f>
        <v>2630171.8199999998</v>
      </c>
      <c r="D69" s="275">
        <f>'Prior Year'!BE60</f>
        <v>159228</v>
      </c>
      <c r="E69" s="1">
        <f>data!BE59</f>
        <v>159435.81</v>
      </c>
      <c r="F69" s="238">
        <f>IF(B69=0,"",IF(D69=0,"",B69/D69))</f>
        <v>25.03220539101163</v>
      </c>
      <c r="G69" s="238">
        <f t="shared" si="5"/>
        <v>16.496744489208542</v>
      </c>
      <c r="H69" s="6">
        <f>IF(B69=0,"",IF(C69=0,"",IF(D69=0,"",IF(E69=0,"",IF(G69/F69-1&lt;-0.25,G69/F69-1,IF(G69/F69-1&gt;0.25,G69/F69-1,""))))))</f>
        <v>-0.34097918135762562</v>
      </c>
      <c r="I69" s="275" t="str">
        <f t="shared" si="6"/>
        <v/>
      </c>
      <c r="M69" s="7"/>
    </row>
    <row r="70" spans="1:13" x14ac:dyDescent="0.35">
      <c r="A70" s="1" t="s">
        <v>764</v>
      </c>
      <c r="B70" s="275">
        <f>'Prior Year'!BF86</f>
        <v>1274704</v>
      </c>
      <c r="C70" s="275">
        <f>data!BF85</f>
        <v>1376775.82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21640</v>
      </c>
      <c r="C71" s="275">
        <f>data!BG85</f>
        <v>0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5298415</v>
      </c>
      <c r="C72" s="275">
        <f>data!BH85</f>
        <v>2121431.9700000002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1161173.8199999998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158045</v>
      </c>
      <c r="C74" s="275">
        <f>data!BJ85</f>
        <v>499829.14999999997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194364</v>
      </c>
      <c r="C75" s="275">
        <f>data!BK85</f>
        <v>232135.4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1357869</v>
      </c>
      <c r="C76" s="275">
        <f>data!BL85</f>
        <v>276352.36000000004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2536479.4500000002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976881</v>
      </c>
      <c r="C78" s="275">
        <f>data!BN85</f>
        <v>7034645.3600000003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186512.39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619420.1399999999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56839.039999999986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1909708</v>
      </c>
      <c r="C86" s="275">
        <f>data!BV85</f>
        <v>492988.00999999989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222867</v>
      </c>
      <c r="C87" s="275">
        <f>data!BW85</f>
        <v>867326.23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1047225</v>
      </c>
      <c r="C89" s="275">
        <f>data!BY85</f>
        <v>1351442.79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0</v>
      </c>
      <c r="C91" s="275">
        <f>data!CA85</f>
        <v>46273.899999999994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-1294</v>
      </c>
      <c r="C92" s="275">
        <f>data!CB85</f>
        <v>4145.63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-740241</v>
      </c>
      <c r="C93" s="275">
        <f>data!CC85</f>
        <v>0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-1632282</v>
      </c>
      <c r="C94" s="275">
        <f>data!CD85</f>
        <v>0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0" t="s">
        <v>1348</v>
      </c>
    </row>
    <row r="3" spans="1:4" x14ac:dyDescent="0.35">
      <c r="A3" s="11" t="s">
        <v>789</v>
      </c>
    </row>
    <row r="4" spans="1:4" x14ac:dyDescent="0.35">
      <c r="A4" s="328" t="s">
        <v>1346</v>
      </c>
    </row>
    <row r="5" spans="1:4" x14ac:dyDescent="0.35">
      <c r="A5" s="329" t="s">
        <v>1344</v>
      </c>
    </row>
    <row r="6" spans="1:4" x14ac:dyDescent="0.35">
      <c r="A6" s="327"/>
    </row>
    <row r="7" spans="1:4" x14ac:dyDescent="0.35">
      <c r="A7" s="328" t="s">
        <v>1347</v>
      </c>
    </row>
    <row r="8" spans="1:4" x14ac:dyDescent="0.35">
      <c r="A8" s="329" t="s">
        <v>1345</v>
      </c>
    </row>
    <row r="11" spans="1:4" x14ac:dyDescent="0.35">
      <c r="A11" s="13" t="s">
        <v>790</v>
      </c>
      <c r="D11" s="276">
        <f>data!C380</f>
        <v>1288043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15880729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H-22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Lourdes Medical Center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99301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Franklin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Mark Holyoak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Erika Wier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509-547-7704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509-542-3070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 xml:space="preserve"> X</v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1119</v>
      </c>
      <c r="G23" s="81">
        <f>data!D127</f>
        <v>5722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6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19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35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10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95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Lourdes Medical Center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472</v>
      </c>
      <c r="C7" s="141">
        <f>data!B155</f>
        <v>2657</v>
      </c>
      <c r="D7" s="141">
        <f>data!B156</f>
        <v>0</v>
      </c>
      <c r="E7" s="141">
        <f>data!B157</f>
        <v>25995798.009999998</v>
      </c>
      <c r="F7" s="141">
        <f>data!B158</f>
        <v>78818433.709999993</v>
      </c>
      <c r="G7" s="141">
        <f>data!B157+data!B158</f>
        <v>104814231.72</v>
      </c>
    </row>
    <row r="8" spans="1:7" ht="20.149999999999999" customHeight="1" x14ac:dyDescent="0.35">
      <c r="A8" s="77" t="s">
        <v>331</v>
      </c>
      <c r="B8" s="141">
        <f>data!C154</f>
        <v>10</v>
      </c>
      <c r="C8" s="141">
        <f>data!C155</f>
        <v>155</v>
      </c>
      <c r="D8" s="141">
        <f>data!C156</f>
        <v>0</v>
      </c>
      <c r="E8" s="141">
        <f>data!C157</f>
        <v>1061301.5</v>
      </c>
      <c r="F8" s="141">
        <f>data!C158</f>
        <v>3169662.8400000003</v>
      </c>
      <c r="G8" s="141">
        <f>data!C157+data!C158</f>
        <v>4230964.34</v>
      </c>
    </row>
    <row r="9" spans="1:7" ht="20.149999999999999" customHeight="1" x14ac:dyDescent="0.35">
      <c r="A9" s="77" t="s">
        <v>829</v>
      </c>
      <c r="B9" s="141">
        <f>data!D154</f>
        <v>637</v>
      </c>
      <c r="C9" s="141">
        <f>data!D155</f>
        <v>2910</v>
      </c>
      <c r="D9" s="141">
        <f>data!D156</f>
        <v>0</v>
      </c>
      <c r="E9" s="141">
        <f>data!D157</f>
        <v>31500110.300000004</v>
      </c>
      <c r="F9" s="141">
        <f>data!D158</f>
        <v>151114753.15999994</v>
      </c>
      <c r="G9" s="141">
        <f>data!D157+data!D158</f>
        <v>182614863.45999995</v>
      </c>
    </row>
    <row r="10" spans="1:7" ht="20.149999999999999" customHeight="1" x14ac:dyDescent="0.35">
      <c r="A10" s="92" t="s">
        <v>215</v>
      </c>
      <c r="B10" s="141">
        <f>data!E154</f>
        <v>1119</v>
      </c>
      <c r="C10" s="141">
        <f>data!E155</f>
        <v>5722</v>
      </c>
      <c r="D10" s="141">
        <f>data!E156</f>
        <v>0</v>
      </c>
      <c r="E10" s="141">
        <f>data!E157</f>
        <v>58557209.810000002</v>
      </c>
      <c r="F10" s="141">
        <f>data!E158</f>
        <v>233102849.70999992</v>
      </c>
      <c r="G10" s="141">
        <f>E10+F10</f>
        <v>291660059.51999992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Lourdes Medical Center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2399373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140021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354033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2520650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72509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612186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324558.52000000142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6423330.5200000014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1542277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273616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1815893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681680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131328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813008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1716880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1716880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1513765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1513765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3" workbookViewId="0">
      <selection activeCell="D11" sqref="D11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Lourdes Medical Center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2127268</v>
      </c>
      <c r="D7" s="81">
        <f>data!C211</f>
        <v>3587472</v>
      </c>
      <c r="E7" s="81">
        <f>data!D211</f>
        <v>0</v>
      </c>
      <c r="F7" s="81">
        <f>data!E211</f>
        <v>5714740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0</v>
      </c>
      <c r="D8" s="81">
        <f>data!C212</f>
        <v>0</v>
      </c>
      <c r="E8" s="81">
        <f>data!D212</f>
        <v>0</v>
      </c>
      <c r="F8" s="81">
        <f>data!E212</f>
        <v>0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6441480</v>
      </c>
      <c r="D9" s="81">
        <f>data!C213</f>
        <v>632358</v>
      </c>
      <c r="E9" s="81">
        <f>data!D213</f>
        <v>0</v>
      </c>
      <c r="F9" s="81">
        <f>data!E213</f>
        <v>7073838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0</v>
      </c>
      <c r="D11" s="81">
        <f>data!C215</f>
        <v>0</v>
      </c>
      <c r="E11" s="81">
        <f>data!D215</f>
        <v>0</v>
      </c>
      <c r="F11" s="81">
        <f>data!E215</f>
        <v>0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1897419</v>
      </c>
      <c r="D12" s="81">
        <f>data!C216</f>
        <v>522507</v>
      </c>
      <c r="E12" s="81">
        <f>data!D216</f>
        <v>0</v>
      </c>
      <c r="F12" s="81">
        <f>data!E216</f>
        <v>2419926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5146859</v>
      </c>
      <c r="D13" s="81">
        <f>data!C217</f>
        <v>458557</v>
      </c>
      <c r="E13" s="81">
        <f>data!D217</f>
        <v>0</v>
      </c>
      <c r="F13" s="81">
        <f>data!E217</f>
        <v>5605416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1568113</v>
      </c>
      <c r="D15" s="81">
        <f>data!C219</f>
        <v>1274912</v>
      </c>
      <c r="E15" s="81">
        <f>data!D219</f>
        <v>0</v>
      </c>
      <c r="F15" s="81">
        <f>data!E219</f>
        <v>2843025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17181139</v>
      </c>
      <c r="D16" s="81">
        <f>data!C220</f>
        <v>6475806</v>
      </c>
      <c r="E16" s="81">
        <f>data!D220</f>
        <v>0</v>
      </c>
      <c r="F16" s="81">
        <f>data!E220</f>
        <v>23656945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0</v>
      </c>
      <c r="D24" s="81">
        <f>data!C225</f>
        <v>0</v>
      </c>
      <c r="E24" s="81">
        <f>data!D225</f>
        <v>0</v>
      </c>
      <c r="F24" s="81">
        <f>data!E225</f>
        <v>0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1586925.26</v>
      </c>
      <c r="D25" s="81">
        <f>data!C226</f>
        <v>853390.74</v>
      </c>
      <c r="E25" s="81">
        <f>data!D226</f>
        <v>0</v>
      </c>
      <c r="F25" s="81">
        <f>data!E226</f>
        <v>2440316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709329</v>
      </c>
      <c r="D28" s="81">
        <f>data!C229</f>
        <v>282112</v>
      </c>
      <c r="E28" s="81">
        <f>data!D229</f>
        <v>0</v>
      </c>
      <c r="F28" s="81">
        <f>data!E229</f>
        <v>991441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3250851</v>
      </c>
      <c r="D29" s="81">
        <f>data!C230</f>
        <v>1203375</v>
      </c>
      <c r="E29" s="81">
        <f>data!D230</f>
        <v>0</v>
      </c>
      <c r="F29" s="81">
        <f>data!E230</f>
        <v>4454226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5547105.2599999998</v>
      </c>
      <c r="D32" s="81">
        <f>data!C233</f>
        <v>2338877.7400000002</v>
      </c>
      <c r="E32" s="81">
        <f>data!D233</f>
        <v>0</v>
      </c>
      <c r="F32" s="81">
        <f>data!E233</f>
        <v>7885983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Lourdes Medical Center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7884335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71734251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3540123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0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114550771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0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189825145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611573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3034461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3646034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2023-06-15T00:00:27Z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