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HOFIDAR\MFT\from_HOS\Yearly\"/>
    </mc:Choice>
  </mc:AlternateContent>
  <xr:revisionPtr revIDLastSave="0" documentId="13_ncr:1_{08DBC009-89D9-4EE7-95B3-0B8FC322BB0E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28680" yWindow="-120" windowWidth="29040" windowHeight="15840" tabRatio="777" activeTab="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418" i="24"/>
  <c r="I53" i="15"/>
  <c r="I24" i="15"/>
  <c r="CE83" i="24"/>
  <c r="E45" i="15"/>
  <c r="C414" i="24" l="1"/>
  <c r="G16" i="4" l="1"/>
  <c r="C419" i="24" l="1"/>
  <c r="C8" i="6"/>
  <c r="C9" i="6"/>
  <c r="C10" i="6"/>
  <c r="C11" i="6"/>
  <c r="C12" i="6"/>
  <c r="C13" i="6"/>
  <c r="C14" i="6"/>
  <c r="C15" i="6"/>
  <c r="D9" i="3"/>
  <c r="D8" i="3"/>
  <c r="D7" i="3"/>
  <c r="D6" i="3"/>
  <c r="AO87" i="24" l="1"/>
  <c r="CE85" i="25" l="1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F21" i="27"/>
  <c r="E21" i="27"/>
  <c r="E19" i="27"/>
  <c r="E20" i="27" s="1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CE69" i="24" l="1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C300" i="32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I371" i="32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7" i="31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10" i="31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G268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X52" i="24" l="1"/>
  <c r="X67" i="24" s="1"/>
  <c r="L52" i="24"/>
  <c r="L67" i="24" s="1"/>
  <c r="BX52" i="24"/>
  <c r="BX67" i="24" s="1"/>
  <c r="BX85" i="24" s="1"/>
  <c r="E76" i="32"/>
  <c r="G332" i="32"/>
  <c r="I172" i="32"/>
  <c r="C236" i="32"/>
  <c r="H23" i="31"/>
  <c r="D76" i="32"/>
  <c r="I12" i="32"/>
  <c r="H37" i="31"/>
  <c r="H65" i="31"/>
  <c r="H39" i="31"/>
  <c r="D300" i="32"/>
  <c r="H71" i="31"/>
  <c r="D204" i="32"/>
  <c r="H268" i="32"/>
  <c r="G76" i="32"/>
  <c r="F44" i="32"/>
  <c r="E332" i="32"/>
  <c r="G236" i="32"/>
  <c r="E12" i="32"/>
  <c r="D332" i="32"/>
  <c r="E236" i="32"/>
  <c r="AV52" i="24"/>
  <c r="AV67" i="24" s="1"/>
  <c r="AV85" i="24" s="1"/>
  <c r="C60" i="15" s="1"/>
  <c r="H35" i="31"/>
  <c r="G204" i="32"/>
  <c r="F300" i="32"/>
  <c r="C12" i="32"/>
  <c r="I76" i="32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S53" i="25"/>
  <c r="BS68" i="25" s="1"/>
  <c r="BS86" i="25" s="1"/>
  <c r="W53" i="25"/>
  <c r="W68" i="25" s="1"/>
  <c r="W86" i="25" s="1"/>
  <c r="C689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A53" i="25"/>
  <c r="CA68" i="25" s="1"/>
  <c r="CA86" i="25" s="1"/>
  <c r="G53" i="25"/>
  <c r="G68" i="25" s="1"/>
  <c r="G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C702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M53" i="25"/>
  <c r="AM68" i="25" s="1"/>
  <c r="AM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676" i="25" s="1"/>
  <c r="BC53" i="25"/>
  <c r="BC68" i="25" s="1"/>
  <c r="BC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AU53" i="25"/>
  <c r="AU68" i="25" s="1"/>
  <c r="AU86" i="25" s="1"/>
  <c r="O53" i="25"/>
  <c r="O68" i="25" s="1"/>
  <c r="O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C690" i="25" s="1"/>
  <c r="P53" i="25"/>
  <c r="P68" i="25" s="1"/>
  <c r="P86" i="25" s="1"/>
  <c r="H53" i="25"/>
  <c r="H68" i="25" s="1"/>
  <c r="H86" i="25" s="1"/>
  <c r="BK53" i="25"/>
  <c r="BK68" i="25" s="1"/>
  <c r="BK86" i="25" s="1"/>
  <c r="AE53" i="25"/>
  <c r="AE68" i="25" s="1"/>
  <c r="AE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S85" i="24" l="1"/>
  <c r="E85" i="24"/>
  <c r="E17" i="32"/>
  <c r="M61" i="31"/>
  <c r="C677" i="25"/>
  <c r="B23" i="15"/>
  <c r="H23" i="15" s="1"/>
  <c r="I23" i="15" s="1"/>
  <c r="B36" i="15"/>
  <c r="C678" i="25"/>
  <c r="B24" i="15"/>
  <c r="C691" i="25"/>
  <c r="B37" i="15"/>
  <c r="F37" i="15" s="1"/>
  <c r="C634" i="25"/>
  <c r="B67" i="15"/>
  <c r="B78" i="15"/>
  <c r="F78" i="15" s="1"/>
  <c r="C620" i="25"/>
  <c r="C709" i="25"/>
  <c r="B55" i="15"/>
  <c r="B32" i="15"/>
  <c r="C686" i="25"/>
  <c r="B19" i="15"/>
  <c r="H19" i="15" s="1"/>
  <c r="I19" i="15" s="1"/>
  <c r="C673" i="25"/>
  <c r="C631" i="25"/>
  <c r="B65" i="15"/>
  <c r="F65" i="15" s="1"/>
  <c r="C688" i="25"/>
  <c r="B34" i="15"/>
  <c r="C683" i="25"/>
  <c r="B29" i="15"/>
  <c r="F29" i="15" s="1"/>
  <c r="C647" i="25"/>
  <c r="B90" i="15"/>
  <c r="C636" i="25"/>
  <c r="B75" i="15"/>
  <c r="F75" i="15" s="1"/>
  <c r="C638" i="25"/>
  <c r="B76" i="15"/>
  <c r="C699" i="25"/>
  <c r="B45" i="15"/>
  <c r="F45" i="15" s="1"/>
  <c r="B86" i="15"/>
  <c r="F86" i="15" s="1"/>
  <c r="C643" i="25"/>
  <c r="C626" i="25"/>
  <c r="B63" i="15"/>
  <c r="F63" i="15" s="1"/>
  <c r="C694" i="25"/>
  <c r="B40" i="15"/>
  <c r="B91" i="15"/>
  <c r="C648" i="25"/>
  <c r="C635" i="25"/>
  <c r="B73" i="15"/>
  <c r="C696" i="25"/>
  <c r="B42" i="15"/>
  <c r="F42" i="15" s="1"/>
  <c r="C645" i="25"/>
  <c r="B88" i="15"/>
  <c r="C674" i="25"/>
  <c r="B20" i="15"/>
  <c r="H20" i="15" s="1"/>
  <c r="I20" i="15" s="1"/>
  <c r="B84" i="15"/>
  <c r="F84" i="15" s="1"/>
  <c r="C641" i="25"/>
  <c r="B53" i="15"/>
  <c r="F53" i="15" s="1"/>
  <c r="C707" i="25"/>
  <c r="B30" i="15"/>
  <c r="F30" i="15" s="1"/>
  <c r="C684" i="25"/>
  <c r="C619" i="25"/>
  <c r="B71" i="15"/>
  <c r="H71" i="15" s="1"/>
  <c r="I71" i="15" s="1"/>
  <c r="C671" i="25"/>
  <c r="B17" i="15"/>
  <c r="F17" i="15" s="1"/>
  <c r="C704" i="25"/>
  <c r="B50" i="15"/>
  <c r="F50" i="15" s="1"/>
  <c r="C711" i="25"/>
  <c r="B57" i="15"/>
  <c r="C682" i="25"/>
  <c r="B28" i="15"/>
  <c r="F28" i="15" s="1"/>
  <c r="C623" i="25"/>
  <c r="B92" i="15"/>
  <c r="F92" i="15" s="1"/>
  <c r="C692" i="25"/>
  <c r="B38" i="15"/>
  <c r="F38" i="15" s="1"/>
  <c r="C628" i="25"/>
  <c r="B79" i="15"/>
  <c r="C710" i="25"/>
  <c r="B56" i="15"/>
  <c r="F56" i="15" s="1"/>
  <c r="C679" i="25"/>
  <c r="B25" i="15"/>
  <c r="B89" i="15"/>
  <c r="F89" i="15" s="1"/>
  <c r="C646" i="25"/>
  <c r="B58" i="15"/>
  <c r="F58" i="15" s="1"/>
  <c r="C712" i="25"/>
  <c r="C621" i="25"/>
  <c r="B93" i="15"/>
  <c r="F93" i="15" s="1"/>
  <c r="C697" i="25"/>
  <c r="B43" i="15"/>
  <c r="C632" i="25"/>
  <c r="B61" i="15"/>
  <c r="B27" i="15"/>
  <c r="H27" i="15" s="1"/>
  <c r="I27" i="15" s="1"/>
  <c r="C681" i="25"/>
  <c r="C615" i="25"/>
  <c r="D616" i="25" s="1"/>
  <c r="B69" i="15"/>
  <c r="C700" i="25"/>
  <c r="B46" i="15"/>
  <c r="F46" i="15" s="1"/>
  <c r="C644" i="25"/>
  <c r="B87" i="15"/>
  <c r="F87" i="15" s="1"/>
  <c r="C629" i="25"/>
  <c r="B64" i="15"/>
  <c r="C687" i="25"/>
  <c r="B33" i="15"/>
  <c r="F33" i="15" s="1"/>
  <c r="C633" i="25"/>
  <c r="B66" i="15"/>
  <c r="C630" i="25"/>
  <c r="B70" i="15"/>
  <c r="F70" i="15" s="1"/>
  <c r="C625" i="25"/>
  <c r="B68" i="15"/>
  <c r="C698" i="25"/>
  <c r="B44" i="15"/>
  <c r="F44" i="15" s="1"/>
  <c r="C713" i="25"/>
  <c r="B59" i="15"/>
  <c r="C639" i="25"/>
  <c r="B77" i="15"/>
  <c r="H77" i="15" s="1"/>
  <c r="I77" i="15" s="1"/>
  <c r="C685" i="25"/>
  <c r="B31" i="15"/>
  <c r="C705" i="25"/>
  <c r="B51" i="15"/>
  <c r="C637" i="25"/>
  <c r="B72" i="15"/>
  <c r="F72" i="15" s="1"/>
  <c r="C695" i="25"/>
  <c r="B41" i="15"/>
  <c r="F41" i="15" s="1"/>
  <c r="C640" i="25"/>
  <c r="B83" i="15"/>
  <c r="H83" i="15" s="1"/>
  <c r="I83" i="15" s="1"/>
  <c r="C618" i="25"/>
  <c r="B74" i="15"/>
  <c r="F74" i="15" s="1"/>
  <c r="C714" i="25"/>
  <c r="B60" i="15"/>
  <c r="C680" i="25"/>
  <c r="B26" i="15"/>
  <c r="H26" i="15" s="1"/>
  <c r="I26" i="15" s="1"/>
  <c r="B52" i="15"/>
  <c r="F52" i="15" s="1"/>
  <c r="C706" i="25"/>
  <c r="B21" i="15"/>
  <c r="H21" i="15" s="1"/>
  <c r="I21" i="15" s="1"/>
  <c r="C675" i="25"/>
  <c r="C642" i="25"/>
  <c r="B85" i="15"/>
  <c r="F85" i="15" s="1"/>
  <c r="B62" i="15"/>
  <c r="C617" i="25"/>
  <c r="C693" i="25"/>
  <c r="B39" i="15"/>
  <c r="B16" i="15"/>
  <c r="H16" i="15" s="1"/>
  <c r="I16" i="15" s="1"/>
  <c r="C670" i="25"/>
  <c r="C622" i="25"/>
  <c r="B80" i="15"/>
  <c r="B49" i="15"/>
  <c r="F49" i="15" s="1"/>
  <c r="C703" i="25"/>
  <c r="C672" i="25"/>
  <c r="B18" i="15"/>
  <c r="C627" i="25"/>
  <c r="B82" i="15"/>
  <c r="F82" i="15" s="1"/>
  <c r="B47" i="15"/>
  <c r="F47" i="15" s="1"/>
  <c r="B35" i="15"/>
  <c r="B22" i="15"/>
  <c r="H22" i="15" s="1"/>
  <c r="I22" i="15" s="1"/>
  <c r="B48" i="15"/>
  <c r="F48" i="15" s="1"/>
  <c r="C68" i="25"/>
  <c r="CE68" i="25" s="1"/>
  <c r="CE53" i="25"/>
  <c r="B81" i="15"/>
  <c r="F81" i="15" s="1"/>
  <c r="B54" i="15"/>
  <c r="F54" i="15" s="1"/>
  <c r="M63" i="31"/>
  <c r="BL85" i="24"/>
  <c r="C637" i="24" s="1"/>
  <c r="M22" i="31"/>
  <c r="AD85" i="24"/>
  <c r="I117" i="32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F80" i="15"/>
  <c r="M6" i="31"/>
  <c r="G17" i="32"/>
  <c r="G85" i="24"/>
  <c r="M54" i="31"/>
  <c r="F241" i="32"/>
  <c r="BC85" i="24"/>
  <c r="F32" i="15"/>
  <c r="M80" i="31"/>
  <c r="D369" i="32"/>
  <c r="CC85" i="24"/>
  <c r="E53" i="32"/>
  <c r="C24" i="15"/>
  <c r="G24" i="15" s="1"/>
  <c r="C677" i="24"/>
  <c r="M21" i="31"/>
  <c r="H81" i="32"/>
  <c r="V85" i="24"/>
  <c r="F83" i="15"/>
  <c r="M28" i="31"/>
  <c r="H113" i="32"/>
  <c r="AC85" i="24"/>
  <c r="M69" i="31"/>
  <c r="G305" i="32"/>
  <c r="BR85" i="24"/>
  <c r="M35" i="31"/>
  <c r="H145" i="32"/>
  <c r="AJ85" i="24"/>
  <c r="F76" i="15"/>
  <c r="M16" i="31"/>
  <c r="C81" i="32"/>
  <c r="Q85" i="24"/>
  <c r="F36" i="15"/>
  <c r="H81" i="15"/>
  <c r="I81" i="15" s="1"/>
  <c r="M59" i="31"/>
  <c r="D273" i="32"/>
  <c r="BH85" i="24"/>
  <c r="F43" i="15"/>
  <c r="H46" i="15"/>
  <c r="I46" i="15" s="1"/>
  <c r="F79" i="15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F39" i="15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F88" i="15"/>
  <c r="M66" i="31"/>
  <c r="D305" i="32"/>
  <c r="BO85" i="24"/>
  <c r="F59" i="15"/>
  <c r="H59" i="15"/>
  <c r="I59" i="15" s="1"/>
  <c r="M53" i="31"/>
  <c r="E241" i="32"/>
  <c r="BB85" i="24"/>
  <c r="C67" i="24"/>
  <c r="CE52" i="24"/>
  <c r="E85" i="32"/>
  <c r="C31" i="15"/>
  <c r="G31" i="15" s="1"/>
  <c r="C684" i="24"/>
  <c r="M62" i="31"/>
  <c r="G273" i="32"/>
  <c r="BK85" i="24"/>
  <c r="F55" i="15"/>
  <c r="H55" i="15"/>
  <c r="I55" i="15" s="1"/>
  <c r="M50" i="31"/>
  <c r="I209" i="32"/>
  <c r="AY85" i="24"/>
  <c r="G94" i="15"/>
  <c r="H94" i="15" s="1"/>
  <c r="I94" i="15" s="1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CE63" i="25"/>
  <c r="M9" i="31"/>
  <c r="C49" i="32"/>
  <c r="J85" i="24"/>
  <c r="H18" i="15"/>
  <c r="I18" i="15" s="1"/>
  <c r="F18" i="15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F91" i="15"/>
  <c r="H91" i="15" s="1"/>
  <c r="I91" i="15" s="1"/>
  <c r="C92" i="15"/>
  <c r="G92" i="15" s="1"/>
  <c r="C373" i="32"/>
  <c r="C622" i="24"/>
  <c r="C86" i="25" l="1"/>
  <c r="H58" i="15"/>
  <c r="I58" i="15" s="1"/>
  <c r="F23" i="15"/>
  <c r="H52" i="15"/>
  <c r="I52" i="15" s="1"/>
  <c r="F27" i="15"/>
  <c r="H277" i="32"/>
  <c r="H36" i="15"/>
  <c r="I36" i="15" s="1"/>
  <c r="C74" i="15"/>
  <c r="G74" i="15" s="1"/>
  <c r="H74" i="15" s="1"/>
  <c r="I74" i="15" s="1"/>
  <c r="C42" i="15"/>
  <c r="G42" i="15" s="1"/>
  <c r="C695" i="24"/>
  <c r="H24" i="15"/>
  <c r="F16" i="15"/>
  <c r="F19" i="15"/>
  <c r="H54" i="15"/>
  <c r="I54" i="15" s="1"/>
  <c r="F20" i="15"/>
  <c r="H84" i="15"/>
  <c r="I84" i="15" s="1"/>
  <c r="H47" i="15"/>
  <c r="I47" i="15" s="1"/>
  <c r="F71" i="15"/>
  <c r="C649" i="25"/>
  <c r="M717" i="25" s="1"/>
  <c r="H44" i="15"/>
  <c r="I44" i="15" s="1"/>
  <c r="H85" i="15"/>
  <c r="I85" i="15" s="1"/>
  <c r="F22" i="15"/>
  <c r="F26" i="15"/>
  <c r="H87" i="15"/>
  <c r="I87" i="15" s="1"/>
  <c r="F77" i="15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I31" i="15"/>
  <c r="D309" i="32"/>
  <c r="C627" i="24"/>
  <c r="C79" i="15"/>
  <c r="G245" i="32"/>
  <c r="C68" i="15"/>
  <c r="G68" i="15" s="1"/>
  <c r="C624" i="24"/>
  <c r="H76" i="15" l="1"/>
  <c r="I76" i="15" s="1"/>
  <c r="I40" i="15"/>
  <c r="H53" i="15"/>
  <c r="H69" i="15"/>
  <c r="I69" i="15" s="1"/>
  <c r="G80" i="15"/>
  <c r="H80" i="15" s="1"/>
  <c r="I80" i="15" s="1"/>
  <c r="G79" i="15"/>
  <c r="H79" i="15" s="1"/>
  <c r="I79" i="15" s="1"/>
  <c r="G30" i="15"/>
  <c r="H30" i="15" s="1"/>
  <c r="I30" i="15" s="1"/>
  <c r="G72" i="15"/>
  <c r="H72" i="15" s="1"/>
  <c r="I72" i="15" s="1"/>
  <c r="C648" i="24"/>
  <c r="M716" i="24" s="1"/>
  <c r="G32" i="15"/>
  <c r="H32" i="15" s="1"/>
  <c r="I32" i="15" s="1"/>
  <c r="G38" i="15"/>
  <c r="H38" i="15"/>
  <c r="I38" i="15" s="1"/>
  <c r="G28" i="15"/>
  <c r="H28" i="15" s="1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09" i="24"/>
  <c r="L703" i="24"/>
  <c r="L702" i="24"/>
  <c r="J715" i="24"/>
  <c r="K710" i="25"/>
  <c r="M710" i="25" s="1"/>
  <c r="K702" i="25"/>
  <c r="K694" i="25"/>
  <c r="M694" i="25" s="1"/>
  <c r="K686" i="25"/>
  <c r="M686" i="25" s="1"/>
  <c r="K707" i="25"/>
  <c r="M707" i="25" s="1"/>
  <c r="K699" i="25"/>
  <c r="M699" i="25" s="1"/>
  <c r="K691" i="25"/>
  <c r="K683" i="25"/>
  <c r="M683" i="25" s="1"/>
  <c r="K712" i="25"/>
  <c r="K704" i="25"/>
  <c r="K696" i="25"/>
  <c r="K688" i="25"/>
  <c r="M688" i="25" s="1"/>
  <c r="K680" i="25"/>
  <c r="K709" i="25"/>
  <c r="K701" i="25"/>
  <c r="K693" i="25"/>
  <c r="K685" i="25"/>
  <c r="M685" i="25" s="1"/>
  <c r="K717" i="25"/>
  <c r="K708" i="25"/>
  <c r="K700" i="25"/>
  <c r="K692" i="25"/>
  <c r="K684" i="25"/>
  <c r="K714" i="25"/>
  <c r="K689" i="25"/>
  <c r="K687" i="25"/>
  <c r="K678" i="25"/>
  <c r="K670" i="25"/>
  <c r="M670" i="25" s="1"/>
  <c r="K706" i="25"/>
  <c r="K681" i="25"/>
  <c r="K675" i="25"/>
  <c r="K698" i="25"/>
  <c r="K672" i="25"/>
  <c r="K690" i="25"/>
  <c r="K677" i="25"/>
  <c r="K669" i="25"/>
  <c r="K682" i="25"/>
  <c r="K674" i="25"/>
  <c r="K679" i="25"/>
  <c r="M679" i="25" s="1"/>
  <c r="K671" i="25"/>
  <c r="M671" i="25" s="1"/>
  <c r="K713" i="25"/>
  <c r="M713" i="25" s="1"/>
  <c r="K703" i="25"/>
  <c r="K673" i="25"/>
  <c r="K697" i="25"/>
  <c r="K711" i="25"/>
  <c r="K676" i="25"/>
  <c r="K705" i="25"/>
  <c r="K695" i="25"/>
  <c r="M703" i="25" l="1"/>
  <c r="M695" i="25"/>
  <c r="M698" i="25"/>
  <c r="M701" i="25"/>
  <c r="M705" i="25"/>
  <c r="M692" i="25"/>
  <c r="L713" i="24"/>
  <c r="L698" i="24"/>
  <c r="L699" i="24"/>
  <c r="L673" i="24"/>
  <c r="L668" i="24"/>
  <c r="L676" i="24"/>
  <c r="L687" i="24"/>
  <c r="L692" i="24"/>
  <c r="L689" i="24"/>
  <c r="L672" i="24"/>
  <c r="L683" i="24"/>
  <c r="L681" i="24"/>
  <c r="L669" i="24"/>
  <c r="L675" i="24"/>
  <c r="L674" i="24"/>
  <c r="L678" i="24"/>
  <c r="L694" i="24"/>
  <c r="L711" i="24"/>
  <c r="L695" i="24"/>
  <c r="L684" i="24"/>
  <c r="L693" i="24"/>
  <c r="L685" i="24"/>
  <c r="L686" i="24"/>
  <c r="L680" i="24"/>
  <c r="L679" i="24"/>
  <c r="L691" i="24"/>
  <c r="L688" i="24"/>
  <c r="L712" i="24"/>
  <c r="L705" i="24"/>
  <c r="L696" i="24"/>
  <c r="L697" i="24"/>
  <c r="L706" i="24"/>
  <c r="L704" i="24"/>
  <c r="L670" i="24"/>
  <c r="L707" i="24"/>
  <c r="L710" i="24"/>
  <c r="L671" i="24"/>
  <c r="L716" i="24"/>
  <c r="L690" i="24"/>
  <c r="L677" i="24"/>
  <c r="L700" i="24"/>
  <c r="L701" i="24"/>
  <c r="L682" i="24"/>
  <c r="M672" i="25"/>
  <c r="M681" i="25"/>
  <c r="M696" i="25"/>
  <c r="M704" i="25"/>
  <c r="M687" i="25"/>
  <c r="M693" i="25"/>
  <c r="M673" i="25"/>
  <c r="M675" i="25"/>
  <c r="M677" i="25"/>
  <c r="M690" i="25"/>
  <c r="M691" i="25"/>
  <c r="M674" i="25"/>
  <c r="M680" i="25"/>
  <c r="M676" i="25"/>
  <c r="M711" i="25"/>
  <c r="M700" i="25"/>
  <c r="M684" i="25"/>
  <c r="M706" i="25"/>
  <c r="M697" i="25"/>
  <c r="M708" i="25"/>
  <c r="M689" i="25"/>
  <c r="M714" i="25"/>
  <c r="M678" i="25"/>
  <c r="M702" i="25"/>
  <c r="M682" i="25"/>
  <c r="L716" i="25"/>
  <c r="M709" i="25"/>
  <c r="M712" i="25"/>
  <c r="K713" i="24"/>
  <c r="K703" i="24"/>
  <c r="M703" i="24" s="1"/>
  <c r="C183" i="32" s="1"/>
  <c r="K695" i="24"/>
  <c r="K712" i="24"/>
  <c r="K711" i="24"/>
  <c r="K707" i="24"/>
  <c r="K699" i="24"/>
  <c r="M699" i="24" s="1"/>
  <c r="F151" i="32" s="1"/>
  <c r="K691" i="24"/>
  <c r="K683" i="24"/>
  <c r="M683" i="24" s="1"/>
  <c r="D87" i="32" s="1"/>
  <c r="K694" i="24"/>
  <c r="K689" i="24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M668" i="24" s="1"/>
  <c r="K701" i="24"/>
  <c r="K706" i="24"/>
  <c r="K705" i="24"/>
  <c r="K704" i="24"/>
  <c r="K686" i="24"/>
  <c r="K681" i="24"/>
  <c r="K676" i="24"/>
  <c r="K673" i="24"/>
  <c r="M673" i="24" s="1"/>
  <c r="H23" i="32" s="1"/>
  <c r="K709" i="24"/>
  <c r="M709" i="24" s="1"/>
  <c r="I183" i="32" s="1"/>
  <c r="K702" i="24"/>
  <c r="M702" i="24" s="1"/>
  <c r="I151" i="32" s="1"/>
  <c r="K700" i="24"/>
  <c r="K696" i="24"/>
  <c r="K677" i="24"/>
  <c r="M677" i="24" s="1"/>
  <c r="E55" i="32" s="1"/>
  <c r="K675" i="24"/>
  <c r="K671" i="24"/>
  <c r="K690" i="24"/>
  <c r="M690" i="24" s="1"/>
  <c r="D119" i="32" s="1"/>
  <c r="K692" i="24"/>
  <c r="K685" i="24"/>
  <c r="M685" i="24" s="1"/>
  <c r="F87" i="32" s="1"/>
  <c r="K710" i="24"/>
  <c r="K698" i="24"/>
  <c r="K687" i="24"/>
  <c r="K670" i="24"/>
  <c r="K680" i="24"/>
  <c r="K697" i="24"/>
  <c r="K682" i="24"/>
  <c r="K716" i="25"/>
  <c r="M669" i="25"/>
  <c r="M691" i="24" l="1"/>
  <c r="E119" i="32" s="1"/>
  <c r="M701" i="24"/>
  <c r="H151" i="32" s="1"/>
  <c r="M713" i="24"/>
  <c r="F215" i="32" s="1"/>
  <c r="M692" i="24"/>
  <c r="F119" i="32" s="1"/>
  <c r="M698" i="24"/>
  <c r="E151" i="32" s="1"/>
  <c r="M687" i="24"/>
  <c r="H87" i="32" s="1"/>
  <c r="M686" i="24"/>
  <c r="G87" i="32" s="1"/>
  <c r="M689" i="24"/>
  <c r="C119" i="32" s="1"/>
  <c r="M681" i="24"/>
  <c r="I55" i="32" s="1"/>
  <c r="M693" i="24"/>
  <c r="G119" i="32" s="1"/>
  <c r="M680" i="24"/>
  <c r="H55" i="32" s="1"/>
  <c r="M676" i="24"/>
  <c r="D55" i="32" s="1"/>
  <c r="M679" i="24"/>
  <c r="G55" i="32" s="1"/>
  <c r="M705" i="24"/>
  <c r="E183" i="32" s="1"/>
  <c r="M694" i="24"/>
  <c r="H119" i="32" s="1"/>
  <c r="M711" i="24"/>
  <c r="D215" i="32" s="1"/>
  <c r="M675" i="24"/>
  <c r="C55" i="32" s="1"/>
  <c r="M674" i="24"/>
  <c r="I23" i="32" s="1"/>
  <c r="M684" i="24"/>
  <c r="E87" i="32" s="1"/>
  <c r="M678" i="24"/>
  <c r="F55" i="32" s="1"/>
  <c r="M695" i="24"/>
  <c r="I119" i="32" s="1"/>
  <c r="M669" i="24"/>
  <c r="D23" i="32" s="1"/>
  <c r="M697" i="24"/>
  <c r="D151" i="32" s="1"/>
  <c r="M672" i="24"/>
  <c r="G23" i="32" s="1"/>
  <c r="M700" i="24"/>
  <c r="G151" i="32" s="1"/>
  <c r="L715" i="24"/>
  <c r="M706" i="24"/>
  <c r="F183" i="32" s="1"/>
  <c r="M670" i="24"/>
  <c r="E23" i="32" s="1"/>
  <c r="M712" i="24"/>
  <c r="E215" i="32" s="1"/>
  <c r="M710" i="24"/>
  <c r="C215" i="32" s="1"/>
  <c r="M671" i="24"/>
  <c r="F23" i="32" s="1"/>
  <c r="M704" i="24"/>
  <c r="D183" i="32" s="1"/>
  <c r="M707" i="24"/>
  <c r="G183" i="32" s="1"/>
  <c r="M696" i="24"/>
  <c r="C151" i="32" s="1"/>
  <c r="M688" i="24"/>
  <c r="I87" i="32" s="1"/>
  <c r="M682" i="24"/>
  <c r="C87" i="32" s="1"/>
  <c r="M716" i="25"/>
  <c r="K715" i="24"/>
  <c r="C23" i="32"/>
  <c r="M715" i="24" l="1"/>
</calcChain>
</file>

<file path=xl/sharedStrings.xml><?xml version="1.0" encoding="utf-8"?>
<sst xmlns="http://schemas.openxmlformats.org/spreadsheetml/2006/main" count="5780" uniqueCount="1382">
  <si>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</si>
  <si>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</si>
  <si>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</si>
  <si>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</si>
  <si>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</si>
  <si>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</si>
  <si>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</si>
  <si>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</si>
  <si>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</si>
  <si>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</si>
  <si>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</si>
  <si>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</si>
  <si>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</si>
  <si>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</si>
  <si>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</si>
  <si>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</si>
  <si>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</si>
  <si>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</si>
  <si>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</si>
  <si>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</si>
  <si>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</si>
  <si>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</si>
  <si>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</si>
  <si>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</si>
  <si>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</si>
  <si>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</si>
  <si>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</si>
  <si>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</si>
  <si>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</si>
  <si>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</si>
  <si>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</si>
  <si>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</si>
  <si>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</si>
  <si>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</si>
  <si>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</si>
  <si>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</si>
  <si>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</si>
  <si>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</si>
  <si>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</si>
  <si>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</si>
  <si>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</si>
  <si>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</si>
  <si>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</si>
  <si>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</si>
  <si>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</si>
  <si>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</si>
  <si>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</si>
  <si>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</si>
  <si>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</si>
  <si>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</si>
  <si>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</si>
  <si>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</si>
  <si>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</si>
  <si>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</si>
  <si>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</si>
  <si>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</si>
  <si>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</si>
  <si>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</si>
  <si>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</si>
  <si>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</si>
  <si>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</si>
  <si>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</si>
  <si>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</si>
  <si>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</si>
  <si>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</si>
  <si>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</si>
  <si>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</si>
  <si>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</si>
  <si>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</si>
  <si>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</si>
  <si>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</si>
  <si>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</si>
  <si>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</si>
  <si>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</si>
  <si>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</si>
  <si>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</si>
  <si>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</si>
  <si>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</si>
  <si>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</si>
  <si>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</si>
  <si>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</si>
  <si>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</si>
  <si>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</si>
  <si>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</si>
  <si>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</si>
  <si>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</si>
  <si>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</si>
  <si>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</si>
  <si>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</si>
  <si>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</si>
  <si>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</si>
  <si>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</si>
  <si>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</si>
  <si>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</si>
  <si>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</si>
  <si>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</si>
  <si>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</si>
  <si>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</si>
  <si>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</si>
  <si>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</si>
  <si>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</si>
  <si>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</si>
  <si>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</si>
  <si>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</si>
  <si>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</si>
  <si>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</si>
  <si>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</si>
  <si>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</si>
  <si>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</si>
  <si>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</si>
  <si>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</si>
  <si>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</si>
  <si>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</si>
  <si>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</si>
  <si>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</si>
  <si>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</si>
  <si>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</si>
  <si>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</si>
  <si>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</si>
  <si>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</si>
  <si>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</si>
  <si>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</si>
  <si>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</si>
  <si>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</si>
  <si>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</si>
  <si>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</si>
  <si>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</si>
  <si>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</si>
  <si>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</si>
  <si>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</si>
  <si>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</si>
  <si>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</si>
  <si>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</si>
  <si>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</si>
  <si>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</si>
  <si>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</si>
  <si>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</si>
  <si>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</si>
  <si>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</si>
  <si>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</si>
  <si>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</si>
  <si>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</si>
  <si>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</si>
  <si>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</si>
  <si>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</si>
  <si>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</si>
  <si>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</si>
  <si>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</si>
  <si>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</si>
  <si>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</si>
  <si>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</si>
  <si>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</si>
  <si>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</si>
  <si>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</si>
  <si>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</si>
  <si>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</si>
  <si>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</si>
  <si>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</si>
  <si>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</si>
  <si>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</si>
  <si>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</si>
  <si>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</si>
  <si>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</si>
  <si>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</si>
  <si>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</si>
  <si>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</si>
  <si>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</si>
  <si>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</si>
  <si>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</si>
  <si>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</si>
  <si>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</si>
  <si>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</si>
  <si>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</si>
  <si>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</si>
  <si>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</si>
  <si>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</si>
  <si>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</si>
  <si>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</si>
  <si>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</si>
  <si>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</si>
  <si>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</si>
  <si>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</si>
  <si>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</si>
  <si>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</si>
  <si>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</si>
  <si>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</si>
  <si>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</si>
  <si>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</si>
  <si>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</si>
  <si>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</si>
  <si>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</si>
  <si>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</si>
  <si>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</si>
  <si>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</si>
  <si>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</si>
  <si>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</si>
  <si>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</si>
  <si>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</si>
  <si>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</si>
  <si>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</si>
  <si>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</si>
  <si>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</si>
  <si>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</si>
  <si>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</si>
  <si>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</si>
  <si>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</si>
  <si>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</si>
  <si>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</si>
  <si>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</si>
  <si>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</si>
  <si>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</si>
  <si>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</si>
  <si>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</si>
  <si>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</si>
  <si>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</si>
  <si>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</si>
  <si>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</si>
  <si>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</si>
  <si>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</si>
  <si>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</si>
  <si>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</si>
  <si>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</si>
  <si>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</si>
  <si>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</si>
  <si>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</si>
  <si>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</si>
  <si>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</si>
  <si>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</si>
  <si>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</si>
  <si>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</si>
  <si>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</si>
  <si>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</si>
  <si>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</si>
  <si>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</si>
  <si>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</si>
  <si>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</si>
  <si>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</si>
  <si>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</si>
  <si>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</si>
  <si>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</si>
  <si>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</si>
  <si>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</si>
  <si>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</si>
  <si>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</si>
  <si>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</si>
  <si>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</si>
  <si>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</si>
  <si>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</si>
  <si>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</si>
  <si>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</si>
  <si>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</si>
  <si>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</si>
  <si>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</si>
  <si>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</si>
  <si>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</si>
  <si>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</si>
  <si>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</si>
  <si>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</si>
  <si>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</si>
  <si>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</si>
  <si>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</si>
  <si>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</si>
  <si>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</si>
  <si>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</si>
  <si>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</si>
  <si>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</si>
  <si>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</si>
  <si>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</si>
  <si>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</si>
  <si>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</si>
  <si>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</si>
  <si>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</si>
  <si>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</si>
  <si>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</si>
  <si>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</si>
  <si>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</si>
  <si>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</si>
  <si>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</si>
  <si>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</si>
  <si>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</si>
  <si>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</si>
  <si>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</si>
  <si>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</si>
  <si>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</si>
  <si>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</si>
  <si>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</si>
  <si>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</si>
  <si>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</si>
  <si>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</si>
  <si>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</si>
  <si>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</si>
  <si>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</si>
  <si>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</si>
  <si>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</si>
  <si>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</si>
  <si>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</si>
  <si>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</si>
  <si>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</si>
  <si>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</si>
  <si>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</si>
  <si>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</si>
  <si>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</si>
  <si>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</si>
  <si>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</si>
  <si>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</si>
  <si>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</si>
  <si>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</si>
  <si>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</si>
  <si>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</si>
  <si>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</si>
  <si>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</si>
  <si>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</si>
  <si>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</si>
  <si>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</si>
  <si>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</si>
  <si>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</si>
  <si>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</si>
  <si>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</si>
  <si>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</si>
  <si>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</si>
  <si>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</si>
  <si>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</si>
  <si>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</si>
  <si>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</si>
  <si>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</si>
  <si>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</si>
  <si>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</si>
  <si>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</si>
  <si>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</si>
  <si>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</si>
  <si>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</si>
  <si>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</si>
  <si>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</si>
  <si>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</si>
  <si>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</si>
  <si>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</si>
  <si>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</si>
  <si>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</si>
  <si>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</si>
  <si>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</si>
  <si>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</si>
  <si>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</si>
  <si>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</si>
  <si>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</si>
  <si>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</si>
  <si>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</si>
  <si>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</si>
  <si>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</si>
  <si>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</si>
  <si>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</si>
  <si>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</si>
  <si>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</si>
  <si>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</si>
  <si>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</si>
  <si>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</si>
  <si>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</si>
  <si>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</si>
  <si>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</si>
  <si>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</si>
  <si>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</si>
  <si>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</si>
  <si>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</si>
  <si>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</si>
  <si>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</si>
  <si>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</si>
  <si>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</si>
  <si>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</si>
  <si>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</si>
  <si>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</si>
  <si>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</si>
  <si>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</si>
  <si>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</si>
  <si>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</si>
  <si>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</si>
  <si>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</si>
  <si>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</si>
  <si>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</si>
  <si>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</si>
  <si>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</si>
  <si>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</si>
  <si>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</si>
  <si>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</si>
  <si>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</si>
  <si>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</si>
  <si>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</si>
  <si>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</si>
  <si>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</si>
  <si>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</si>
  <si>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</si>
  <si>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</si>
  <si>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</si>
  <si>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</si>
  <si>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</si>
  <si>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</si>
  <si>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</si>
  <si>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</si>
  <si>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</si>
  <si>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</si>
  <si>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</si>
  <si>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</si>
  <si>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</si>
  <si>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</si>
  <si>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</si>
  <si>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</si>
  <si>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</si>
  <si>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</si>
  <si>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</si>
  <si>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</si>
  <si>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</si>
  <si>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</si>
  <si>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</si>
  <si>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</si>
  <si>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</si>
  <si>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</si>
  <si>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</si>
  <si>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</si>
  <si>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</si>
  <si>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</si>
  <si>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</si>
  <si>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</si>
  <si>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</si>
  <si>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</si>
  <si>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</si>
  <si>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</si>
  <si>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</si>
  <si>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</si>
  <si>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</si>
  <si>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</si>
  <si>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</si>
  <si>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</si>
  <si>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</si>
  <si>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</si>
  <si>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</si>
  <si>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</si>
  <si>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</si>
  <si>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</si>
  <si>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</si>
  <si>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</si>
  <si>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</si>
  <si>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</si>
  <si>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</si>
  <si>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</si>
  <si>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</si>
  <si>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</si>
  <si>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</si>
  <si>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</si>
  <si>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</si>
  <si>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</si>
  <si>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</si>
  <si>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</si>
  <si>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</si>
  <si>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</si>
  <si>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</si>
  <si>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</si>
  <si>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</si>
  <si>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</si>
  <si>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</si>
  <si>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</si>
  <si>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</si>
  <si>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</si>
  <si>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</si>
  <si>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</si>
  <si>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</si>
  <si>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</si>
  <si>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</si>
  <si>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</si>
  <si>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</si>
  <si>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</si>
  <si>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</si>
  <si>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</si>
  <si>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</si>
  <si>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</si>
  <si>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</si>
  <si>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</si>
  <si>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</si>
  <si>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</si>
  <si>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</si>
  <si>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</si>
  <si>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</si>
  <si>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</si>
  <si>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</si>
  <si>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</si>
  <si>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</si>
  <si>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</si>
  <si>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</si>
  <si>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</si>
  <si>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</si>
  <si>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</si>
  <si>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</si>
  <si>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</si>
  <si>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</si>
  <si>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</si>
  <si>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</si>
  <si>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</si>
  <si>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</si>
  <si>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</si>
  <si>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</si>
  <si>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</si>
  <si>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</si>
  <si>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</si>
  <si>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</si>
  <si>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</si>
  <si>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</si>
  <si>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</si>
  <si>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</si>
  <si>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</si>
  <si>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</si>
  <si>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</si>
  <si>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</si>
  <si>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</si>
  <si>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</si>
  <si>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</si>
  <si>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</si>
  <si>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</si>
  <si>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</si>
  <si>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</si>
  <si>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</si>
  <si>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</si>
  <si>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</si>
  <si>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</si>
  <si>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</si>
  <si>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</si>
  <si>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</si>
  <si>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</si>
  <si>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</si>
  <si>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</si>
  <si>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</si>
  <si>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</si>
  <si>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</si>
  <si>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</si>
  <si>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</si>
  <si>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</si>
  <si>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</si>
  <si>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</si>
  <si>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</si>
  <si>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</si>
  <si>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</si>
  <si>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</si>
  <si>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</si>
  <si>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</si>
  <si>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</si>
  <si>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</si>
  <si>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</si>
  <si>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</si>
  <si>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</si>
  <si>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</si>
  <si>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</si>
  <si>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</si>
  <si>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</si>
  <si>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</si>
  <si>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</si>
  <si>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</si>
  <si>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</si>
  <si>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</si>
  <si>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</si>
  <si>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</si>
  <si>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</si>
  <si>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</si>
  <si>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</si>
  <si>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</si>
  <si>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</si>
  <si>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</si>
  <si>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</si>
  <si>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</si>
  <si>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</si>
  <si>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</si>
  <si>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</si>
  <si>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</si>
  <si>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</si>
  <si>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</si>
  <si>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</si>
  <si>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</si>
  <si>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</si>
  <si>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</si>
  <si>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</si>
  <si>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</si>
  <si>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</si>
  <si>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</si>
  <si>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</si>
  <si>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</si>
  <si>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</si>
  <si>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</si>
  <si>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</si>
  <si>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</si>
  <si>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</si>
  <si>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</si>
  <si>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</si>
  <si>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</si>
  <si>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</si>
  <si>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</si>
  <si>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</si>
  <si>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</si>
  <si>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</si>
  <si>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</si>
  <si>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</si>
  <si>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</si>
  <si>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</si>
  <si>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</si>
  <si>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</si>
  <si>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</si>
  <si>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</si>
  <si>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</si>
  <si>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</si>
  <si>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</si>
  <si>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</si>
  <si>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</si>
  <si>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</si>
  <si>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</si>
  <si>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</si>
  <si>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</si>
  <si>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</si>
  <si>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</si>
  <si>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</si>
  <si>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</si>
  <si>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</si>
  <si>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</si>
  <si>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</si>
  <si>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</si>
  <si>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</si>
  <si>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</si>
  <si>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</si>
  <si>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</si>
  <si>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</si>
  <si>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</si>
  <si>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</si>
  <si>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</si>
  <si>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</si>
  <si>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</si>
  <si>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</si>
  <si>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</si>
  <si>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</si>
  <si>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</si>
  <si>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</si>
  <si>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</si>
  <si>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</si>
  <si>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</si>
  <si>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</si>
  <si>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</si>
  <si>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</si>
  <si>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</si>
  <si>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</si>
  <si>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</si>
  <si>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</si>
  <si>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</si>
  <si>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</si>
  <si>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</si>
  <si>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</si>
  <si>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</si>
  <si>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</si>
  <si>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</si>
  <si>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</si>
  <si>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</si>
  <si>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</si>
  <si>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</si>
  <si>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</si>
  <si>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</si>
  <si>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</si>
  <si>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</si>
  <si>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</si>
  <si>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</si>
  <si>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</si>
  <si>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</si>
  <si>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</si>
  <si>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</si>
  <si>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</si>
  <si>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</si>
  <si>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</si>
  <si>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</si>
  <si>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</si>
  <si>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</si>
  <si>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</si>
  <si>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</si>
  <si>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</si>
  <si>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</si>
  <si>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</si>
  <si>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</si>
  <si>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</si>
  <si>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</si>
  <si>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</si>
  <si>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</si>
  <si>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</si>
  <si>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</si>
  <si>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</si>
  <si>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</si>
  <si>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</si>
  <si>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</si>
  <si>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</si>
  <si>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</si>
  <si>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</si>
  <si>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</si>
  <si>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</si>
  <si>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</si>
  <si>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</si>
  <si>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</si>
  <si>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</si>
  <si>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</si>
  <si>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</si>
  <si>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</si>
  <si>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</si>
  <si>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</si>
  <si>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</si>
  <si>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</si>
  <si>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</si>
  <si>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</si>
  <si>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</si>
  <si>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</si>
  <si>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</si>
  <si>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</si>
  <si>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</si>
  <si>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</si>
  <si>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</si>
  <si>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</si>
  <si>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</si>
  <si>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</si>
  <si>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</si>
  <si>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</si>
  <si>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</si>
  <si>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</si>
  <si>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</si>
  <si>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</si>
  <si>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</si>
  <si>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</si>
  <si>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</si>
  <si>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</si>
  <si>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</si>
  <si>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</si>
  <si>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</si>
  <si>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</si>
  <si>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</si>
  <si>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</si>
  <si>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</si>
  <si>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</si>
  <si>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</si>
  <si>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</si>
  <si>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</si>
  <si>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</si>
  <si>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</si>
  <si>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</si>
  <si>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</si>
  <si>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</si>
  <si>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</si>
  <si>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</si>
  <si>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</si>
  <si>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</si>
  <si>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</si>
  <si>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</si>
  <si>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</si>
  <si>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</si>
  <si>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</si>
  <si>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</si>
  <si>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</si>
  <si>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</si>
  <si>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</si>
  <si>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</si>
  <si>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</si>
  <si>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</si>
  <si>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</si>
  <si>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</si>
  <si>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</si>
  <si>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</si>
  <si>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</si>
  <si>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</si>
  <si>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</si>
  <si>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</si>
  <si>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</si>
  <si>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</si>
  <si>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</si>
  <si>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</si>
  <si>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</si>
  <si>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</si>
  <si>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</si>
  <si>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</si>
  <si>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</si>
  <si>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</si>
  <si>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</si>
  <si>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</si>
  <si>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</si>
  <si>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</si>
  <si>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</si>
  <si>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</si>
  <si>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</si>
  <si>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</si>
  <si>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</si>
  <si>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</si>
  <si>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</si>
  <si>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</si>
  <si>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</si>
  <si>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</si>
  <si>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</si>
  <si>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</si>
  <si>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</si>
  <si>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</si>
  <si>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</si>
  <si>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</si>
  <si>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</si>
  <si>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</si>
  <si>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</si>
  <si>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</si>
  <si>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</si>
  <si>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</si>
  <si>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</si>
  <si>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</si>
  <si>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</si>
  <si>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</si>
  <si>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</si>
  <si>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</si>
  <si>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</si>
  <si>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</si>
  <si>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</si>
  <si>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</si>
  <si>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</si>
  <si>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</si>
  <si>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</si>
  <si>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</si>
  <si>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</si>
  <si>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</si>
  <si>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</si>
  <si>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</si>
  <si>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</si>
  <si>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</si>
  <si>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</si>
  <si>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</si>
  <si>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</si>
  <si>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</si>
  <si>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</si>
  <si>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</si>
  <si>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</si>
  <si>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</si>
  <si>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</si>
  <si>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</si>
  <si>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</si>
  <si>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</si>
  <si>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</si>
  <si>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</si>
  <si>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</si>
  <si>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</si>
  <si>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</si>
  <si>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</si>
  <si>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</si>
  <si>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</si>
  <si>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</si>
  <si>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</si>
  <si>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</si>
  <si>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</si>
  <si>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</si>
  <si>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</si>
  <si>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</si>
  <si>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</si>
  <si>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</si>
  <si>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</si>
  <si>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</si>
  <si>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</si>
  <si>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</si>
  <si>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</si>
  <si>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</si>
  <si>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</si>
  <si>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</si>
  <si>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</si>
  <si>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</si>
  <si>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</si>
  <si>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</si>
  <si>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</si>
  <si>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</si>
  <si>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</si>
  <si>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</si>
  <si>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</si>
  <si>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</si>
  <si>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</si>
  <si>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</si>
  <si>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</si>
  <si>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</si>
  <si>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</si>
  <si>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</si>
  <si>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</si>
  <si>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</si>
  <si>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</si>
  <si>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</si>
  <si>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</si>
  <si>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</si>
  <si>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</si>
  <si>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</si>
  <si>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</si>
  <si>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</si>
  <si>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</si>
  <si>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</si>
  <si>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</si>
  <si>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</si>
  <si>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</si>
  <si>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</si>
  <si>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</si>
  <si>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</si>
  <si>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</si>
  <si>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</si>
  <si>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</si>
  <si>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</si>
  <si>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</si>
  <si>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</si>
  <si>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</si>
  <si>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</si>
  <si>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</si>
  <si>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</si>
  <si>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</si>
  <si>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</si>
  <si>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</si>
  <si>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</si>
  <si>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</si>
  <si>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</si>
  <si>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</si>
  <si>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</si>
  <si>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</si>
  <si>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</si>
  <si>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</si>
  <si>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</si>
  <si>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</si>
  <si>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</si>
  <si>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</si>
  <si>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</si>
  <si>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</si>
  <si>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</si>
  <si>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</si>
  <si>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</si>
  <si>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</si>
  <si>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</si>
  <si>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</si>
  <si>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</si>
  <si>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</si>
  <si>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</si>
  <si>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</si>
  <si>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</si>
  <si>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</si>
  <si>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</si>
  <si>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</si>
  <si>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</si>
  <si>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</si>
  <si>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</si>
  <si>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</si>
  <si>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</si>
  <si>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</si>
  <si>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</si>
  <si>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</si>
  <si>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</si>
  <si>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</si>
  <si>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</si>
  <si>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</si>
  <si>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</si>
  <si>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</si>
  <si>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</si>
  <si>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</si>
  <si>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</si>
  <si>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</si>
  <si>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</si>
  <si>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</si>
  <si>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</si>
  <si>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</si>
  <si>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</si>
  <si>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</si>
  <si>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</si>
  <si>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</si>
  <si>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</si>
  <si>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</si>
  <si>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</si>
  <si>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</si>
  <si>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</si>
  <si>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</si>
  <si>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</si>
  <si>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</si>
  <si>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</si>
  <si>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</si>
  <si>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</si>
  <si>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</si>
  <si>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</si>
  <si>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</si>
  <si>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</si>
  <si>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</si>
  <si>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</si>
  <si>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</si>
  <si>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</si>
  <si>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</si>
  <si>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</si>
  <si>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</si>
  <si>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</si>
  <si>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</si>
  <si>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</si>
  <si>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</si>
  <si>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</si>
  <si>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</si>
  <si>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</si>
  <si>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</si>
  <si>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</si>
  <si>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</si>
  <si>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</si>
  <si>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</si>
  <si>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</si>
  <si>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</si>
  <si>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</si>
  <si>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</si>
  <si>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</si>
  <si>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</si>
  <si>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</si>
  <si>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</si>
  <si>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</si>
  <si>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</si>
  <si>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</si>
  <si>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</si>
  <si>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</si>
  <si>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</si>
  <si>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</si>
  <si>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</si>
  <si>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</si>
  <si>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</si>
  <si>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</si>
  <si>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</si>
  <si>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</si>
  <si>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</si>
  <si>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</si>
  <si>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</si>
  <si>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</si>
  <si>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</si>
  <si>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</si>
  <si>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</si>
  <si>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</si>
  <si>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</si>
  <si>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</si>
  <si>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</si>
  <si>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</si>
  <si>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</si>
  <si>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</si>
  <si>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</si>
  <si>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</si>
  <si>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</si>
  <si>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</si>
  <si>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</si>
  <si>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</si>
  <si>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</si>
  <si>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</si>
  <si>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</si>
  <si>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</si>
  <si>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</si>
  <si>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</si>
  <si>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</si>
  <si>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</si>
  <si>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</si>
  <si>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</si>
  <si>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</si>
  <si>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</si>
  <si>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</si>
  <si>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</si>
  <si>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</si>
  <si>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</si>
  <si>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</si>
  <si>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</si>
  <si>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</si>
  <si>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</si>
  <si>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</si>
  <si>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</si>
  <si>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</si>
  <si>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</si>
  <si>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</si>
  <si>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</si>
  <si>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</si>
  <si>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</si>
  <si>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</si>
  <si>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</si>
  <si>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</si>
  <si>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</si>
  <si>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</si>
  <si>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</si>
  <si>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</si>
  <si>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</si>
  <si>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</si>
  <si>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</si>
  <si>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</si>
  <si>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</si>
  <si>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</si>
  <si>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</si>
  <si>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</si>
  <si>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</si>
  <si>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</si>
  <si>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</si>
  <si>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</si>
  <si>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</si>
  <si>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</si>
  <si>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</si>
  <si>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</si>
  <si>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</si>
  <si>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</si>
  <si>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</si>
  <si>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</si>
  <si>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</si>
  <si>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</si>
  <si>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</si>
  <si>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</si>
  <si>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</si>
  <si>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</si>
  <si>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</si>
  <si>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</si>
  <si>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</si>
  <si>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</si>
  <si>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</si>
  <si>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</si>
  <si>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</si>
  <si>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</si>
  <si>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</si>
  <si>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</si>
  <si>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</si>
  <si>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</si>
  <si>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</si>
  <si>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</si>
  <si>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</si>
  <si>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</si>
  <si>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</si>
  <si>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</si>
  <si>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</si>
  <si>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</si>
  <si>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</si>
  <si>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</si>
  <si>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</si>
  <si>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</si>
  <si>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</si>
  <si>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</si>
  <si>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</si>
  <si>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</si>
  <si>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</si>
  <si>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</si>
  <si>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</si>
  <si>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</si>
  <si>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</si>
  <si>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</si>
  <si>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</si>
  <si>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</si>
  <si>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</si>
  <si>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</si>
  <si>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</si>
  <si>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</si>
  <si>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</si>
  <si>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</si>
  <si>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</si>
  <si>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</si>
  <si>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</si>
  <si>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</si>
  <si>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</si>
  <si>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</si>
  <si>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</si>
  <si>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</si>
  <si>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</si>
  <si>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</si>
  <si>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</si>
  <si>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</si>
  <si>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</si>
  <si>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</si>
  <si>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</si>
  <si>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</si>
  <si>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</si>
  <si>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</si>
  <si>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</si>
  <si>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</si>
  <si>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</si>
  <si>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</si>
  <si>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</si>
  <si>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</si>
  <si>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</si>
  <si>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</si>
  <si>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</si>
  <si>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</si>
  <si>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</si>
  <si>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</si>
  <si>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</si>
  <si>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</si>
  <si>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</si>
  <si>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</si>
  <si>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</si>
  <si>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</si>
  <si>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</si>
  <si>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</si>
  <si>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</si>
  <si>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</si>
  <si>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</si>
  <si>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</si>
  <si>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</si>
  <si>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</si>
  <si>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</si>
  <si>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</si>
  <si>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</si>
  <si>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</si>
  <si>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</si>
  <si>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</si>
  <si>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</si>
  <si>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</si>
  <si>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</si>
  <si>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</si>
  <si>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</si>
  <si>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</si>
  <si>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</si>
  <si>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</si>
  <si>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</si>
  <si>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</si>
  <si>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</si>
  <si>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</si>
  <si>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</si>
  <si>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</si>
  <si>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</si>
  <si>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</si>
  <si>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</si>
  <si>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</si>
  <si>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</si>
  <si>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</si>
  <si>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</si>
  <si>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</si>
  <si>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</si>
  <si>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</si>
  <si>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</si>
  <si>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</si>
  <si>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</si>
  <si>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</si>
  <si>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</si>
  <si>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</si>
  <si>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</si>
  <si>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</si>
  <si>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</si>
  <si>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</si>
  <si>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</si>
  <si>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</si>
  <si>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</si>
  <si>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</si>
  <si>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</si>
  <si>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</si>
  <si>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</si>
  <si>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</si>
  <si>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</si>
  <si>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</si>
  <si>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</si>
  <si>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</si>
  <si>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</si>
  <si>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</si>
  <si>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</si>
  <si>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</si>
  <si>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</si>
  <si>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</si>
  <si>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</si>
  <si>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</si>
  <si>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</si>
  <si>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</si>
  <si>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</si>
  <si>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</si>
  <si>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</si>
  <si>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</si>
  <si>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</si>
  <si>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</si>
  <si>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</si>
  <si>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</si>
  <si>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</si>
  <si>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</si>
  <si>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</si>
  <si>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</si>
  <si>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</si>
  <si>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</si>
  <si>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</si>
  <si>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</si>
  <si>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</si>
  <si>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</si>
  <si>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</si>
  <si>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</si>
  <si>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</si>
  <si>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</si>
  <si>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</si>
  <si>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</si>
  <si>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</si>
  <si>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</si>
  <si>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</si>
  <si>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</si>
  <si>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</si>
  <si>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</si>
  <si>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</si>
  <si>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</si>
  <si>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</si>
  <si>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</si>
  <si>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</si>
  <si>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</si>
  <si>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</si>
  <si>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</si>
  <si>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</si>
  <si>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</si>
  <si>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</si>
  <si>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</si>
  <si>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</si>
  <si>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</si>
  <si>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</si>
  <si>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</si>
  <si>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</si>
  <si>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</si>
  <si>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</si>
  <si>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</si>
  <si>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</si>
  <si>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</si>
  <si>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</si>
  <si>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</si>
  <si>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</si>
  <si>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</si>
  <si>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</si>
  <si>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</si>
  <si>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</si>
  <si>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</si>
  <si>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</si>
  <si>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</si>
  <si>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</si>
  <si>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</si>
  <si>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</si>
  <si>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</si>
  <si>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</si>
  <si>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</si>
  <si>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</si>
  <si>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</si>
  <si>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</si>
  <si>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</si>
  <si>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</si>
  <si>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</si>
  <si>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</si>
  <si>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</si>
  <si>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</si>
  <si>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</si>
  <si>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</si>
  <si>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</si>
  <si>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</si>
  <si>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</si>
  <si>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</si>
  <si>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</si>
  <si>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</si>
  <si>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</si>
  <si>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</si>
  <si>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</si>
  <si>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</si>
  <si>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</si>
  <si>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</si>
  <si>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</si>
  <si>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</si>
  <si>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</si>
  <si>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</si>
  <si>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</si>
  <si>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</si>
  <si>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</si>
  <si>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</si>
  <si>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</si>
  <si>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</si>
  <si>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</si>
  <si>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</si>
  <si>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</si>
  <si>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</si>
  <si>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</si>
  <si>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</si>
  <si>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</si>
  <si>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</si>
  <si>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</si>
  <si>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</si>
  <si>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</si>
  <si>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</si>
  <si>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</si>
  <si>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</si>
  <si>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</si>
  <si>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</si>
  <si>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</si>
  <si>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</si>
  <si>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</si>
  <si>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</si>
  <si>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023</t>
  </si>
  <si>
    <t>Three Rivers Hospital</t>
  </si>
  <si>
    <t>P.O. Box 577</t>
  </si>
  <si>
    <t>WA</t>
  </si>
  <si>
    <t>Brewster</t>
  </si>
  <si>
    <t>Okanogan</t>
  </si>
  <si>
    <t>J. Scott Graham</t>
  </si>
  <si>
    <t>Jennifer Munson</t>
  </si>
  <si>
    <t>Mike Pruett</t>
  </si>
  <si>
    <t>(509) 689-2517</t>
  </si>
  <si>
    <t>(509) 689-2086</t>
  </si>
  <si>
    <t>12/31/2022</t>
  </si>
  <si>
    <t>507 Hospital Way P.O. Box 577</t>
  </si>
  <si>
    <t>Jeannette Ring</t>
  </si>
  <si>
    <t>jring@dzacpa.com</t>
  </si>
  <si>
    <t>Professional fees increased as compared to the PY, the hospital struggled to recruit employees in FY22.</t>
  </si>
  <si>
    <t>ER salaries increased as compared to the PY.</t>
  </si>
  <si>
    <t>Fluctuation Analysis and Response:</t>
  </si>
  <si>
    <t>The Hospital has a significant increase in contract nursing expenses as they struggled to recruit employees in FY22.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</si>
</sst>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33" fillId="0" borderId="0" applyBorder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/>
  </cellStyleXfs>
  <cellXfs count="34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8" fontId="23" fillId="4" borderId="14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Alignment="1" applyProtection="1">
      <alignment horizontal="left"/>
      <protection locked="0"/>
    </xf>
    <xf numFmtId="49" fontId="23" fillId="4" borderId="1" xfId="0" quotePrefix="1" applyNumberFormat="1" applyFont="1" applyFill="1" applyBorder="1" applyAlignment="1" applyProtection="1">
      <alignment horizontal="left"/>
      <protection locked="0"/>
    </xf>
    <xf numFmtId="37" fontId="7" fillId="0" borderId="0" xfId="0" applyFont="1" applyAlignment="1">
      <alignment vertical="center" wrapText="1"/>
    </xf>
    <xf numFmtId="37" fontId="15" fillId="3" borderId="0" xfId="0" applyFont="1" applyFill="1" applyAlignment="1">
      <alignment horizontal="center" vertical="center"/>
    </xf>
  </cellXfs>
  <cellStyles count="19">
    <cellStyle name="Comma" xfId="1" builtinId="3"/>
    <cellStyle name="Comma [0] 2" xfId="16" xr:uid="{25925569-2ED5-4F0A-B5E9-1A572B9E7F73}"/>
    <cellStyle name="Comma [0] 3" xfId="11" xr:uid="{5B3AB3CF-A66C-4789-953C-D9CBEC7A41A2}"/>
    <cellStyle name="Comma 2" xfId="5" xr:uid="{40FE58DF-B0A6-4169-9278-99AD252AC949}"/>
    <cellStyle name="Comma 3" xfId="15" xr:uid="{316A7332-E710-4B56-9A4D-B143A8C715E0}"/>
    <cellStyle name="Currency [0] 2" xfId="14" xr:uid="{320AE3A0-3F33-434B-95A6-9C6B1EB89AE6}"/>
    <cellStyle name="Currency [0] 3" xfId="10" xr:uid="{34B665CF-5A20-4CAC-A49D-1680A6AA7A03}"/>
    <cellStyle name="Currency 2" xfId="13" xr:uid="{A4D38022-03D1-4901-B47A-B6E5F68A19AD}"/>
    <cellStyle name="Currency 3" xfId="9" xr:uid="{ECCA270D-4B61-404E-9DBD-CBF3621F4CD1}"/>
    <cellStyle name="Hyperlink" xfId="2" builtinId="8"/>
    <cellStyle name="Hyperlink 2" xfId="6" xr:uid="{586EC4B5-FCBB-4B5F-A7D1-9F6C4EB18E9E}"/>
    <cellStyle name="Hyperlink 2 2" xfId="17" xr:uid="{7874A6EE-734B-423E-912F-CF733BE5096F}"/>
    <cellStyle name="Hyperlink 3" xfId="12" xr:uid="{29508443-6C42-43FC-9043-BF4E7EE618DE}"/>
    <cellStyle name="Normal" xfId="0" builtinId="0"/>
    <cellStyle name="Normal 2" xfId="3" xr:uid="{B190D761-ADDB-4CFB-8149-54EEFCE0B1C0}"/>
    <cellStyle name="Normal 2 2" xfId="18" xr:uid="{0033CA25-DEDE-416E-AA13-440C00183699}"/>
    <cellStyle name="Normal 3" xfId="8" xr:uid="{3A1A3768-3AA7-49B6-8D58-137AFD8FB8B6}"/>
    <cellStyle name="Percent" xfId="4" builtinId="5"/>
    <cellStyle name="Percent 2" xfId="7" xr:uid="{980CF2BC-EDA4-4FCC-907C-E1D6BCC7AD0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64" transitionEvaluation="1" transitionEntry="1" codeName="Sheet1">
    <tabColor rgb="FF92D050"/>
    <pageSetUpPr autoPageBreaks="0" fitToPage="1"/>
  </sheetPr>
  <dimension ref="A1:CF716"/>
  <sheetViews>
    <sheetView topLeftCell="A54" zoomScale="110" zoomScaleNormal="110" workbookViewId="0">
      <pane ySplit="4" topLeftCell="A364" activePane="bottomLeft" state="frozen"/>
      <selection activeCell="A54" sqref="A54"/>
      <selection pane="bottomLeft" activeCell="C419" sqref="C419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69" t="s">
        <v>1350</v>
      </c>
      <c r="C1" s="17"/>
    </row>
    <row r="2" spans="1:3" x14ac:dyDescent="0.25">
      <c r="A2" s="69" t="s">
        <v>2</v>
      </c>
      <c r="C2" s="17"/>
    </row>
    <row r="3" spans="1:3" x14ac:dyDescent="0.25">
      <c r="A3" s="12" t="s">
        <v>3</v>
      </c>
      <c r="C3" s="17"/>
    </row>
    <row r="4" spans="1:3" x14ac:dyDescent="0.25">
      <c r="C4" s="17"/>
    </row>
    <row r="5" spans="1:3" x14ac:dyDescent="0.25">
      <c r="A5" s="12" t="s">
        <v>1329</v>
      </c>
    </row>
    <row r="6" spans="1:3" x14ac:dyDescent="0.25">
      <c r="A6" s="12" t="s">
        <v>4</v>
      </c>
    </row>
    <row r="7" spans="1:3" x14ac:dyDescent="0.25">
      <c r="A7" s="12" t="s">
        <v>1351</v>
      </c>
    </row>
    <row r="8" spans="1:3" x14ac:dyDescent="0.25">
      <c r="C8" s="17"/>
    </row>
    <row r="9" spans="1:3" x14ac:dyDescent="0.25">
      <c r="A9" s="69" t="s">
        <v>5</v>
      </c>
      <c r="C9" s="17"/>
    </row>
    <row r="10" spans="1:3" x14ac:dyDescent="0.25">
      <c r="A10" s="12" t="s">
        <v>1352</v>
      </c>
      <c r="C10" s="17"/>
    </row>
    <row r="11" spans="1:3" x14ac:dyDescent="0.25">
      <c r="A11" s="18" t="s">
        <v>6</v>
      </c>
      <c r="C11" s="17"/>
    </row>
    <row r="12" spans="1:3" x14ac:dyDescent="0.25">
      <c r="A12" s="16" t="s">
        <v>7</v>
      </c>
      <c r="C12" s="17"/>
    </row>
    <row r="13" spans="1:3" x14ac:dyDescent="0.25">
      <c r="A13" s="12" t="s">
        <v>8</v>
      </c>
      <c r="C13" s="17"/>
    </row>
    <row r="14" spans="1:3" x14ac:dyDescent="0.25">
      <c r="C14" s="17"/>
    </row>
    <row r="15" spans="1:3" x14ac:dyDescent="0.25">
      <c r="A15" s="73" t="s">
        <v>9</v>
      </c>
    </row>
    <row r="16" spans="1:3" x14ac:dyDescent="0.25">
      <c r="A16" s="16" t="s">
        <v>10</v>
      </c>
    </row>
    <row r="17" spans="1:10" x14ac:dyDescent="0.25">
      <c r="A17" s="18" t="s">
        <v>1353</v>
      </c>
    </row>
    <row r="18" spans="1:10" ht="14.45" customHeight="1" x14ac:dyDescent="0.25">
      <c r="A18" s="18" t="s">
        <v>1354</v>
      </c>
    </row>
    <row r="19" spans="1:10" ht="14.45" customHeight="1" x14ac:dyDescent="0.25">
      <c r="A19" s="18" t="s">
        <v>1355</v>
      </c>
    </row>
    <row r="20" spans="1:10" ht="14.45" customHeight="1" x14ac:dyDescent="0.25">
      <c r="A20" s="16"/>
      <c r="E20" s="72"/>
      <c r="F20" s="72"/>
      <c r="G20" s="72"/>
    </row>
    <row r="21" spans="1:10" ht="14.45" customHeight="1" x14ac:dyDescent="0.25">
      <c r="A21" s="74" t="s">
        <v>11</v>
      </c>
      <c r="E21" s="72"/>
      <c r="F21" s="72"/>
      <c r="G21" s="72"/>
      <c r="I21" s="72"/>
      <c r="J21" s="72"/>
    </row>
    <row r="22" spans="1:10" ht="16.5" x14ac:dyDescent="0.25">
      <c r="A22" s="18" t="s">
        <v>12</v>
      </c>
      <c r="E22" s="71"/>
      <c r="F22" s="71"/>
      <c r="G22" s="71"/>
      <c r="I22" s="71"/>
      <c r="J22" s="71"/>
    </row>
    <row r="23" spans="1:10" ht="16.5" x14ac:dyDescent="0.25">
      <c r="A23" s="18" t="s">
        <v>1356</v>
      </c>
      <c r="E23" s="71"/>
      <c r="F23" s="71"/>
      <c r="G23" s="71"/>
      <c r="I23" s="71"/>
      <c r="J23" s="71"/>
    </row>
    <row r="24" spans="1:10" x14ac:dyDescent="0.25">
      <c r="A24" s="18" t="s">
        <v>1357</v>
      </c>
    </row>
    <row r="25" spans="1:10" x14ac:dyDescent="0.25">
      <c r="A25" s="18" t="s">
        <v>1358</v>
      </c>
    </row>
    <row r="26" spans="1:10" x14ac:dyDescent="0.25">
      <c r="A26" s="18"/>
    </row>
    <row r="27" spans="1:10" x14ac:dyDescent="0.25">
      <c r="A27" s="16" t="s">
        <v>13</v>
      </c>
      <c r="C27" s="17"/>
    </row>
    <row r="28" spans="1:10" x14ac:dyDescent="0.25">
      <c r="A28" s="18" t="s">
        <v>1359</v>
      </c>
      <c r="C28" s="17"/>
    </row>
    <row r="29" spans="1:10" x14ac:dyDescent="0.25">
      <c r="C29" s="17"/>
    </row>
    <row r="30" spans="1:10" x14ac:dyDescent="0.25">
      <c r="A30" s="12" t="s">
        <v>1348</v>
      </c>
      <c r="C30" s="332" t="s">
        <v>1349</v>
      </c>
      <c r="F30" s="19"/>
    </row>
    <row r="31" spans="1:10" x14ac:dyDescent="0.25">
      <c r="C31" s="17"/>
    </row>
    <row r="32" spans="1:10" x14ac:dyDescent="0.25">
      <c r="A32" s="69" t="s">
        <v>15</v>
      </c>
      <c r="B32" s="72"/>
      <c r="C32" s="72"/>
      <c r="D32" s="72"/>
    </row>
    <row r="33" spans="1:83" x14ac:dyDescent="0.25">
      <c r="A33" s="18" t="s">
        <v>16</v>
      </c>
      <c r="B33" s="72"/>
      <c r="C33" s="72"/>
      <c r="D33" s="72"/>
    </row>
    <row r="34" spans="1:83" ht="16.5" x14ac:dyDescent="0.25">
      <c r="A34" s="18" t="s">
        <v>17</v>
      </c>
      <c r="B34" s="71"/>
      <c r="C34" s="71"/>
      <c r="D34" s="71"/>
    </row>
    <row r="35" spans="1:83" ht="16.5" x14ac:dyDescent="0.25">
      <c r="B35" s="71"/>
      <c r="C35" s="71"/>
      <c r="D35" s="71"/>
    </row>
    <row r="36" spans="1:83" x14ac:dyDescent="0.25">
      <c r="A36" s="333" t="s">
        <v>18</v>
      </c>
      <c r="B36" s="334"/>
      <c r="C36" s="335"/>
      <c r="D36" s="334"/>
      <c r="E36" s="334"/>
      <c r="F36" s="334"/>
      <c r="G36" s="334"/>
    </row>
    <row r="37" spans="1:83" x14ac:dyDescent="0.25">
      <c r="A37" s="336" t="s">
        <v>1341</v>
      </c>
      <c r="B37" s="337"/>
      <c r="C37" s="335"/>
      <c r="D37" s="334"/>
      <c r="E37" s="334"/>
      <c r="F37" s="334"/>
      <c r="G37" s="334"/>
    </row>
    <row r="38" spans="1:83" x14ac:dyDescent="0.25">
      <c r="A38" s="340" t="s">
        <v>1360</v>
      </c>
      <c r="B38" s="337"/>
      <c r="C38" s="335"/>
      <c r="D38" s="334"/>
      <c r="E38" s="334"/>
      <c r="F38" s="334"/>
      <c r="G38" s="334"/>
    </row>
    <row r="39" spans="1:83" x14ac:dyDescent="0.25">
      <c r="A39" s="339" t="s">
        <v>1342</v>
      </c>
      <c r="B39" s="334"/>
      <c r="C39" s="335"/>
      <c r="D39" s="334"/>
      <c r="E39" s="334"/>
      <c r="F39" s="334"/>
      <c r="G39" s="334"/>
    </row>
    <row r="40" spans="1:83" x14ac:dyDescent="0.25">
      <c r="A40" s="340" t="s">
        <v>1361</v>
      </c>
      <c r="B40" s="334"/>
      <c r="C40" s="335"/>
      <c r="D40" s="334"/>
      <c r="E40" s="334"/>
      <c r="F40" s="334"/>
      <c r="G40" s="334"/>
    </row>
    <row r="41" spans="1:83" x14ac:dyDescent="0.25">
      <c r="C41" s="17"/>
    </row>
    <row r="42" spans="1:83" x14ac:dyDescent="0.25">
      <c r="A42" s="12" t="s">
        <v>19</v>
      </c>
      <c r="C42" s="17"/>
      <c r="F42" s="19" t="s">
        <v>14</v>
      </c>
    </row>
    <row r="43" spans="1:83" x14ac:dyDescent="0.25">
      <c r="A43" s="19" t="s">
        <v>20</v>
      </c>
      <c r="C43" s="17"/>
    </row>
    <row r="44" spans="1:83" x14ac:dyDescent="0.2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2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2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2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25">
      <c r="A48" s="32" t="s">
        <v>217</v>
      </c>
      <c r="B48" s="312">
        <v>1501704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105156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139810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23355</v>
      </c>
      <c r="Q48" s="32">
        <f t="shared" si="0"/>
        <v>25391</v>
      </c>
      <c r="R48" s="32">
        <f t="shared" si="0"/>
        <v>0</v>
      </c>
      <c r="S48" s="32">
        <f t="shared" si="0"/>
        <v>13442</v>
      </c>
      <c r="T48" s="32">
        <f t="shared" si="0"/>
        <v>0</v>
      </c>
      <c r="U48" s="32">
        <f t="shared" si="0"/>
        <v>70069</v>
      </c>
      <c r="V48" s="32">
        <f t="shared" si="0"/>
        <v>0</v>
      </c>
      <c r="W48" s="32">
        <f t="shared" si="0"/>
        <v>1617</v>
      </c>
      <c r="X48" s="32">
        <f t="shared" si="0"/>
        <v>20599</v>
      </c>
      <c r="Y48" s="32">
        <f t="shared" si="0"/>
        <v>61279</v>
      </c>
      <c r="Z48" s="32">
        <f t="shared" si="0"/>
        <v>0</v>
      </c>
      <c r="AA48" s="32">
        <f t="shared" si="0"/>
        <v>0</v>
      </c>
      <c r="AB48" s="32">
        <f t="shared" si="0"/>
        <v>12229</v>
      </c>
      <c r="AC48" s="32">
        <f t="shared" si="0"/>
        <v>0</v>
      </c>
      <c r="AD48" s="32">
        <f t="shared" si="0"/>
        <v>0</v>
      </c>
      <c r="AE48" s="32">
        <f t="shared" si="0"/>
        <v>9724</v>
      </c>
      <c r="AF48" s="32">
        <f t="shared" si="0"/>
        <v>0</v>
      </c>
      <c r="AG48" s="32">
        <f t="shared" si="0"/>
        <v>95829</v>
      </c>
      <c r="AH48" s="32">
        <f t="shared" si="0"/>
        <v>0</v>
      </c>
      <c r="AI48" s="32">
        <f t="shared" si="0"/>
        <v>0</v>
      </c>
      <c r="AJ48" s="32">
        <f t="shared" si="0"/>
        <v>244581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25333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40496</v>
      </c>
      <c r="AZ48" s="32">
        <f t="shared" si="0"/>
        <v>0</v>
      </c>
      <c r="BA48" s="32">
        <f t="shared" si="0"/>
        <v>6829</v>
      </c>
      <c r="BB48" s="32">
        <f t="shared" si="0"/>
        <v>0</v>
      </c>
      <c r="BC48" s="32">
        <f t="shared" si="0"/>
        <v>0</v>
      </c>
      <c r="BD48" s="32">
        <f t="shared" si="0"/>
        <v>10848</v>
      </c>
      <c r="BE48" s="32">
        <f t="shared" si="0"/>
        <v>51811</v>
      </c>
      <c r="BF48" s="32">
        <f t="shared" si="0"/>
        <v>47999</v>
      </c>
      <c r="BG48" s="32">
        <f t="shared" si="0"/>
        <v>0</v>
      </c>
      <c r="BH48" s="32">
        <f t="shared" si="0"/>
        <v>12927</v>
      </c>
      <c r="BI48" s="32">
        <f t="shared" si="0"/>
        <v>0</v>
      </c>
      <c r="BJ48" s="32">
        <f t="shared" si="0"/>
        <v>87857</v>
      </c>
      <c r="BK48" s="32">
        <f t="shared" si="0"/>
        <v>89326</v>
      </c>
      <c r="BL48" s="32">
        <f t="shared" si="0"/>
        <v>40280</v>
      </c>
      <c r="BM48" s="32">
        <f t="shared" si="0"/>
        <v>0</v>
      </c>
      <c r="BN48" s="32">
        <f t="shared" si="0"/>
        <v>88447</v>
      </c>
      <c r="BO48" s="32">
        <f t="shared" si="0"/>
        <v>0</v>
      </c>
      <c r="BP48" s="32">
        <f t="shared" ref="BP48:CD48" si="1">IF($B$48,(ROUND((($B$48/$CE$61)*BP61),0)))</f>
        <v>18234</v>
      </c>
      <c r="BQ48" s="32">
        <f t="shared" si="1"/>
        <v>0</v>
      </c>
      <c r="BR48" s="32">
        <f t="shared" si="1"/>
        <v>35879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39543</v>
      </c>
      <c r="BW48" s="32">
        <f t="shared" si="1"/>
        <v>0</v>
      </c>
      <c r="BX48" s="32">
        <f t="shared" si="1"/>
        <v>39415</v>
      </c>
      <c r="BY48" s="32">
        <f t="shared" si="1"/>
        <v>43395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1501700</v>
      </c>
    </row>
    <row r="49" spans="1:83" x14ac:dyDescent="0.25">
      <c r="A49" s="20" t="s">
        <v>218</v>
      </c>
      <c r="B49" s="32">
        <f>B47+B48</f>
        <v>1501704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2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25">
      <c r="A52" s="39" t="s">
        <v>220</v>
      </c>
      <c r="B52" s="313">
        <v>633323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40305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53584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40999</v>
      </c>
      <c r="Q52" s="32">
        <f t="shared" si="2"/>
        <v>0</v>
      </c>
      <c r="R52" s="32">
        <f t="shared" si="2"/>
        <v>307</v>
      </c>
      <c r="S52" s="32">
        <f t="shared" si="2"/>
        <v>22804</v>
      </c>
      <c r="T52" s="32">
        <f t="shared" si="2"/>
        <v>0</v>
      </c>
      <c r="U52" s="32">
        <f t="shared" si="2"/>
        <v>14190</v>
      </c>
      <c r="V52" s="32">
        <f t="shared" si="2"/>
        <v>0</v>
      </c>
      <c r="W52" s="32">
        <f t="shared" si="2"/>
        <v>580</v>
      </c>
      <c r="X52" s="32">
        <f t="shared" si="2"/>
        <v>7465</v>
      </c>
      <c r="Y52" s="32">
        <f t="shared" si="2"/>
        <v>22212</v>
      </c>
      <c r="Z52" s="32">
        <f t="shared" si="2"/>
        <v>0</v>
      </c>
      <c r="AA52" s="32">
        <f t="shared" si="2"/>
        <v>0</v>
      </c>
      <c r="AB52" s="32">
        <f t="shared" si="2"/>
        <v>11436</v>
      </c>
      <c r="AC52" s="32">
        <f t="shared" si="2"/>
        <v>2845</v>
      </c>
      <c r="AD52" s="32">
        <f t="shared" si="2"/>
        <v>0</v>
      </c>
      <c r="AE52" s="32">
        <f t="shared" si="2"/>
        <v>9217</v>
      </c>
      <c r="AF52" s="32">
        <f t="shared" si="2"/>
        <v>0</v>
      </c>
      <c r="AG52" s="32">
        <f t="shared" si="2"/>
        <v>56827</v>
      </c>
      <c r="AH52" s="32">
        <f t="shared" si="2"/>
        <v>0</v>
      </c>
      <c r="AI52" s="32">
        <f t="shared" si="2"/>
        <v>0</v>
      </c>
      <c r="AJ52" s="32">
        <f t="shared" si="2"/>
        <v>67762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9706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30177</v>
      </c>
      <c r="AZ52" s="32">
        <f t="shared" si="2"/>
        <v>0</v>
      </c>
      <c r="BA52" s="32">
        <f t="shared" si="2"/>
        <v>17808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60525</v>
      </c>
      <c r="BF52" s="32">
        <f t="shared" si="2"/>
        <v>4893</v>
      </c>
      <c r="BG52" s="32">
        <f t="shared" si="2"/>
        <v>0</v>
      </c>
      <c r="BH52" s="32">
        <f t="shared" si="2"/>
        <v>8238</v>
      </c>
      <c r="BI52" s="32">
        <f t="shared" si="2"/>
        <v>0</v>
      </c>
      <c r="BJ52" s="32">
        <f t="shared" si="2"/>
        <v>0</v>
      </c>
      <c r="BK52" s="32">
        <f t="shared" si="2"/>
        <v>11902</v>
      </c>
      <c r="BL52" s="32">
        <f t="shared" si="2"/>
        <v>9501</v>
      </c>
      <c r="BM52" s="32">
        <f t="shared" si="2"/>
        <v>0</v>
      </c>
      <c r="BN52" s="32">
        <f t="shared" si="2"/>
        <v>79505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20960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15840</v>
      </c>
      <c r="BW52" s="32">
        <f t="shared" si="3"/>
        <v>0</v>
      </c>
      <c r="BX52" s="32">
        <f t="shared" si="3"/>
        <v>0</v>
      </c>
      <c r="BY52" s="32">
        <f t="shared" si="3"/>
        <v>13723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633311</v>
      </c>
    </row>
    <row r="53" spans="1:83" x14ac:dyDescent="0.25">
      <c r="A53" s="20" t="s">
        <v>218</v>
      </c>
      <c r="B53" s="32">
        <f>B51+B52</f>
        <v>633323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2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2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2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2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2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25">
      <c r="A59" s="39" t="s">
        <v>246</v>
      </c>
      <c r="B59" s="32"/>
      <c r="C59" s="24"/>
      <c r="D59" s="24"/>
      <c r="E59" s="24">
        <v>440</v>
      </c>
      <c r="F59" s="24"/>
      <c r="G59" s="24"/>
      <c r="H59" s="24"/>
      <c r="I59" s="24"/>
      <c r="J59" s="24">
        <v>0</v>
      </c>
      <c r="K59" s="24"/>
      <c r="L59" s="24">
        <v>585</v>
      </c>
      <c r="M59" s="24"/>
      <c r="N59" s="24"/>
      <c r="O59" s="24">
        <v>0</v>
      </c>
      <c r="P59" s="30">
        <v>15425</v>
      </c>
      <c r="Q59" s="30">
        <v>10314</v>
      </c>
      <c r="R59" s="30">
        <v>14759</v>
      </c>
      <c r="S59" s="314"/>
      <c r="T59" s="314"/>
      <c r="U59" s="31">
        <v>22964</v>
      </c>
      <c r="V59" s="30"/>
      <c r="W59" s="30">
        <v>109</v>
      </c>
      <c r="X59" s="30">
        <v>1389</v>
      </c>
      <c r="Y59" s="30">
        <v>4132</v>
      </c>
      <c r="Z59" s="30"/>
      <c r="AA59" s="30"/>
      <c r="AB59" s="314"/>
      <c r="AC59" s="30">
        <v>567</v>
      </c>
      <c r="AD59" s="30"/>
      <c r="AE59" s="30">
        <v>830</v>
      </c>
      <c r="AF59" s="30"/>
      <c r="AG59" s="30">
        <v>7500</v>
      </c>
      <c r="AH59" s="30"/>
      <c r="AI59" s="30"/>
      <c r="AJ59" s="30">
        <v>4444</v>
      </c>
      <c r="AK59" s="30"/>
      <c r="AL59" s="30"/>
      <c r="AM59" s="30"/>
      <c r="AN59" s="30"/>
      <c r="AO59" s="30">
        <v>2544</v>
      </c>
      <c r="AP59" s="30"/>
      <c r="AQ59" s="30"/>
      <c r="AR59" s="30"/>
      <c r="AS59" s="30"/>
      <c r="AT59" s="30"/>
      <c r="AU59" s="30"/>
      <c r="AV59" s="314"/>
      <c r="AW59" s="314"/>
      <c r="AX59" s="314"/>
      <c r="AY59" s="30">
        <v>5163</v>
      </c>
      <c r="AZ59" s="30"/>
      <c r="BA59" s="314"/>
      <c r="BB59" s="314"/>
      <c r="BC59" s="314"/>
      <c r="BD59" s="314"/>
      <c r="BE59" s="30">
        <v>55657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25">
      <c r="A60" s="241" t="s">
        <v>247</v>
      </c>
      <c r="B60" s="242"/>
      <c r="C60" s="315"/>
      <c r="D60" s="315"/>
      <c r="E60" s="315">
        <v>5.17</v>
      </c>
      <c r="F60" s="315"/>
      <c r="G60" s="315"/>
      <c r="H60" s="315"/>
      <c r="I60" s="315"/>
      <c r="J60" s="315"/>
      <c r="K60" s="315"/>
      <c r="L60" s="315">
        <v>6.88</v>
      </c>
      <c r="M60" s="315"/>
      <c r="N60" s="315"/>
      <c r="O60" s="315"/>
      <c r="P60" s="316">
        <v>1.39</v>
      </c>
      <c r="Q60" s="316">
        <v>1.5</v>
      </c>
      <c r="R60" s="316"/>
      <c r="S60" s="317">
        <v>1.85</v>
      </c>
      <c r="T60" s="317"/>
      <c r="U60" s="318">
        <v>4.46</v>
      </c>
      <c r="V60" s="316"/>
      <c r="W60" s="316">
        <v>0.08</v>
      </c>
      <c r="X60" s="316">
        <v>1.03</v>
      </c>
      <c r="Y60" s="316">
        <v>3.06</v>
      </c>
      <c r="Z60" s="316"/>
      <c r="AA60" s="316"/>
      <c r="AB60" s="317">
        <v>1.02</v>
      </c>
      <c r="AC60" s="316"/>
      <c r="AD60" s="316"/>
      <c r="AE60" s="316">
        <v>0.71</v>
      </c>
      <c r="AF60" s="316"/>
      <c r="AG60" s="316">
        <v>4.88</v>
      </c>
      <c r="AH60" s="316"/>
      <c r="AI60" s="316"/>
      <c r="AJ60" s="316">
        <v>15.35</v>
      </c>
      <c r="AK60" s="316"/>
      <c r="AL60" s="316"/>
      <c r="AM60" s="316"/>
      <c r="AN60" s="316"/>
      <c r="AO60" s="316">
        <v>1.25</v>
      </c>
      <c r="AP60" s="316"/>
      <c r="AQ60" s="316"/>
      <c r="AR60" s="316"/>
      <c r="AS60" s="316"/>
      <c r="AT60" s="316"/>
      <c r="AU60" s="316"/>
      <c r="AV60" s="317"/>
      <c r="AW60" s="317"/>
      <c r="AX60" s="317"/>
      <c r="AY60" s="316">
        <v>4.22</v>
      </c>
      <c r="AZ60" s="316"/>
      <c r="BA60" s="317">
        <v>0.77</v>
      </c>
      <c r="BB60" s="317"/>
      <c r="BC60" s="317"/>
      <c r="BD60" s="317">
        <v>0.65</v>
      </c>
      <c r="BE60" s="316">
        <v>4.07</v>
      </c>
      <c r="BF60" s="317">
        <v>5.1100000000000003</v>
      </c>
      <c r="BG60" s="317"/>
      <c r="BH60" s="317">
        <v>1</v>
      </c>
      <c r="BI60" s="317"/>
      <c r="BJ60" s="317">
        <v>4.21</v>
      </c>
      <c r="BK60" s="317">
        <v>6.43</v>
      </c>
      <c r="BL60" s="317">
        <v>4.8</v>
      </c>
      <c r="BM60" s="317"/>
      <c r="BN60" s="317">
        <v>2.2999999999999998</v>
      </c>
      <c r="BO60" s="317"/>
      <c r="BP60" s="317">
        <v>0.98</v>
      </c>
      <c r="BQ60" s="317"/>
      <c r="BR60" s="317">
        <v>1.82</v>
      </c>
      <c r="BS60" s="317"/>
      <c r="BT60" s="317"/>
      <c r="BU60" s="317"/>
      <c r="BV60" s="317">
        <v>3.8</v>
      </c>
      <c r="BW60" s="317"/>
      <c r="BX60" s="317">
        <v>1.97</v>
      </c>
      <c r="BY60" s="317">
        <v>2.3199999999999998</v>
      </c>
      <c r="BZ60" s="317"/>
      <c r="CA60" s="317"/>
      <c r="CB60" s="317"/>
      <c r="CC60" s="317"/>
      <c r="CD60" s="247" t="s">
        <v>233</v>
      </c>
      <c r="CE60" s="268">
        <f t="shared" ref="CE60:CE68" si="4">SUM(C60:CD60)</f>
        <v>93.079999999999984</v>
      </c>
    </row>
    <row r="61" spans="1:83" x14ac:dyDescent="0.25">
      <c r="A61" s="39" t="s">
        <v>248</v>
      </c>
      <c r="B61" s="20"/>
      <c r="C61" s="24"/>
      <c r="D61" s="24"/>
      <c r="E61" s="24">
        <v>472328</v>
      </c>
      <c r="F61" s="24"/>
      <c r="G61" s="24"/>
      <c r="H61" s="24"/>
      <c r="I61" s="24"/>
      <c r="J61" s="24"/>
      <c r="K61" s="24"/>
      <c r="L61" s="24">
        <v>627982</v>
      </c>
      <c r="M61" s="24"/>
      <c r="N61" s="24"/>
      <c r="O61" s="24"/>
      <c r="P61" s="30">
        <v>104905</v>
      </c>
      <c r="Q61" s="30">
        <v>114048</v>
      </c>
      <c r="R61" s="30"/>
      <c r="S61" s="319">
        <v>60378</v>
      </c>
      <c r="T61" s="319"/>
      <c r="U61" s="31">
        <v>314726</v>
      </c>
      <c r="V61" s="30"/>
      <c r="W61" s="30">
        <v>7261</v>
      </c>
      <c r="X61" s="30">
        <v>92526</v>
      </c>
      <c r="Y61" s="30">
        <v>275246</v>
      </c>
      <c r="Z61" s="30"/>
      <c r="AA61" s="30"/>
      <c r="AB61" s="320">
        <v>54930</v>
      </c>
      <c r="AC61" s="30"/>
      <c r="AD61" s="30"/>
      <c r="AE61" s="30">
        <v>43678</v>
      </c>
      <c r="AF61" s="30"/>
      <c r="AG61" s="30">
        <v>430431</v>
      </c>
      <c r="AH61" s="30"/>
      <c r="AI61" s="30"/>
      <c r="AJ61" s="30">
        <v>1098578</v>
      </c>
      <c r="AK61" s="30"/>
      <c r="AL61" s="30"/>
      <c r="AM61" s="30"/>
      <c r="AN61" s="30"/>
      <c r="AO61" s="30">
        <v>113788</v>
      </c>
      <c r="AP61" s="30"/>
      <c r="AQ61" s="30"/>
      <c r="AR61" s="30"/>
      <c r="AS61" s="30"/>
      <c r="AT61" s="30"/>
      <c r="AU61" s="30"/>
      <c r="AV61" s="319"/>
      <c r="AW61" s="319"/>
      <c r="AX61" s="319"/>
      <c r="AY61" s="30">
        <v>181896</v>
      </c>
      <c r="AZ61" s="30"/>
      <c r="BA61" s="319">
        <v>30673</v>
      </c>
      <c r="BB61" s="319"/>
      <c r="BC61" s="319"/>
      <c r="BD61" s="319">
        <v>48727</v>
      </c>
      <c r="BE61" s="30">
        <v>232719</v>
      </c>
      <c r="BF61" s="319">
        <v>215594</v>
      </c>
      <c r="BG61" s="319"/>
      <c r="BH61" s="319">
        <v>58066</v>
      </c>
      <c r="BI61" s="319"/>
      <c r="BJ61" s="319">
        <v>394626</v>
      </c>
      <c r="BK61" s="319">
        <v>401224</v>
      </c>
      <c r="BL61" s="319">
        <v>180923</v>
      </c>
      <c r="BM61" s="319"/>
      <c r="BN61" s="319">
        <v>397273</v>
      </c>
      <c r="BO61" s="319"/>
      <c r="BP61" s="319">
        <v>81903</v>
      </c>
      <c r="BQ61" s="319"/>
      <c r="BR61" s="319">
        <v>161157</v>
      </c>
      <c r="BS61" s="319"/>
      <c r="BT61" s="319"/>
      <c r="BU61" s="319"/>
      <c r="BV61" s="319">
        <v>177615</v>
      </c>
      <c r="BW61" s="319"/>
      <c r="BX61" s="319">
        <v>177039</v>
      </c>
      <c r="BY61" s="319">
        <v>194915</v>
      </c>
      <c r="BZ61" s="319"/>
      <c r="CA61" s="319"/>
      <c r="CB61" s="319"/>
      <c r="CC61" s="319"/>
      <c r="CD61" s="29" t="s">
        <v>233</v>
      </c>
      <c r="CE61" s="32">
        <f t="shared" si="4"/>
        <v>6745155</v>
      </c>
    </row>
    <row r="62" spans="1:83" x14ac:dyDescent="0.2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105156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139810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23355</v>
      </c>
      <c r="Q62" s="32">
        <f t="shared" si="5"/>
        <v>25391</v>
      </c>
      <c r="R62" s="32">
        <f t="shared" si="5"/>
        <v>0</v>
      </c>
      <c r="S62" s="32">
        <f t="shared" si="5"/>
        <v>13442</v>
      </c>
      <c r="T62" s="32">
        <f t="shared" si="5"/>
        <v>0</v>
      </c>
      <c r="U62" s="32">
        <f t="shared" si="5"/>
        <v>70069</v>
      </c>
      <c r="V62" s="32">
        <f t="shared" si="5"/>
        <v>0</v>
      </c>
      <c r="W62" s="32">
        <f t="shared" si="5"/>
        <v>1617</v>
      </c>
      <c r="X62" s="32">
        <f t="shared" si="5"/>
        <v>20599</v>
      </c>
      <c r="Y62" s="32">
        <f t="shared" si="5"/>
        <v>61279</v>
      </c>
      <c r="Z62" s="32">
        <f t="shared" si="5"/>
        <v>0</v>
      </c>
      <c r="AA62" s="32">
        <f t="shared" si="5"/>
        <v>0</v>
      </c>
      <c r="AB62" s="32">
        <f t="shared" si="5"/>
        <v>12229</v>
      </c>
      <c r="AC62" s="32">
        <f t="shared" si="5"/>
        <v>0</v>
      </c>
      <c r="AD62" s="32">
        <f t="shared" si="5"/>
        <v>0</v>
      </c>
      <c r="AE62" s="32">
        <f t="shared" si="5"/>
        <v>9724</v>
      </c>
      <c r="AF62" s="32">
        <f t="shared" si="5"/>
        <v>0</v>
      </c>
      <c r="AG62" s="32">
        <f t="shared" si="5"/>
        <v>95829</v>
      </c>
      <c r="AH62" s="32">
        <f t="shared" si="5"/>
        <v>0</v>
      </c>
      <c r="AI62" s="32">
        <f t="shared" si="5"/>
        <v>0</v>
      </c>
      <c r="AJ62" s="32">
        <f t="shared" si="5"/>
        <v>244581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25333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40496</v>
      </c>
      <c r="AZ62" s="32">
        <f t="shared" si="5"/>
        <v>0</v>
      </c>
      <c r="BA62" s="32">
        <f t="shared" si="5"/>
        <v>6829</v>
      </c>
      <c r="BB62" s="32">
        <f t="shared" si="5"/>
        <v>0</v>
      </c>
      <c r="BC62" s="32">
        <f t="shared" si="5"/>
        <v>0</v>
      </c>
      <c r="BD62" s="32">
        <f t="shared" si="5"/>
        <v>10848</v>
      </c>
      <c r="BE62" s="32">
        <f t="shared" si="5"/>
        <v>51811</v>
      </c>
      <c r="BF62" s="32">
        <f t="shared" si="5"/>
        <v>47999</v>
      </c>
      <c r="BG62" s="32">
        <f t="shared" si="5"/>
        <v>0</v>
      </c>
      <c r="BH62" s="32">
        <f t="shared" si="5"/>
        <v>12927</v>
      </c>
      <c r="BI62" s="32">
        <f t="shared" si="5"/>
        <v>0</v>
      </c>
      <c r="BJ62" s="32">
        <f t="shared" si="5"/>
        <v>87857</v>
      </c>
      <c r="BK62" s="32">
        <f t="shared" si="5"/>
        <v>89326</v>
      </c>
      <c r="BL62" s="32">
        <f t="shared" si="5"/>
        <v>40280</v>
      </c>
      <c r="BM62" s="32">
        <f t="shared" si="5"/>
        <v>0</v>
      </c>
      <c r="BN62" s="32">
        <f t="shared" si="5"/>
        <v>88447</v>
      </c>
      <c r="BO62" s="32">
        <f t="shared" si="5"/>
        <v>0</v>
      </c>
      <c r="BP62" s="32">
        <f t="shared" ref="BP62:CC62" si="6">ROUND(BP47+BP48,0)</f>
        <v>18234</v>
      </c>
      <c r="BQ62" s="32">
        <f t="shared" si="6"/>
        <v>0</v>
      </c>
      <c r="BR62" s="32">
        <f t="shared" si="6"/>
        <v>35879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39543</v>
      </c>
      <c r="BW62" s="32">
        <f t="shared" si="6"/>
        <v>0</v>
      </c>
      <c r="BX62" s="32">
        <f t="shared" si="6"/>
        <v>39415</v>
      </c>
      <c r="BY62" s="32">
        <f t="shared" si="6"/>
        <v>43395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1501700</v>
      </c>
    </row>
    <row r="63" spans="1:83" x14ac:dyDescent="0.25">
      <c r="A63" s="39" t="s">
        <v>249</v>
      </c>
      <c r="B63" s="20"/>
      <c r="C63" s="24"/>
      <c r="D63" s="24"/>
      <c r="E63" s="24">
        <v>363053</v>
      </c>
      <c r="F63" s="24"/>
      <c r="G63" s="24"/>
      <c r="H63" s="24"/>
      <c r="I63" s="24"/>
      <c r="J63" s="24"/>
      <c r="K63" s="24"/>
      <c r="L63" s="24">
        <v>482696</v>
      </c>
      <c r="M63" s="24"/>
      <c r="N63" s="24"/>
      <c r="O63" s="24"/>
      <c r="P63" s="30">
        <v>227758</v>
      </c>
      <c r="Q63" s="30"/>
      <c r="R63" s="30">
        <v>565966</v>
      </c>
      <c r="S63" s="319"/>
      <c r="T63" s="319"/>
      <c r="U63" s="31">
        <v>160642</v>
      </c>
      <c r="V63" s="30"/>
      <c r="W63" s="30">
        <v>5162</v>
      </c>
      <c r="X63" s="30">
        <v>65786</v>
      </c>
      <c r="Y63" s="30">
        <v>195700</v>
      </c>
      <c r="Z63" s="30"/>
      <c r="AA63" s="30"/>
      <c r="AB63" s="320"/>
      <c r="AC63" s="30"/>
      <c r="AD63" s="30"/>
      <c r="AE63" s="30">
        <v>65016</v>
      </c>
      <c r="AF63" s="30"/>
      <c r="AG63" s="30">
        <v>1820696</v>
      </c>
      <c r="AH63" s="30"/>
      <c r="AI63" s="30"/>
      <c r="AJ63" s="30">
        <v>239675</v>
      </c>
      <c r="AK63" s="30"/>
      <c r="AL63" s="30"/>
      <c r="AM63" s="30"/>
      <c r="AN63" s="30"/>
      <c r="AO63" s="30">
        <v>87463</v>
      </c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/>
      <c r="BC63" s="319"/>
      <c r="BD63" s="319"/>
      <c r="BE63" s="30"/>
      <c r="BF63" s="319"/>
      <c r="BG63" s="319"/>
      <c r="BH63" s="319"/>
      <c r="BI63" s="319"/>
      <c r="BJ63" s="319"/>
      <c r="BK63" s="319"/>
      <c r="BL63" s="319"/>
      <c r="BM63" s="319"/>
      <c r="BN63" s="319"/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4279613</v>
      </c>
    </row>
    <row r="64" spans="1:83" x14ac:dyDescent="0.25">
      <c r="A64" s="39" t="s">
        <v>250</v>
      </c>
      <c r="B64" s="20"/>
      <c r="C64" s="24"/>
      <c r="D64" s="24"/>
      <c r="E64" s="24">
        <v>18452</v>
      </c>
      <c r="F64" s="24"/>
      <c r="G64" s="24"/>
      <c r="H64" s="24"/>
      <c r="I64" s="24"/>
      <c r="J64" s="24"/>
      <c r="K64" s="24"/>
      <c r="L64" s="24">
        <v>24533</v>
      </c>
      <c r="M64" s="24"/>
      <c r="N64" s="24"/>
      <c r="O64" s="24"/>
      <c r="P64" s="30">
        <v>485231</v>
      </c>
      <c r="Q64" s="30">
        <v>1747</v>
      </c>
      <c r="R64" s="30">
        <v>7413</v>
      </c>
      <c r="S64" s="319">
        <v>9017</v>
      </c>
      <c r="T64" s="319"/>
      <c r="U64" s="31">
        <v>285930</v>
      </c>
      <c r="V64" s="30"/>
      <c r="W64" s="30">
        <v>189</v>
      </c>
      <c r="X64" s="30">
        <v>2422</v>
      </c>
      <c r="Y64" s="30">
        <v>7202</v>
      </c>
      <c r="Z64" s="30"/>
      <c r="AA64" s="30"/>
      <c r="AB64" s="320">
        <v>390531</v>
      </c>
      <c r="AC64" s="30">
        <v>39397</v>
      </c>
      <c r="AD64" s="30"/>
      <c r="AE64" s="30">
        <v>0</v>
      </c>
      <c r="AF64" s="30"/>
      <c r="AG64" s="30">
        <v>79491</v>
      </c>
      <c r="AH64" s="30"/>
      <c r="AI64" s="30"/>
      <c r="AJ64" s="30">
        <v>106097</v>
      </c>
      <c r="AK64" s="30"/>
      <c r="AL64" s="30"/>
      <c r="AM64" s="30"/>
      <c r="AN64" s="30"/>
      <c r="AO64" s="30">
        <v>4445</v>
      </c>
      <c r="AP64" s="30"/>
      <c r="AQ64" s="30"/>
      <c r="AR64" s="30"/>
      <c r="AS64" s="30"/>
      <c r="AT64" s="30"/>
      <c r="AU64" s="30"/>
      <c r="AV64" s="319"/>
      <c r="AW64" s="319"/>
      <c r="AX64" s="319"/>
      <c r="AY64" s="30">
        <v>58638</v>
      </c>
      <c r="AZ64" s="30"/>
      <c r="BA64" s="319">
        <v>1446</v>
      </c>
      <c r="BB64" s="319"/>
      <c r="BC64" s="319"/>
      <c r="BD64" s="319">
        <v>74049</v>
      </c>
      <c r="BE64" s="30">
        <v>8574</v>
      </c>
      <c r="BF64" s="319">
        <v>24682</v>
      </c>
      <c r="BG64" s="319"/>
      <c r="BH64" s="319">
        <v>13188</v>
      </c>
      <c r="BI64" s="319"/>
      <c r="BJ64" s="319">
        <v>3358</v>
      </c>
      <c r="BK64" s="319">
        <v>12528</v>
      </c>
      <c r="BL64" s="319">
        <v>3204</v>
      </c>
      <c r="BM64" s="319"/>
      <c r="BN64" s="319">
        <v>10478</v>
      </c>
      <c r="BO64" s="319">
        <v>1155</v>
      </c>
      <c r="BP64" s="319">
        <v>8477</v>
      </c>
      <c r="BQ64" s="319"/>
      <c r="BR64" s="319">
        <v>809</v>
      </c>
      <c r="BS64" s="319"/>
      <c r="BT64" s="319"/>
      <c r="BU64" s="319"/>
      <c r="BV64" s="319">
        <v>7304</v>
      </c>
      <c r="BW64" s="319"/>
      <c r="BX64" s="319">
        <v>842</v>
      </c>
      <c r="BY64" s="319">
        <v>13822</v>
      </c>
      <c r="BZ64" s="319"/>
      <c r="CA64" s="319"/>
      <c r="CB64" s="319"/>
      <c r="CC64" s="319"/>
      <c r="CD64" s="29" t="s">
        <v>233</v>
      </c>
      <c r="CE64" s="32">
        <f t="shared" si="4"/>
        <v>1704651</v>
      </c>
    </row>
    <row r="65" spans="1:83" x14ac:dyDescent="0.25">
      <c r="A65" s="39" t="s">
        <v>251</v>
      </c>
      <c r="B65" s="20"/>
      <c r="C65" s="24"/>
      <c r="D65" s="24"/>
      <c r="E65" s="24">
        <v>1689</v>
      </c>
      <c r="F65" s="24"/>
      <c r="G65" s="24"/>
      <c r="H65" s="24"/>
      <c r="I65" s="24"/>
      <c r="J65" s="24"/>
      <c r="K65" s="24"/>
      <c r="L65" s="24">
        <v>2246</v>
      </c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>
        <v>51</v>
      </c>
      <c r="X65" s="30">
        <v>638</v>
      </c>
      <c r="Y65" s="30">
        <v>1902</v>
      </c>
      <c r="Z65" s="30"/>
      <c r="AA65" s="30"/>
      <c r="AB65" s="320">
        <v>62</v>
      </c>
      <c r="AC65" s="30"/>
      <c r="AD65" s="30"/>
      <c r="AE65" s="30"/>
      <c r="AF65" s="30"/>
      <c r="AG65" s="30"/>
      <c r="AH65" s="30"/>
      <c r="AI65" s="30"/>
      <c r="AJ65" s="30">
        <v>461</v>
      </c>
      <c r="AK65" s="30"/>
      <c r="AL65" s="30"/>
      <c r="AM65" s="30"/>
      <c r="AN65" s="30"/>
      <c r="AO65" s="30">
        <v>407</v>
      </c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>
        <v>11982</v>
      </c>
      <c r="BB65" s="319"/>
      <c r="BC65" s="319"/>
      <c r="BD65" s="319"/>
      <c r="BE65" s="30">
        <v>176193</v>
      </c>
      <c r="BF65" s="319"/>
      <c r="BG65" s="319"/>
      <c r="BH65" s="319">
        <v>1459</v>
      </c>
      <c r="BI65" s="319"/>
      <c r="BJ65" s="319"/>
      <c r="BK65" s="319">
        <v>116</v>
      </c>
      <c r="BL65" s="319"/>
      <c r="BM65" s="319"/>
      <c r="BN65" s="319">
        <v>25279</v>
      </c>
      <c r="BO65" s="319"/>
      <c r="BP65" s="319">
        <v>500</v>
      </c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222985</v>
      </c>
    </row>
    <row r="66" spans="1:83" x14ac:dyDescent="0.25">
      <c r="A66" s="39" t="s">
        <v>252</v>
      </c>
      <c r="B66" s="20"/>
      <c r="C66" s="24"/>
      <c r="D66" s="24"/>
      <c r="E66" s="24">
        <v>14770</v>
      </c>
      <c r="F66" s="24"/>
      <c r="G66" s="24"/>
      <c r="H66" s="24"/>
      <c r="I66" s="24"/>
      <c r="J66" s="24"/>
      <c r="K66" s="24"/>
      <c r="L66" s="24">
        <v>19637</v>
      </c>
      <c r="M66" s="24"/>
      <c r="N66" s="24"/>
      <c r="O66" s="24"/>
      <c r="P66" s="30"/>
      <c r="Q66" s="30"/>
      <c r="R66" s="30"/>
      <c r="S66" s="319"/>
      <c r="T66" s="319"/>
      <c r="U66" s="31">
        <v>89290</v>
      </c>
      <c r="V66" s="30"/>
      <c r="W66" s="30">
        <v>63095</v>
      </c>
      <c r="X66" s="30">
        <v>0</v>
      </c>
      <c r="Y66" s="30">
        <v>12530</v>
      </c>
      <c r="Z66" s="30"/>
      <c r="AA66" s="30"/>
      <c r="AB66" s="320">
        <v>135999</v>
      </c>
      <c r="AC66" s="30"/>
      <c r="AD66" s="30"/>
      <c r="AE66" s="30"/>
      <c r="AF66" s="30"/>
      <c r="AG66" s="30"/>
      <c r="AH66" s="30"/>
      <c r="AI66" s="30"/>
      <c r="AJ66" s="30">
        <v>82581</v>
      </c>
      <c r="AK66" s="30"/>
      <c r="AL66" s="30"/>
      <c r="AM66" s="30"/>
      <c r="AN66" s="30"/>
      <c r="AO66" s="30">
        <v>3558</v>
      </c>
      <c r="AP66" s="30"/>
      <c r="AQ66" s="30"/>
      <c r="AR66" s="30"/>
      <c r="AS66" s="30"/>
      <c r="AT66" s="30"/>
      <c r="AU66" s="30"/>
      <c r="AV66" s="319"/>
      <c r="AW66" s="319"/>
      <c r="AX66" s="319"/>
      <c r="AY66" s="30">
        <v>2175</v>
      </c>
      <c r="AZ66" s="30"/>
      <c r="BA66" s="319"/>
      <c r="BB66" s="319"/>
      <c r="BC66" s="319"/>
      <c r="BD66" s="319"/>
      <c r="BE66" s="30">
        <v>6571</v>
      </c>
      <c r="BF66" s="319"/>
      <c r="BG66" s="319"/>
      <c r="BH66" s="319">
        <v>603592</v>
      </c>
      <c r="BI66" s="319"/>
      <c r="BJ66" s="319">
        <v>99184</v>
      </c>
      <c r="BK66" s="319">
        <v>346633</v>
      </c>
      <c r="BL66" s="319"/>
      <c r="BM66" s="319"/>
      <c r="BN66" s="319">
        <v>81313</v>
      </c>
      <c r="BO66" s="319">
        <v>7467</v>
      </c>
      <c r="BP66" s="319">
        <v>639</v>
      </c>
      <c r="BQ66" s="319"/>
      <c r="BR66" s="319">
        <v>30801</v>
      </c>
      <c r="BS66" s="319"/>
      <c r="BT66" s="319"/>
      <c r="BU66" s="319"/>
      <c r="BV66" s="319">
        <v>16489</v>
      </c>
      <c r="BW66" s="319"/>
      <c r="BX66" s="319">
        <v>39106</v>
      </c>
      <c r="BY66" s="319">
        <v>19559</v>
      </c>
      <c r="BZ66" s="319"/>
      <c r="CA66" s="319"/>
      <c r="CB66" s="319"/>
      <c r="CC66" s="319"/>
      <c r="CD66" s="29" t="s">
        <v>233</v>
      </c>
      <c r="CE66" s="32">
        <f t="shared" si="4"/>
        <v>1674989</v>
      </c>
    </row>
    <row r="67" spans="1:83" x14ac:dyDescent="0.2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40305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53584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40999</v>
      </c>
      <c r="Q67" s="32">
        <f t="shared" si="7"/>
        <v>0</v>
      </c>
      <c r="R67" s="32">
        <f t="shared" si="7"/>
        <v>307</v>
      </c>
      <c r="S67" s="32">
        <f t="shared" si="7"/>
        <v>22804</v>
      </c>
      <c r="T67" s="32">
        <f t="shared" si="7"/>
        <v>0</v>
      </c>
      <c r="U67" s="32">
        <f t="shared" si="7"/>
        <v>14190</v>
      </c>
      <c r="V67" s="32">
        <f t="shared" si="7"/>
        <v>0</v>
      </c>
      <c r="W67" s="32">
        <f t="shared" si="7"/>
        <v>580</v>
      </c>
      <c r="X67" s="32">
        <f t="shared" si="7"/>
        <v>7465</v>
      </c>
      <c r="Y67" s="32">
        <f t="shared" si="7"/>
        <v>22212</v>
      </c>
      <c r="Z67" s="32">
        <f t="shared" si="7"/>
        <v>0</v>
      </c>
      <c r="AA67" s="32">
        <f t="shared" si="7"/>
        <v>0</v>
      </c>
      <c r="AB67" s="32">
        <f t="shared" si="7"/>
        <v>11436</v>
      </c>
      <c r="AC67" s="32">
        <f t="shared" si="7"/>
        <v>2845</v>
      </c>
      <c r="AD67" s="32">
        <f t="shared" si="7"/>
        <v>0</v>
      </c>
      <c r="AE67" s="32">
        <f t="shared" si="7"/>
        <v>9217</v>
      </c>
      <c r="AF67" s="32">
        <f t="shared" si="7"/>
        <v>0</v>
      </c>
      <c r="AG67" s="32">
        <f t="shared" si="7"/>
        <v>56827</v>
      </c>
      <c r="AH67" s="32">
        <f t="shared" si="7"/>
        <v>0</v>
      </c>
      <c r="AI67" s="32">
        <f t="shared" si="7"/>
        <v>0</v>
      </c>
      <c r="AJ67" s="32">
        <f t="shared" si="7"/>
        <v>67762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9706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30177</v>
      </c>
      <c r="AZ67" s="32">
        <f t="shared" si="7"/>
        <v>0</v>
      </c>
      <c r="BA67" s="32">
        <f t="shared" si="7"/>
        <v>17808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60525</v>
      </c>
      <c r="BF67" s="32">
        <f t="shared" si="7"/>
        <v>4893</v>
      </c>
      <c r="BG67" s="32">
        <f t="shared" si="7"/>
        <v>0</v>
      </c>
      <c r="BH67" s="32">
        <f t="shared" si="7"/>
        <v>8238</v>
      </c>
      <c r="BI67" s="32">
        <f t="shared" si="7"/>
        <v>0</v>
      </c>
      <c r="BJ67" s="32">
        <f t="shared" si="7"/>
        <v>0</v>
      </c>
      <c r="BK67" s="32">
        <f t="shared" si="7"/>
        <v>11902</v>
      </c>
      <c r="BL67" s="32">
        <f t="shared" si="7"/>
        <v>9501</v>
      </c>
      <c r="BM67" s="32">
        <f t="shared" si="7"/>
        <v>0</v>
      </c>
      <c r="BN67" s="32">
        <f t="shared" si="7"/>
        <v>79505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20960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15840</v>
      </c>
      <c r="BW67" s="32">
        <f t="shared" si="8"/>
        <v>0</v>
      </c>
      <c r="BX67" s="32">
        <f t="shared" si="8"/>
        <v>0</v>
      </c>
      <c r="BY67" s="32">
        <f t="shared" si="8"/>
        <v>13723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633311</v>
      </c>
    </row>
    <row r="68" spans="1:83" x14ac:dyDescent="0.25">
      <c r="A68" s="39" t="s">
        <v>253</v>
      </c>
      <c r="B68" s="32"/>
      <c r="C68" s="24"/>
      <c r="D68" s="24"/>
      <c r="E68" s="24">
        <v>12591</v>
      </c>
      <c r="F68" s="24"/>
      <c r="G68" s="24"/>
      <c r="H68" s="24"/>
      <c r="I68" s="24"/>
      <c r="J68" s="24"/>
      <c r="K68" s="24"/>
      <c r="L68" s="24">
        <v>16741</v>
      </c>
      <c r="M68" s="24"/>
      <c r="N68" s="24"/>
      <c r="O68" s="24"/>
      <c r="P68" s="30">
        <v>49826</v>
      </c>
      <c r="Q68" s="30"/>
      <c r="R68" s="30"/>
      <c r="S68" s="319">
        <v>0</v>
      </c>
      <c r="T68" s="319"/>
      <c r="U68" s="31"/>
      <c r="V68" s="30"/>
      <c r="W68" s="30"/>
      <c r="X68" s="30"/>
      <c r="Y68" s="30">
        <v>343</v>
      </c>
      <c r="Z68" s="30"/>
      <c r="AA68" s="30"/>
      <c r="AB68" s="320">
        <v>164</v>
      </c>
      <c r="AC68" s="30">
        <v>6234</v>
      </c>
      <c r="AD68" s="30"/>
      <c r="AE68" s="30"/>
      <c r="AF68" s="30"/>
      <c r="AG68" s="30"/>
      <c r="AH68" s="30"/>
      <c r="AI68" s="30"/>
      <c r="AJ68" s="30">
        <v>3357</v>
      </c>
      <c r="AK68" s="30"/>
      <c r="AL68" s="30"/>
      <c r="AM68" s="30"/>
      <c r="AN68" s="30"/>
      <c r="AO68" s="30">
        <v>3033</v>
      </c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1642</v>
      </c>
      <c r="BF68" s="319"/>
      <c r="BG68" s="319"/>
      <c r="BH68" s="319">
        <v>8312</v>
      </c>
      <c r="BI68" s="319"/>
      <c r="BJ68" s="319"/>
      <c r="BK68" s="319">
        <v>2663</v>
      </c>
      <c r="BL68" s="319">
        <v>914</v>
      </c>
      <c r="BM68" s="319"/>
      <c r="BN68" s="319">
        <v>11651</v>
      </c>
      <c r="BO68" s="319"/>
      <c r="BP68" s="319"/>
      <c r="BQ68" s="319"/>
      <c r="BR68" s="319"/>
      <c r="BS68" s="319"/>
      <c r="BT68" s="319"/>
      <c r="BU68" s="319"/>
      <c r="BV68" s="319">
        <v>1996</v>
      </c>
      <c r="BW68" s="319"/>
      <c r="BX68" s="319"/>
      <c r="BY68" s="319">
        <v>317</v>
      </c>
      <c r="BZ68" s="319"/>
      <c r="CA68" s="319"/>
      <c r="CB68" s="319"/>
      <c r="CC68" s="319">
        <v>0</v>
      </c>
      <c r="CD68" s="29" t="s">
        <v>233</v>
      </c>
      <c r="CE68" s="32">
        <f t="shared" si="4"/>
        <v>119784</v>
      </c>
    </row>
    <row r="69" spans="1:83" x14ac:dyDescent="0.2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29747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39550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6217</v>
      </c>
      <c r="Q69" s="32">
        <f t="shared" si="9"/>
        <v>96</v>
      </c>
      <c r="R69" s="32">
        <f t="shared" si="9"/>
        <v>9893</v>
      </c>
      <c r="S69" s="32">
        <f t="shared" si="9"/>
        <v>4553</v>
      </c>
      <c r="T69" s="32">
        <f t="shared" si="9"/>
        <v>0</v>
      </c>
      <c r="U69" s="32">
        <f t="shared" si="9"/>
        <v>88015</v>
      </c>
      <c r="V69" s="32">
        <f t="shared" si="9"/>
        <v>0</v>
      </c>
      <c r="W69" s="32">
        <f t="shared" si="9"/>
        <v>0</v>
      </c>
      <c r="X69" s="32">
        <f t="shared" si="9"/>
        <v>81034</v>
      </c>
      <c r="Y69" s="32">
        <f t="shared" si="9"/>
        <v>119650</v>
      </c>
      <c r="Z69" s="32">
        <f t="shared" si="9"/>
        <v>0</v>
      </c>
      <c r="AA69" s="32">
        <f t="shared" si="9"/>
        <v>0</v>
      </c>
      <c r="AB69" s="32">
        <f t="shared" si="9"/>
        <v>33397</v>
      </c>
      <c r="AC69" s="32">
        <f t="shared" si="9"/>
        <v>0</v>
      </c>
      <c r="AD69" s="32">
        <f t="shared" si="9"/>
        <v>0</v>
      </c>
      <c r="AE69" s="32">
        <f t="shared" si="9"/>
        <v>96</v>
      </c>
      <c r="AF69" s="32">
        <f t="shared" si="9"/>
        <v>0</v>
      </c>
      <c r="AG69" s="32">
        <f t="shared" si="9"/>
        <v>62974</v>
      </c>
      <c r="AH69" s="32">
        <f t="shared" si="9"/>
        <v>0</v>
      </c>
      <c r="AI69" s="32">
        <f t="shared" si="9"/>
        <v>0</v>
      </c>
      <c r="AJ69" s="32">
        <f t="shared" si="9"/>
        <v>13783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7166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9465</v>
      </c>
      <c r="AZ69" s="32">
        <f t="shared" si="9"/>
        <v>0</v>
      </c>
      <c r="BA69" s="32">
        <f t="shared" si="9"/>
        <v>147</v>
      </c>
      <c r="BB69" s="32">
        <f t="shared" si="9"/>
        <v>0</v>
      </c>
      <c r="BC69" s="32">
        <f t="shared" si="9"/>
        <v>0</v>
      </c>
      <c r="BD69" s="32">
        <f t="shared" si="9"/>
        <v>25004</v>
      </c>
      <c r="BE69" s="32">
        <f t="shared" si="9"/>
        <v>60162</v>
      </c>
      <c r="BF69" s="32">
        <f t="shared" si="9"/>
        <v>411</v>
      </c>
      <c r="BG69" s="32">
        <f t="shared" si="9"/>
        <v>0</v>
      </c>
      <c r="BH69" s="32">
        <f t="shared" si="9"/>
        <v>215604</v>
      </c>
      <c r="BI69" s="32">
        <f t="shared" si="9"/>
        <v>0</v>
      </c>
      <c r="BJ69" s="32">
        <f t="shared" si="9"/>
        <v>4849</v>
      </c>
      <c r="BK69" s="32">
        <f t="shared" si="9"/>
        <v>5721</v>
      </c>
      <c r="BL69" s="32">
        <f t="shared" si="9"/>
        <v>616</v>
      </c>
      <c r="BM69" s="32">
        <f t="shared" si="9"/>
        <v>0</v>
      </c>
      <c r="BN69" s="32">
        <f t="shared" si="9"/>
        <v>31063</v>
      </c>
      <c r="BO69" s="32">
        <f t="shared" ref="BO69:CD69" si="10">SUM(BO70:BO83)</f>
        <v>205</v>
      </c>
      <c r="BP69" s="32">
        <f t="shared" si="10"/>
        <v>70560</v>
      </c>
      <c r="BQ69" s="32">
        <f t="shared" si="10"/>
        <v>0</v>
      </c>
      <c r="BR69" s="32">
        <f t="shared" si="10"/>
        <v>3615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17596</v>
      </c>
      <c r="BW69" s="32">
        <f t="shared" si="10"/>
        <v>0</v>
      </c>
      <c r="BX69" s="32">
        <f t="shared" si="10"/>
        <v>28339</v>
      </c>
      <c r="BY69" s="32">
        <f t="shared" si="10"/>
        <v>941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458796</v>
      </c>
      <c r="CE69" s="32">
        <f>SUM(CE70:CE83)</f>
        <v>1429265</v>
      </c>
    </row>
    <row r="70" spans="1:83" x14ac:dyDescent="0.2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2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2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2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>
        <v>253608</v>
      </c>
      <c r="CE73" s="32">
        <f t="shared" si="11"/>
        <v>253608</v>
      </c>
    </row>
    <row r="74" spans="1:83" x14ac:dyDescent="0.2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2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2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2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2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2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2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2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>
        <v>135197</v>
      </c>
      <c r="CE81" s="32">
        <f t="shared" si="11"/>
        <v>135197</v>
      </c>
    </row>
    <row r="82" spans="1:84" x14ac:dyDescent="0.2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25">
      <c r="A83" s="33" t="s">
        <v>268</v>
      </c>
      <c r="B83" s="20"/>
      <c r="C83" s="24"/>
      <c r="D83" s="24"/>
      <c r="E83" s="30">
        <v>29747</v>
      </c>
      <c r="F83" s="30"/>
      <c r="G83" s="24"/>
      <c r="H83" s="24"/>
      <c r="I83" s="30"/>
      <c r="J83" s="30"/>
      <c r="K83" s="30"/>
      <c r="L83" s="30">
        <v>39550</v>
      </c>
      <c r="M83" s="24"/>
      <c r="N83" s="24"/>
      <c r="O83" s="24"/>
      <c r="P83" s="30">
        <v>6217</v>
      </c>
      <c r="Q83" s="30">
        <v>96</v>
      </c>
      <c r="R83" s="31">
        <v>9893</v>
      </c>
      <c r="S83" s="30">
        <v>4553</v>
      </c>
      <c r="T83" s="24"/>
      <c r="U83" s="30">
        <v>88015</v>
      </c>
      <c r="V83" s="30"/>
      <c r="W83" s="24"/>
      <c r="X83" s="30">
        <v>81034</v>
      </c>
      <c r="Y83" s="30">
        <v>119650</v>
      </c>
      <c r="Z83" s="30"/>
      <c r="AA83" s="30"/>
      <c r="AB83" s="30">
        <v>33397</v>
      </c>
      <c r="AC83" s="30"/>
      <c r="AD83" s="30"/>
      <c r="AE83" s="30">
        <v>96</v>
      </c>
      <c r="AF83" s="30"/>
      <c r="AG83" s="30">
        <v>62974</v>
      </c>
      <c r="AH83" s="30"/>
      <c r="AI83" s="30"/>
      <c r="AJ83" s="30">
        <v>13783</v>
      </c>
      <c r="AK83" s="30"/>
      <c r="AL83" s="30"/>
      <c r="AM83" s="30"/>
      <c r="AN83" s="30"/>
      <c r="AO83" s="24">
        <v>7166</v>
      </c>
      <c r="AP83" s="30"/>
      <c r="AQ83" s="24"/>
      <c r="AR83" s="24"/>
      <c r="AS83" s="24"/>
      <c r="AT83" s="24"/>
      <c r="AU83" s="30"/>
      <c r="AV83" s="30"/>
      <c r="AW83" s="30"/>
      <c r="AX83" s="30"/>
      <c r="AY83" s="30">
        <v>9465</v>
      </c>
      <c r="AZ83" s="30"/>
      <c r="BA83" s="30">
        <v>147</v>
      </c>
      <c r="BB83" s="30"/>
      <c r="BC83" s="30"/>
      <c r="BD83" s="30">
        <v>25004</v>
      </c>
      <c r="BE83" s="30">
        <v>60162</v>
      </c>
      <c r="BF83" s="30">
        <v>411</v>
      </c>
      <c r="BG83" s="30"/>
      <c r="BH83" s="31">
        <v>215604</v>
      </c>
      <c r="BI83" s="30"/>
      <c r="BJ83" s="30">
        <v>4849</v>
      </c>
      <c r="BK83" s="30">
        <v>5721</v>
      </c>
      <c r="BL83" s="30">
        <v>616</v>
      </c>
      <c r="BM83" s="30"/>
      <c r="BN83" s="30">
        <v>31063</v>
      </c>
      <c r="BO83" s="30">
        <v>205</v>
      </c>
      <c r="BP83" s="30">
        <v>70560</v>
      </c>
      <c r="BQ83" s="30"/>
      <c r="BR83" s="30">
        <v>3615</v>
      </c>
      <c r="BS83" s="30"/>
      <c r="BT83" s="30"/>
      <c r="BU83" s="30"/>
      <c r="BV83" s="30">
        <v>17596</v>
      </c>
      <c r="BW83" s="30"/>
      <c r="BX83" s="30">
        <v>28339</v>
      </c>
      <c r="BY83" s="30">
        <v>941</v>
      </c>
      <c r="BZ83" s="30"/>
      <c r="CA83" s="30"/>
      <c r="CB83" s="30"/>
      <c r="CC83" s="30"/>
      <c r="CD83" s="35">
        <v>69991</v>
      </c>
      <c r="CE83" s="32">
        <f>SUM(C83:CD83)</f>
        <v>1040460</v>
      </c>
    </row>
    <row r="84" spans="1:84" x14ac:dyDescent="0.2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>
        <v>10113</v>
      </c>
      <c r="T84" s="24"/>
      <c r="U84" s="24"/>
      <c r="V84" s="24"/>
      <c r="W84" s="24"/>
      <c r="X84" s="24"/>
      <c r="Y84" s="24"/>
      <c r="Z84" s="24"/>
      <c r="AA84" s="24"/>
      <c r="AB84" s="24">
        <v>1902</v>
      </c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>
        <v>31459</v>
      </c>
      <c r="AZ84" s="24"/>
      <c r="BA84" s="24">
        <v>1885</v>
      </c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>
        <v>11636</v>
      </c>
      <c r="BO84" s="24"/>
      <c r="BP84" s="24"/>
      <c r="BQ84" s="24"/>
      <c r="BR84" s="24"/>
      <c r="BS84" s="24"/>
      <c r="BT84" s="24"/>
      <c r="BU84" s="24"/>
      <c r="BV84" s="24">
        <v>471</v>
      </c>
      <c r="BW84" s="24"/>
      <c r="BX84" s="24"/>
      <c r="BY84" s="24">
        <v>2080</v>
      </c>
      <c r="BZ84" s="24"/>
      <c r="CA84" s="24"/>
      <c r="CB84" s="24"/>
      <c r="CC84" s="24"/>
      <c r="CD84" s="35">
        <v>43288</v>
      </c>
      <c r="CE84" s="32">
        <f t="shared" si="11"/>
        <v>102834</v>
      </c>
    </row>
    <row r="85" spans="1:84" x14ac:dyDescent="0.2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1058091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1406779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938291</v>
      </c>
      <c r="Q85" s="32">
        <f t="shared" si="12"/>
        <v>141282</v>
      </c>
      <c r="R85" s="32">
        <f t="shared" si="12"/>
        <v>583579</v>
      </c>
      <c r="S85" s="32">
        <f t="shared" si="12"/>
        <v>100081</v>
      </c>
      <c r="T85" s="32">
        <f t="shared" si="12"/>
        <v>0</v>
      </c>
      <c r="U85" s="32">
        <f t="shared" si="12"/>
        <v>1022862</v>
      </c>
      <c r="V85" s="32">
        <f t="shared" si="12"/>
        <v>0</v>
      </c>
      <c r="W85" s="32">
        <f t="shared" si="12"/>
        <v>77955</v>
      </c>
      <c r="X85" s="32">
        <f t="shared" si="12"/>
        <v>270470</v>
      </c>
      <c r="Y85" s="32">
        <f t="shared" si="12"/>
        <v>696064</v>
      </c>
      <c r="Z85" s="32">
        <f t="shared" si="12"/>
        <v>0</v>
      </c>
      <c r="AA85" s="32">
        <f t="shared" si="12"/>
        <v>0</v>
      </c>
      <c r="AB85" s="32">
        <f t="shared" si="12"/>
        <v>636846</v>
      </c>
      <c r="AC85" s="32">
        <f t="shared" si="12"/>
        <v>48476</v>
      </c>
      <c r="AD85" s="32">
        <f t="shared" si="12"/>
        <v>0</v>
      </c>
      <c r="AE85" s="32">
        <f t="shared" si="12"/>
        <v>127731</v>
      </c>
      <c r="AF85" s="32">
        <f t="shared" si="12"/>
        <v>0</v>
      </c>
      <c r="AG85" s="32">
        <f t="shared" si="12"/>
        <v>2546248</v>
      </c>
      <c r="AH85" s="32">
        <f t="shared" si="12"/>
        <v>0</v>
      </c>
      <c r="AI85" s="32">
        <f t="shared" si="12"/>
        <v>0</v>
      </c>
      <c r="AJ85" s="32">
        <f t="shared" si="12"/>
        <v>1856875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254899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291388</v>
      </c>
      <c r="AZ85" s="32">
        <f t="shared" si="12"/>
        <v>0</v>
      </c>
      <c r="BA85" s="32">
        <f t="shared" si="12"/>
        <v>67000</v>
      </c>
      <c r="BB85" s="32">
        <f t="shared" si="12"/>
        <v>0</v>
      </c>
      <c r="BC85" s="32">
        <f t="shared" si="12"/>
        <v>0</v>
      </c>
      <c r="BD85" s="32">
        <f t="shared" si="12"/>
        <v>158628</v>
      </c>
      <c r="BE85" s="32">
        <f t="shared" si="12"/>
        <v>598197</v>
      </c>
      <c r="BF85" s="32">
        <f t="shared" si="12"/>
        <v>293579</v>
      </c>
      <c r="BG85" s="32">
        <f t="shared" si="12"/>
        <v>0</v>
      </c>
      <c r="BH85" s="32">
        <f t="shared" si="12"/>
        <v>921386</v>
      </c>
      <c r="BI85" s="32">
        <f t="shared" si="12"/>
        <v>0</v>
      </c>
      <c r="BJ85" s="32">
        <f t="shared" si="12"/>
        <v>589874</v>
      </c>
      <c r="BK85" s="32">
        <f t="shared" si="12"/>
        <v>870113</v>
      </c>
      <c r="BL85" s="32">
        <f t="shared" si="12"/>
        <v>235438</v>
      </c>
      <c r="BM85" s="32">
        <f t="shared" si="12"/>
        <v>0</v>
      </c>
      <c r="BN85" s="32">
        <f t="shared" si="12"/>
        <v>713373</v>
      </c>
      <c r="BO85" s="32">
        <f t="shared" si="12"/>
        <v>8827</v>
      </c>
      <c r="BP85" s="32">
        <f t="shared" ref="BP85:CD85" si="13">SUM(BP61:BP69)-BP84</f>
        <v>180313</v>
      </c>
      <c r="BQ85" s="32">
        <f t="shared" si="13"/>
        <v>0</v>
      </c>
      <c r="BR85" s="32">
        <f t="shared" si="13"/>
        <v>253221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275912</v>
      </c>
      <c r="BW85" s="32">
        <f t="shared" si="13"/>
        <v>0</v>
      </c>
      <c r="BX85" s="32">
        <f t="shared" si="13"/>
        <v>284741</v>
      </c>
      <c r="BY85" s="32">
        <f t="shared" si="13"/>
        <v>284592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415508</v>
      </c>
      <c r="CE85" s="32">
        <f t="shared" si="11"/>
        <v>18208619</v>
      </c>
    </row>
    <row r="86" spans="1:84" x14ac:dyDescent="0.2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2674934</v>
      </c>
    </row>
    <row r="87" spans="1:84" x14ac:dyDescent="0.25">
      <c r="A87" s="26" t="s">
        <v>272</v>
      </c>
      <c r="B87" s="20"/>
      <c r="C87" s="24"/>
      <c r="D87" s="24"/>
      <c r="E87" s="24">
        <v>1302123</v>
      </c>
      <c r="F87" s="24"/>
      <c r="G87" s="24"/>
      <c r="H87" s="24"/>
      <c r="I87" s="24"/>
      <c r="J87" s="24"/>
      <c r="K87" s="24"/>
      <c r="L87" s="24">
        <v>815616</v>
      </c>
      <c r="M87" s="24"/>
      <c r="N87" s="24"/>
      <c r="O87" s="24"/>
      <c r="P87" s="24">
        <v>140610</v>
      </c>
      <c r="Q87" s="24">
        <v>-319</v>
      </c>
      <c r="R87" s="24">
        <v>68060</v>
      </c>
      <c r="S87" s="24">
        <v>430419</v>
      </c>
      <c r="T87" s="24"/>
      <c r="U87" s="24">
        <v>132308</v>
      </c>
      <c r="V87" s="24"/>
      <c r="W87" s="24">
        <v>15086</v>
      </c>
      <c r="X87" s="24">
        <v>87881</v>
      </c>
      <c r="Y87" s="24">
        <v>29271</v>
      </c>
      <c r="Z87" s="24"/>
      <c r="AA87" s="24"/>
      <c r="AB87" s="24">
        <v>483895</v>
      </c>
      <c r="AC87" s="24">
        <v>3441</v>
      </c>
      <c r="AD87" s="24"/>
      <c r="AE87" s="24">
        <v>115931</v>
      </c>
      <c r="AF87" s="24"/>
      <c r="AG87" s="24">
        <v>69762</v>
      </c>
      <c r="AH87" s="24"/>
      <c r="AI87" s="24"/>
      <c r="AJ87" s="24"/>
      <c r="AK87" s="24"/>
      <c r="AL87" s="24"/>
      <c r="AM87" s="24"/>
      <c r="AN87" s="24"/>
      <c r="AO87" s="24">
        <f>-16685</f>
        <v>-16685</v>
      </c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3677399</v>
      </c>
    </row>
    <row r="88" spans="1:84" x14ac:dyDescent="0.25">
      <c r="A88" s="26" t="s">
        <v>273</v>
      </c>
      <c r="B88" s="20"/>
      <c r="C88" s="24"/>
      <c r="D88" s="24"/>
      <c r="E88" s="24">
        <v>60314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>
        <v>1548883</v>
      </c>
      <c r="Q88" s="24">
        <v>73431</v>
      </c>
      <c r="R88" s="24">
        <v>708151</v>
      </c>
      <c r="S88" s="24">
        <v>2015748</v>
      </c>
      <c r="T88" s="24"/>
      <c r="U88" s="24">
        <v>2103505</v>
      </c>
      <c r="V88" s="24"/>
      <c r="W88" s="24">
        <v>413136</v>
      </c>
      <c r="X88" s="24">
        <v>2098574</v>
      </c>
      <c r="Y88" s="24">
        <v>3235614</v>
      </c>
      <c r="Z88" s="24"/>
      <c r="AA88" s="24"/>
      <c r="AB88" s="24">
        <v>1122464</v>
      </c>
      <c r="AC88" s="24">
        <v>151130</v>
      </c>
      <c r="AD88" s="24"/>
      <c r="AE88" s="24">
        <v>24701</v>
      </c>
      <c r="AF88" s="24"/>
      <c r="AG88" s="24">
        <v>4673385</v>
      </c>
      <c r="AH88" s="24"/>
      <c r="AI88" s="24"/>
      <c r="AJ88" s="24">
        <v>787243</v>
      </c>
      <c r="AK88" s="24"/>
      <c r="AL88" s="24"/>
      <c r="AM88" s="24"/>
      <c r="AN88" s="24"/>
      <c r="AO88" s="24">
        <v>363264</v>
      </c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19379543</v>
      </c>
    </row>
    <row r="89" spans="1:84" x14ac:dyDescent="0.2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1362437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815616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1689493</v>
      </c>
      <c r="Q89" s="32">
        <f t="shared" si="15"/>
        <v>73112</v>
      </c>
      <c r="R89" s="32">
        <f t="shared" si="15"/>
        <v>776211</v>
      </c>
      <c r="S89" s="32">
        <f t="shared" si="15"/>
        <v>2446167</v>
      </c>
      <c r="T89" s="32">
        <f t="shared" si="15"/>
        <v>0</v>
      </c>
      <c r="U89" s="32">
        <f t="shared" si="15"/>
        <v>2235813</v>
      </c>
      <c r="V89" s="32">
        <f t="shared" si="15"/>
        <v>0</v>
      </c>
      <c r="W89" s="32">
        <f t="shared" si="15"/>
        <v>428222</v>
      </c>
      <c r="X89" s="32">
        <f t="shared" si="15"/>
        <v>2186455</v>
      </c>
      <c r="Y89" s="32">
        <f t="shared" si="15"/>
        <v>3264885</v>
      </c>
      <c r="Z89" s="32">
        <f t="shared" si="15"/>
        <v>0</v>
      </c>
      <c r="AA89" s="32">
        <f t="shared" si="15"/>
        <v>0</v>
      </c>
      <c r="AB89" s="32">
        <f t="shared" si="15"/>
        <v>1606359</v>
      </c>
      <c r="AC89" s="32">
        <f t="shared" si="15"/>
        <v>154571</v>
      </c>
      <c r="AD89" s="32">
        <f t="shared" si="15"/>
        <v>0</v>
      </c>
      <c r="AE89" s="32">
        <f t="shared" si="15"/>
        <v>140632</v>
      </c>
      <c r="AF89" s="32">
        <f t="shared" si="15"/>
        <v>0</v>
      </c>
      <c r="AG89" s="32">
        <f t="shared" si="15"/>
        <v>4743147</v>
      </c>
      <c r="AH89" s="32">
        <f t="shared" si="15"/>
        <v>0</v>
      </c>
      <c r="AI89" s="32">
        <f t="shared" si="15"/>
        <v>0</v>
      </c>
      <c r="AJ89" s="32">
        <f t="shared" si="15"/>
        <v>787243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346579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23056942</v>
      </c>
    </row>
    <row r="90" spans="1:84" x14ac:dyDescent="0.25">
      <c r="A90" s="39" t="s">
        <v>275</v>
      </c>
      <c r="B90" s="32"/>
      <c r="C90" s="24"/>
      <c r="D90" s="24"/>
      <c r="E90" s="24">
        <v>3542</v>
      </c>
      <c r="F90" s="24"/>
      <c r="G90" s="24"/>
      <c r="H90" s="24"/>
      <c r="I90" s="24"/>
      <c r="J90" s="24"/>
      <c r="K90" s="24"/>
      <c r="L90" s="24">
        <v>4709</v>
      </c>
      <c r="M90" s="24"/>
      <c r="N90" s="24"/>
      <c r="O90" s="24"/>
      <c r="P90" s="24">
        <v>3603</v>
      </c>
      <c r="Q90" s="24"/>
      <c r="R90" s="24">
        <v>27</v>
      </c>
      <c r="S90" s="24">
        <v>2004</v>
      </c>
      <c r="T90" s="24"/>
      <c r="U90" s="24">
        <v>1247</v>
      </c>
      <c r="V90" s="24"/>
      <c r="W90" s="24">
        <v>51</v>
      </c>
      <c r="X90" s="24">
        <v>656</v>
      </c>
      <c r="Y90" s="24">
        <v>1952</v>
      </c>
      <c r="Z90" s="24"/>
      <c r="AA90" s="24"/>
      <c r="AB90" s="24">
        <v>1005</v>
      </c>
      <c r="AC90" s="24">
        <v>250</v>
      </c>
      <c r="AD90" s="24"/>
      <c r="AE90" s="24">
        <v>810</v>
      </c>
      <c r="AF90" s="24"/>
      <c r="AG90" s="24">
        <v>4994</v>
      </c>
      <c r="AH90" s="24"/>
      <c r="AI90" s="24"/>
      <c r="AJ90" s="24">
        <v>5955</v>
      </c>
      <c r="AK90" s="24"/>
      <c r="AL90" s="24"/>
      <c r="AM90" s="24"/>
      <c r="AN90" s="24"/>
      <c r="AO90" s="24">
        <v>853</v>
      </c>
      <c r="AP90" s="24"/>
      <c r="AQ90" s="24"/>
      <c r="AR90" s="24"/>
      <c r="AS90" s="24"/>
      <c r="AT90" s="24"/>
      <c r="AU90" s="24">
        <v>0</v>
      </c>
      <c r="AV90" s="24"/>
      <c r="AW90" s="24"/>
      <c r="AX90" s="24"/>
      <c r="AY90" s="24">
        <v>2652</v>
      </c>
      <c r="AZ90" s="24"/>
      <c r="BA90" s="24">
        <v>1565</v>
      </c>
      <c r="BB90" s="24"/>
      <c r="BC90" s="24"/>
      <c r="BD90" s="24"/>
      <c r="BE90" s="24">
        <v>5319</v>
      </c>
      <c r="BF90" s="24">
        <v>430</v>
      </c>
      <c r="BG90" s="24"/>
      <c r="BH90" s="24">
        <v>724</v>
      </c>
      <c r="BI90" s="24"/>
      <c r="BJ90" s="24"/>
      <c r="BK90" s="24">
        <v>1046</v>
      </c>
      <c r="BL90" s="24">
        <v>835</v>
      </c>
      <c r="BM90" s="24"/>
      <c r="BN90" s="24">
        <v>6987</v>
      </c>
      <c r="BO90" s="24"/>
      <c r="BP90" s="24"/>
      <c r="BQ90" s="24"/>
      <c r="BR90" s="24">
        <v>1842</v>
      </c>
      <c r="BS90" s="24"/>
      <c r="BT90" s="24"/>
      <c r="BU90" s="24"/>
      <c r="BV90" s="24">
        <v>1392</v>
      </c>
      <c r="BW90" s="24"/>
      <c r="BX90" s="24"/>
      <c r="BY90" s="24">
        <v>1206</v>
      </c>
      <c r="BZ90" s="24"/>
      <c r="CA90" s="24"/>
      <c r="CB90" s="24"/>
      <c r="CC90" s="24"/>
      <c r="CD90" s="264" t="s">
        <v>233</v>
      </c>
      <c r="CE90" s="32">
        <f t="shared" si="14"/>
        <v>55656</v>
      </c>
      <c r="CF90" s="32">
        <f>BE59-CE90</f>
        <v>1</v>
      </c>
    </row>
    <row r="91" spans="1:84" x14ac:dyDescent="0.25">
      <c r="A91" s="26" t="s">
        <v>276</v>
      </c>
      <c r="B91" s="20"/>
      <c r="C91" s="24"/>
      <c r="D91" s="24"/>
      <c r="E91" s="24">
        <v>1330</v>
      </c>
      <c r="F91" s="24"/>
      <c r="G91" s="24"/>
      <c r="H91" s="24"/>
      <c r="I91" s="24"/>
      <c r="J91" s="24"/>
      <c r="K91" s="24"/>
      <c r="L91" s="24">
        <v>1768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>
        <v>0</v>
      </c>
      <c r="X91" s="24">
        <v>0</v>
      </c>
      <c r="Y91" s="24">
        <v>0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>
        <v>320</v>
      </c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>
        <v>1745</v>
      </c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5163</v>
      </c>
      <c r="CF91" s="32">
        <f>AY59-CE91</f>
        <v>0</v>
      </c>
    </row>
    <row r="92" spans="1:84" x14ac:dyDescent="0.25">
      <c r="A92" s="26" t="s">
        <v>277</v>
      </c>
      <c r="B92" s="20"/>
      <c r="C92" s="24"/>
      <c r="D92" s="24"/>
      <c r="E92" s="24">
        <v>1113</v>
      </c>
      <c r="F92" s="24"/>
      <c r="G92" s="24"/>
      <c r="H92" s="24"/>
      <c r="I92" s="24"/>
      <c r="J92" s="24"/>
      <c r="K92" s="24"/>
      <c r="L92" s="24">
        <v>1480</v>
      </c>
      <c r="M92" s="24"/>
      <c r="N92" s="24"/>
      <c r="O92" s="24"/>
      <c r="P92" s="24">
        <v>312</v>
      </c>
      <c r="Q92" s="24">
        <v>97</v>
      </c>
      <c r="R92" s="24"/>
      <c r="S92" s="24">
        <v>484</v>
      </c>
      <c r="T92" s="24"/>
      <c r="U92" s="24">
        <v>356</v>
      </c>
      <c r="V92" s="24"/>
      <c r="W92" s="24">
        <v>17</v>
      </c>
      <c r="X92" s="24">
        <v>211</v>
      </c>
      <c r="Y92" s="24">
        <v>629</v>
      </c>
      <c r="Z92" s="24"/>
      <c r="AA92" s="24"/>
      <c r="AB92" s="24">
        <v>144</v>
      </c>
      <c r="AC92" s="24">
        <v>234</v>
      </c>
      <c r="AD92" s="24"/>
      <c r="AE92" s="24">
        <v>58</v>
      </c>
      <c r="AF92" s="24"/>
      <c r="AG92" s="24">
        <v>2516</v>
      </c>
      <c r="AH92" s="24"/>
      <c r="AI92" s="24"/>
      <c r="AJ92" s="24">
        <v>896</v>
      </c>
      <c r="AK92" s="24"/>
      <c r="AL92" s="24"/>
      <c r="AM92" s="24"/>
      <c r="AN92" s="24"/>
      <c r="AO92" s="24">
        <v>269</v>
      </c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10</v>
      </c>
      <c r="BI92" s="24"/>
      <c r="BJ92" s="29" t="s">
        <v>233</v>
      </c>
      <c r="BK92" s="24">
        <v>130</v>
      </c>
      <c r="BL92" s="24">
        <v>239</v>
      </c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>
        <v>114</v>
      </c>
      <c r="BY92" s="24">
        <v>83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9392</v>
      </c>
      <c r="CF92" s="20"/>
    </row>
    <row r="93" spans="1:84" x14ac:dyDescent="0.25">
      <c r="A93" s="26" t="s">
        <v>278</v>
      </c>
      <c r="B93" s="20"/>
      <c r="C93" s="24"/>
      <c r="D93" s="24"/>
      <c r="E93" s="24">
        <v>5460</v>
      </c>
      <c r="F93" s="24"/>
      <c r="G93" s="24"/>
      <c r="H93" s="24"/>
      <c r="I93" s="24"/>
      <c r="J93" s="24"/>
      <c r="K93" s="24"/>
      <c r="L93" s="24">
        <v>7259</v>
      </c>
      <c r="M93" s="24"/>
      <c r="N93" s="24"/>
      <c r="O93" s="24"/>
      <c r="P93" s="24">
        <v>4198</v>
      </c>
      <c r="Q93" s="24"/>
      <c r="R93" s="24"/>
      <c r="S93" s="24">
        <v>355</v>
      </c>
      <c r="T93" s="24"/>
      <c r="U93" s="24"/>
      <c r="V93" s="24"/>
      <c r="W93" s="24">
        <v>122</v>
      </c>
      <c r="X93" s="24">
        <v>1549</v>
      </c>
      <c r="Y93" s="24">
        <v>4608</v>
      </c>
      <c r="Z93" s="24"/>
      <c r="AA93" s="24"/>
      <c r="AB93" s="24"/>
      <c r="AC93" s="24"/>
      <c r="AD93" s="24"/>
      <c r="AE93" s="24"/>
      <c r="AF93" s="24"/>
      <c r="AG93" s="24">
        <v>23732</v>
      </c>
      <c r="AH93" s="24"/>
      <c r="AI93" s="24"/>
      <c r="AJ93" s="24">
        <v>169</v>
      </c>
      <c r="AK93" s="24"/>
      <c r="AL93" s="24"/>
      <c r="AM93" s="24"/>
      <c r="AN93" s="24"/>
      <c r="AO93" s="24">
        <v>1316</v>
      </c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48768</v>
      </c>
      <c r="CF93" s="32">
        <f>BA59</f>
        <v>0</v>
      </c>
    </row>
    <row r="94" spans="1:84" x14ac:dyDescent="0.25">
      <c r="A94" s="26" t="s">
        <v>279</v>
      </c>
      <c r="B94" s="20"/>
      <c r="C94" s="315"/>
      <c r="D94" s="315"/>
      <c r="E94" s="315">
        <v>5.17</v>
      </c>
      <c r="F94" s="315"/>
      <c r="G94" s="315"/>
      <c r="H94" s="315"/>
      <c r="I94" s="315"/>
      <c r="J94" s="315"/>
      <c r="K94" s="315"/>
      <c r="L94" s="315">
        <v>6.88</v>
      </c>
      <c r="M94" s="315"/>
      <c r="N94" s="315"/>
      <c r="O94" s="315"/>
      <c r="P94" s="316">
        <v>2.89</v>
      </c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>
        <v>1.02</v>
      </c>
      <c r="AC94" s="316"/>
      <c r="AD94" s="316"/>
      <c r="AE94" s="316"/>
      <c r="AF94" s="316"/>
      <c r="AG94" s="316">
        <v>4.88</v>
      </c>
      <c r="AH94" s="316"/>
      <c r="AI94" s="316"/>
      <c r="AJ94" s="316"/>
      <c r="AK94" s="316"/>
      <c r="AL94" s="316"/>
      <c r="AM94" s="316"/>
      <c r="AN94" s="316"/>
      <c r="AO94" s="316">
        <v>1.25</v>
      </c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22.09</v>
      </c>
      <c r="CF94" s="37"/>
    </row>
    <row r="95" spans="1:84" x14ac:dyDescent="0.25">
      <c r="A95" s="38" t="s">
        <v>280</v>
      </c>
      <c r="B95" s="38"/>
      <c r="C95" s="38"/>
      <c r="D95" s="38"/>
      <c r="E95" s="38"/>
    </row>
    <row r="96" spans="1:84" x14ac:dyDescent="0.25">
      <c r="A96" s="39" t="s">
        <v>281</v>
      </c>
      <c r="B96" s="40"/>
      <c r="C96" s="323" t="s">
        <v>1374</v>
      </c>
      <c r="D96" s="42"/>
      <c r="E96" s="43"/>
      <c r="F96" s="16"/>
    </row>
    <row r="97" spans="1:6" x14ac:dyDescent="0.25">
      <c r="A97" s="32" t="s">
        <v>283</v>
      </c>
      <c r="B97" s="40" t="s">
        <v>284</v>
      </c>
      <c r="C97" s="324" t="s">
        <v>1363</v>
      </c>
      <c r="D97" s="42"/>
      <c r="E97" s="43"/>
      <c r="F97" s="16"/>
    </row>
    <row r="98" spans="1:6" x14ac:dyDescent="0.25">
      <c r="A98" s="32" t="s">
        <v>285</v>
      </c>
      <c r="B98" s="40" t="s">
        <v>284</v>
      </c>
      <c r="C98" s="219" t="s">
        <v>1364</v>
      </c>
      <c r="D98" s="42"/>
      <c r="E98" s="43"/>
      <c r="F98" s="16"/>
    </row>
    <row r="99" spans="1:6" x14ac:dyDescent="0.25">
      <c r="A99" s="32" t="s">
        <v>286</v>
      </c>
      <c r="B99" s="40" t="s">
        <v>284</v>
      </c>
      <c r="C99" s="343" t="s">
        <v>1375</v>
      </c>
      <c r="D99" s="42"/>
      <c r="E99" s="43"/>
      <c r="F99" s="16"/>
    </row>
    <row r="100" spans="1:6" x14ac:dyDescent="0.2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25">
      <c r="A101" s="32" t="s">
        <v>288</v>
      </c>
      <c r="B101" s="40" t="s">
        <v>284</v>
      </c>
      <c r="C101" s="41" t="s">
        <v>1366</v>
      </c>
      <c r="D101" s="42"/>
      <c r="E101" s="43"/>
      <c r="F101" s="16"/>
    </row>
    <row r="102" spans="1:6" x14ac:dyDescent="0.25">
      <c r="A102" s="32" t="s">
        <v>289</v>
      </c>
      <c r="B102" s="40" t="s">
        <v>284</v>
      </c>
      <c r="C102" s="325">
        <v>98812</v>
      </c>
      <c r="D102" s="42"/>
      <c r="E102" s="43"/>
      <c r="F102" s="16"/>
    </row>
    <row r="103" spans="1:6" x14ac:dyDescent="0.25">
      <c r="A103" s="32" t="s">
        <v>290</v>
      </c>
      <c r="B103" s="40" t="s">
        <v>284</v>
      </c>
      <c r="C103" s="219" t="s">
        <v>1368</v>
      </c>
      <c r="D103" s="42"/>
      <c r="E103" s="43"/>
      <c r="F103" s="16"/>
    </row>
    <row r="104" spans="1:6" x14ac:dyDescent="0.25">
      <c r="A104" s="32" t="s">
        <v>291</v>
      </c>
      <c r="B104" s="40" t="s">
        <v>284</v>
      </c>
      <c r="C104" s="219" t="s">
        <v>1369</v>
      </c>
      <c r="D104" s="42"/>
      <c r="E104" s="43"/>
      <c r="F104" s="16"/>
    </row>
    <row r="105" spans="1:6" x14ac:dyDescent="0.25">
      <c r="A105" s="32" t="s">
        <v>292</v>
      </c>
      <c r="B105" s="40" t="s">
        <v>284</v>
      </c>
      <c r="C105" s="219" t="s">
        <v>1370</v>
      </c>
      <c r="D105" s="42"/>
      <c r="E105" s="43"/>
      <c r="F105" s="16"/>
    </row>
    <row r="106" spans="1:6" x14ac:dyDescent="0.25">
      <c r="A106" s="32" t="s">
        <v>293</v>
      </c>
      <c r="B106" s="40" t="s">
        <v>284</v>
      </c>
      <c r="C106" s="219" t="s">
        <v>1371</v>
      </c>
      <c r="D106" s="42"/>
      <c r="E106" s="43"/>
      <c r="F106" s="16"/>
    </row>
    <row r="107" spans="1:6" x14ac:dyDescent="0.25">
      <c r="A107" s="32" t="s">
        <v>294</v>
      </c>
      <c r="B107" s="40" t="s">
        <v>284</v>
      </c>
      <c r="C107" s="344" t="s">
        <v>1372</v>
      </c>
      <c r="D107" s="42"/>
      <c r="E107" s="43"/>
      <c r="F107" s="16"/>
    </row>
    <row r="108" spans="1:6" x14ac:dyDescent="0.25">
      <c r="A108" s="32" t="s">
        <v>295</v>
      </c>
      <c r="B108" s="40" t="s">
        <v>284</v>
      </c>
      <c r="C108" s="345" t="s">
        <v>1373</v>
      </c>
      <c r="D108" s="42"/>
      <c r="E108" s="43"/>
      <c r="F108" s="16"/>
    </row>
    <row r="109" spans="1:6" x14ac:dyDescent="0.25">
      <c r="A109" s="44" t="s">
        <v>296</v>
      </c>
      <c r="B109" s="40" t="s">
        <v>284</v>
      </c>
      <c r="C109" s="41" t="s">
        <v>1376</v>
      </c>
      <c r="D109" s="42"/>
      <c r="E109" s="43"/>
      <c r="F109" s="16"/>
    </row>
    <row r="110" spans="1:6" x14ac:dyDescent="0.25">
      <c r="A110" s="44" t="s">
        <v>297</v>
      </c>
      <c r="B110" s="40" t="s">
        <v>284</v>
      </c>
      <c r="C110" s="342" t="s">
        <v>1377</v>
      </c>
      <c r="D110" s="42"/>
      <c r="E110" s="43"/>
      <c r="F110" s="16"/>
    </row>
    <row r="111" spans="1:6" x14ac:dyDescent="0.25">
      <c r="A111" s="38" t="s">
        <v>298</v>
      </c>
      <c r="B111" s="38"/>
      <c r="C111" s="38"/>
      <c r="D111" s="38"/>
      <c r="E111" s="38"/>
    </row>
    <row r="112" spans="1:6" x14ac:dyDescent="0.25">
      <c r="A112" s="45" t="s">
        <v>299</v>
      </c>
      <c r="B112" s="45"/>
      <c r="C112" s="45"/>
      <c r="D112" s="45"/>
      <c r="E112" s="45"/>
    </row>
    <row r="113" spans="1:5" x14ac:dyDescent="0.25">
      <c r="A113" s="20" t="s">
        <v>288</v>
      </c>
      <c r="B113" s="46" t="s">
        <v>284</v>
      </c>
      <c r="C113" s="47"/>
      <c r="D113" s="20"/>
      <c r="E113" s="20"/>
    </row>
    <row r="114" spans="1:5" x14ac:dyDescent="0.25">
      <c r="A114" s="20" t="s">
        <v>290</v>
      </c>
      <c r="B114" s="46" t="s">
        <v>284</v>
      </c>
      <c r="C114" s="47"/>
      <c r="D114" s="20"/>
      <c r="E114" s="20"/>
    </row>
    <row r="115" spans="1:5" x14ac:dyDescent="0.2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25">
      <c r="A116" s="45" t="s">
        <v>301</v>
      </c>
      <c r="B116" s="45"/>
      <c r="C116" s="45"/>
      <c r="D116" s="45"/>
      <c r="E116" s="45"/>
    </row>
    <row r="117" spans="1:5" x14ac:dyDescent="0.25">
      <c r="A117" s="20" t="s">
        <v>302</v>
      </c>
      <c r="B117" s="46" t="s">
        <v>284</v>
      </c>
      <c r="C117" s="47"/>
      <c r="D117" s="20"/>
      <c r="E117" s="20"/>
    </row>
    <row r="118" spans="1:5" x14ac:dyDescent="0.25">
      <c r="A118" s="20" t="s">
        <v>144</v>
      </c>
      <c r="B118" s="46" t="s">
        <v>284</v>
      </c>
      <c r="C118" s="234"/>
      <c r="D118" s="20"/>
      <c r="E118" s="20"/>
    </row>
    <row r="119" spans="1:5" x14ac:dyDescent="0.25">
      <c r="A119" s="45" t="s">
        <v>303</v>
      </c>
      <c r="B119" s="45"/>
      <c r="C119" s="45"/>
      <c r="D119" s="45"/>
      <c r="E119" s="45"/>
    </row>
    <row r="120" spans="1:5" x14ac:dyDescent="0.25">
      <c r="A120" s="20" t="s">
        <v>304</v>
      </c>
      <c r="B120" s="46" t="s">
        <v>284</v>
      </c>
      <c r="C120" s="47"/>
      <c r="D120" s="20"/>
      <c r="E120" s="20"/>
    </row>
    <row r="121" spans="1:5" x14ac:dyDescent="0.25">
      <c r="A121" s="20" t="s">
        <v>305</v>
      </c>
      <c r="B121" s="46" t="s">
        <v>284</v>
      </c>
      <c r="C121" s="47"/>
      <c r="D121" s="20"/>
      <c r="E121" s="20"/>
    </row>
    <row r="122" spans="1:5" x14ac:dyDescent="0.25">
      <c r="A122" s="20" t="s">
        <v>306</v>
      </c>
      <c r="B122" s="46" t="s">
        <v>284</v>
      </c>
      <c r="C122" s="47"/>
      <c r="D122" s="20"/>
      <c r="E122" s="20"/>
    </row>
    <row r="123" spans="1:5" x14ac:dyDescent="0.25">
      <c r="A123" s="20"/>
      <c r="B123" s="46"/>
      <c r="C123" s="48"/>
      <c r="D123" s="20"/>
      <c r="E123" s="20"/>
    </row>
    <row r="124" spans="1:5" x14ac:dyDescent="0.25">
      <c r="A124" s="49" t="s">
        <v>307</v>
      </c>
      <c r="B124" s="38"/>
      <c r="C124" s="38"/>
      <c r="D124" s="38"/>
      <c r="E124" s="38"/>
    </row>
    <row r="125" spans="1:5" x14ac:dyDescent="0.25">
      <c r="A125" s="20"/>
      <c r="B125" s="46"/>
      <c r="C125" s="48"/>
      <c r="D125" s="20"/>
      <c r="E125" s="20"/>
    </row>
    <row r="126" spans="1:5" x14ac:dyDescent="0.2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25">
      <c r="A127" s="20" t="s">
        <v>310</v>
      </c>
      <c r="B127" s="46" t="s">
        <v>284</v>
      </c>
      <c r="C127" s="47">
        <v>111</v>
      </c>
      <c r="D127" s="50">
        <v>440</v>
      </c>
      <c r="E127" s="20"/>
    </row>
    <row r="128" spans="1:5" x14ac:dyDescent="0.25">
      <c r="A128" s="20" t="s">
        <v>311</v>
      </c>
      <c r="B128" s="46" t="s">
        <v>284</v>
      </c>
      <c r="C128" s="47">
        <v>36</v>
      </c>
      <c r="D128" s="50">
        <v>585</v>
      </c>
      <c r="E128" s="20"/>
    </row>
    <row r="129" spans="1:5" x14ac:dyDescent="0.25">
      <c r="A129" s="20" t="s">
        <v>312</v>
      </c>
      <c r="B129" s="46" t="s">
        <v>284</v>
      </c>
      <c r="C129" s="47"/>
      <c r="D129" s="50"/>
      <c r="E129" s="20"/>
    </row>
    <row r="130" spans="1:5" x14ac:dyDescent="0.25">
      <c r="A130" s="20" t="s">
        <v>313</v>
      </c>
      <c r="B130" s="46" t="s">
        <v>284</v>
      </c>
      <c r="C130" s="47"/>
      <c r="D130" s="50"/>
      <c r="E130" s="20"/>
    </row>
    <row r="131" spans="1:5" x14ac:dyDescent="0.25">
      <c r="A131" s="26" t="s">
        <v>314</v>
      </c>
      <c r="B131" s="20"/>
      <c r="C131" s="21" t="s">
        <v>179</v>
      </c>
      <c r="D131" s="20"/>
      <c r="E131" s="20"/>
    </row>
    <row r="132" spans="1:5" x14ac:dyDescent="0.25">
      <c r="A132" s="20" t="s">
        <v>315</v>
      </c>
      <c r="B132" s="46" t="s">
        <v>284</v>
      </c>
      <c r="C132" s="47">
        <v>2</v>
      </c>
      <c r="D132" s="20"/>
      <c r="E132" s="20"/>
    </row>
    <row r="133" spans="1:5" x14ac:dyDescent="0.25">
      <c r="A133" s="20" t="s">
        <v>316</v>
      </c>
      <c r="B133" s="46" t="s">
        <v>284</v>
      </c>
      <c r="C133" s="47"/>
      <c r="D133" s="20"/>
      <c r="E133" s="20"/>
    </row>
    <row r="134" spans="1:5" x14ac:dyDescent="0.25">
      <c r="A134" s="20" t="s">
        <v>317</v>
      </c>
      <c r="B134" s="46" t="s">
        <v>284</v>
      </c>
      <c r="C134" s="47">
        <v>18</v>
      </c>
      <c r="D134" s="20"/>
      <c r="E134" s="20"/>
    </row>
    <row r="135" spans="1:5" x14ac:dyDescent="0.25">
      <c r="A135" s="20" t="s">
        <v>318</v>
      </c>
      <c r="B135" s="46" t="s">
        <v>284</v>
      </c>
      <c r="C135" s="47"/>
      <c r="D135" s="20"/>
      <c r="E135" s="20"/>
    </row>
    <row r="136" spans="1:5" x14ac:dyDescent="0.25">
      <c r="A136" s="20" t="s">
        <v>319</v>
      </c>
      <c r="B136" s="46" t="s">
        <v>284</v>
      </c>
      <c r="C136" s="47"/>
      <c r="D136" s="20"/>
      <c r="E136" s="20"/>
    </row>
    <row r="137" spans="1:5" x14ac:dyDescent="0.25">
      <c r="A137" s="20" t="s">
        <v>320</v>
      </c>
      <c r="B137" s="46" t="s">
        <v>284</v>
      </c>
      <c r="C137" s="47"/>
      <c r="D137" s="20"/>
      <c r="E137" s="20"/>
    </row>
    <row r="138" spans="1:5" x14ac:dyDescent="0.25">
      <c r="A138" s="20" t="s">
        <v>108</v>
      </c>
      <c r="B138" s="46" t="s">
        <v>284</v>
      </c>
      <c r="C138" s="47"/>
      <c r="D138" s="20"/>
      <c r="E138" s="20"/>
    </row>
    <row r="139" spans="1:5" x14ac:dyDescent="0.25">
      <c r="A139" s="20" t="s">
        <v>321</v>
      </c>
      <c r="B139" s="46" t="s">
        <v>284</v>
      </c>
      <c r="C139" s="47"/>
      <c r="D139" s="20"/>
      <c r="E139" s="20"/>
    </row>
    <row r="140" spans="1:5" x14ac:dyDescent="0.25">
      <c r="A140" s="20" t="s">
        <v>322</v>
      </c>
      <c r="B140" s="46"/>
      <c r="C140" s="47">
        <v>5</v>
      </c>
      <c r="D140" s="20"/>
      <c r="E140" s="20"/>
    </row>
    <row r="141" spans="1:5" x14ac:dyDescent="0.25">
      <c r="A141" s="20" t="s">
        <v>312</v>
      </c>
      <c r="B141" s="46" t="s">
        <v>284</v>
      </c>
      <c r="C141" s="47"/>
      <c r="D141" s="20"/>
      <c r="E141" s="20"/>
    </row>
    <row r="142" spans="1:5" x14ac:dyDescent="0.25">
      <c r="A142" s="20" t="s">
        <v>323</v>
      </c>
      <c r="B142" s="46" t="s">
        <v>284</v>
      </c>
      <c r="C142" s="47"/>
      <c r="D142" s="20"/>
      <c r="E142" s="20"/>
    </row>
    <row r="143" spans="1:5" x14ac:dyDescent="0.25">
      <c r="A143" s="20" t="s">
        <v>324</v>
      </c>
      <c r="B143" s="20"/>
      <c r="C143" s="27"/>
      <c r="D143" s="20"/>
      <c r="E143" s="32">
        <f>SUM(C132:C142)</f>
        <v>25</v>
      </c>
    </row>
    <row r="144" spans="1:5" x14ac:dyDescent="0.25">
      <c r="A144" s="20" t="s">
        <v>325</v>
      </c>
      <c r="B144" s="46" t="s">
        <v>284</v>
      </c>
      <c r="C144" s="47">
        <v>25</v>
      </c>
      <c r="D144" s="20"/>
      <c r="E144" s="20"/>
    </row>
    <row r="145" spans="1:6" x14ac:dyDescent="0.25">
      <c r="A145" s="20" t="s">
        <v>326</v>
      </c>
      <c r="B145" s="46" t="s">
        <v>284</v>
      </c>
      <c r="C145" s="47">
        <v>6</v>
      </c>
      <c r="D145" s="20"/>
      <c r="E145" s="20"/>
    </row>
    <row r="146" spans="1:6" x14ac:dyDescent="0.25">
      <c r="A146" s="20"/>
      <c r="B146" s="20"/>
      <c r="C146" s="27"/>
      <c r="D146" s="20"/>
      <c r="E146" s="20"/>
    </row>
    <row r="147" spans="1:6" x14ac:dyDescent="0.25">
      <c r="A147" s="20" t="s">
        <v>327</v>
      </c>
      <c r="B147" s="46" t="s">
        <v>284</v>
      </c>
      <c r="C147" s="47"/>
      <c r="D147" s="20"/>
      <c r="E147" s="20"/>
    </row>
    <row r="148" spans="1:6" x14ac:dyDescent="0.25">
      <c r="A148" s="20"/>
      <c r="B148" s="20"/>
      <c r="C148" s="2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38" t="s">
        <v>328</v>
      </c>
      <c r="B152" s="49"/>
      <c r="C152" s="49"/>
      <c r="D152" s="49"/>
      <c r="E152" s="49"/>
    </row>
    <row r="153" spans="1:6" x14ac:dyDescent="0.2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25">
      <c r="A154" s="20" t="s">
        <v>309</v>
      </c>
      <c r="B154" s="50">
        <v>47</v>
      </c>
      <c r="C154" s="50">
        <v>30</v>
      </c>
      <c r="D154" s="50">
        <v>34</v>
      </c>
      <c r="E154" s="32">
        <f>SUM(B154:D154)</f>
        <v>111</v>
      </c>
    </row>
    <row r="155" spans="1:6" x14ac:dyDescent="0.25">
      <c r="A155" s="20" t="s">
        <v>227</v>
      </c>
      <c r="B155" s="50">
        <v>187</v>
      </c>
      <c r="C155" s="50">
        <v>120</v>
      </c>
      <c r="D155" s="50">
        <v>133</v>
      </c>
      <c r="E155" s="32">
        <f>SUM(B155:D155)</f>
        <v>440</v>
      </c>
    </row>
    <row r="156" spans="1:6" x14ac:dyDescent="0.2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25">
      <c r="A157" s="20" t="s">
        <v>272</v>
      </c>
      <c r="B157" s="50">
        <v>1216258</v>
      </c>
      <c r="C157" s="50">
        <v>780486</v>
      </c>
      <c r="D157" s="50">
        <v>865039</v>
      </c>
      <c r="E157" s="32">
        <f>SUM(B157:D157)</f>
        <v>2861783</v>
      </c>
      <c r="F157" s="18"/>
    </row>
    <row r="158" spans="1:6" x14ac:dyDescent="0.25">
      <c r="A158" s="20" t="s">
        <v>273</v>
      </c>
      <c r="B158" s="50">
        <v>7811306</v>
      </c>
      <c r="C158" s="50">
        <v>5012603</v>
      </c>
      <c r="D158" s="50">
        <v>5555635</v>
      </c>
      <c r="E158" s="32">
        <f>SUM(B158:D158)</f>
        <v>18379544</v>
      </c>
      <c r="F158" s="18"/>
    </row>
    <row r="159" spans="1:6" x14ac:dyDescent="0.2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25">
      <c r="A160" s="20" t="s">
        <v>309</v>
      </c>
      <c r="B160" s="50">
        <v>25</v>
      </c>
      <c r="C160" s="50">
        <v>5</v>
      </c>
      <c r="D160" s="50">
        <v>6</v>
      </c>
      <c r="E160" s="32">
        <f>SUM(B160:D160)</f>
        <v>36</v>
      </c>
    </row>
    <row r="161" spans="1:5" x14ac:dyDescent="0.25">
      <c r="A161" s="20" t="s">
        <v>227</v>
      </c>
      <c r="B161" s="50">
        <v>411</v>
      </c>
      <c r="C161" s="50">
        <v>78</v>
      </c>
      <c r="D161" s="50">
        <v>96</v>
      </c>
      <c r="E161" s="32">
        <f>SUM(B161:D161)</f>
        <v>585</v>
      </c>
    </row>
    <row r="162" spans="1:5" x14ac:dyDescent="0.2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25">
      <c r="A163" s="20" t="s">
        <v>272</v>
      </c>
      <c r="B163" s="50">
        <v>573023</v>
      </c>
      <c r="C163" s="50">
        <v>108749</v>
      </c>
      <c r="D163" s="50">
        <v>133845</v>
      </c>
      <c r="E163" s="32">
        <f>SUM(B163:D163)</f>
        <v>815617</v>
      </c>
    </row>
    <row r="164" spans="1:5" x14ac:dyDescent="0.2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2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2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2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25">
      <c r="A171" s="25"/>
      <c r="B171" s="25"/>
      <c r="C171" s="54"/>
      <c r="D171" s="55"/>
      <c r="E171" s="20"/>
    </row>
    <row r="172" spans="1:5" x14ac:dyDescent="0.2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25">
      <c r="A173" s="25" t="s">
        <v>338</v>
      </c>
      <c r="B173" s="50">
        <v>3072457</v>
      </c>
      <c r="C173" s="50">
        <v>971850</v>
      </c>
      <c r="D173" s="20"/>
      <c r="E173" s="20"/>
    </row>
    <row r="174" spans="1:5" x14ac:dyDescent="0.25">
      <c r="A174" s="25"/>
      <c r="B174" s="55"/>
      <c r="C174" s="54"/>
      <c r="D174" s="20"/>
      <c r="E174" s="20"/>
    </row>
    <row r="175" spans="1:5" x14ac:dyDescent="0.25">
      <c r="A175" s="25"/>
      <c r="B175" s="25"/>
      <c r="C175" s="54"/>
      <c r="D175" s="55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49" t="s">
        <v>339</v>
      </c>
      <c r="B179" s="38"/>
      <c r="C179" s="38"/>
      <c r="D179" s="38"/>
      <c r="E179" s="38"/>
    </row>
    <row r="180" spans="1:5" x14ac:dyDescent="0.25">
      <c r="A180" s="45" t="s">
        <v>340</v>
      </c>
      <c r="B180" s="45"/>
      <c r="C180" s="45"/>
      <c r="D180" s="45"/>
      <c r="E180" s="45"/>
    </row>
    <row r="181" spans="1:5" x14ac:dyDescent="0.25">
      <c r="A181" s="20" t="s">
        <v>341</v>
      </c>
      <c r="B181" s="46" t="s">
        <v>284</v>
      </c>
      <c r="C181" s="47">
        <v>491197</v>
      </c>
      <c r="D181" s="20"/>
      <c r="E181" s="20"/>
    </row>
    <row r="182" spans="1:5" x14ac:dyDescent="0.25">
      <c r="A182" s="20" t="s">
        <v>342</v>
      </c>
      <c r="B182" s="46" t="s">
        <v>284</v>
      </c>
      <c r="C182" s="47">
        <v>13195</v>
      </c>
      <c r="D182" s="20"/>
      <c r="E182" s="20"/>
    </row>
    <row r="183" spans="1:5" x14ac:dyDescent="0.25">
      <c r="A183" s="25" t="s">
        <v>343</v>
      </c>
      <c r="B183" s="46" t="s">
        <v>284</v>
      </c>
      <c r="C183" s="47">
        <v>74716</v>
      </c>
      <c r="D183" s="20"/>
      <c r="E183" s="20"/>
    </row>
    <row r="184" spans="1:5" x14ac:dyDescent="0.25">
      <c r="A184" s="20" t="s">
        <v>344</v>
      </c>
      <c r="B184" s="46" t="s">
        <v>284</v>
      </c>
      <c r="C184" s="47">
        <v>760809</v>
      </c>
      <c r="D184" s="20"/>
      <c r="E184" s="20"/>
    </row>
    <row r="185" spans="1:5" x14ac:dyDescent="0.25">
      <c r="A185" s="20" t="s">
        <v>345</v>
      </c>
      <c r="B185" s="46" t="s">
        <v>284</v>
      </c>
      <c r="C185" s="47">
        <v>15543</v>
      </c>
      <c r="D185" s="20"/>
      <c r="E185" s="20"/>
    </row>
    <row r="186" spans="1:5" x14ac:dyDescent="0.25">
      <c r="A186" s="20" t="s">
        <v>346</v>
      </c>
      <c r="B186" s="46" t="s">
        <v>284</v>
      </c>
      <c r="C186" s="47">
        <v>143787</v>
      </c>
      <c r="D186" s="20"/>
      <c r="E186" s="20"/>
    </row>
    <row r="187" spans="1:5" x14ac:dyDescent="0.25">
      <c r="A187" s="20" t="s">
        <v>347</v>
      </c>
      <c r="B187" s="46" t="s">
        <v>284</v>
      </c>
      <c r="C187" s="47">
        <v>2457</v>
      </c>
      <c r="D187" s="20"/>
      <c r="E187" s="20"/>
    </row>
    <row r="188" spans="1:5" x14ac:dyDescent="0.25">
      <c r="A188" s="20" t="s">
        <v>347</v>
      </c>
      <c r="B188" s="46" t="s">
        <v>284</v>
      </c>
      <c r="C188" s="47"/>
      <c r="D188" s="20"/>
      <c r="E188" s="20"/>
    </row>
    <row r="189" spans="1:5" x14ac:dyDescent="0.25">
      <c r="A189" s="20" t="s">
        <v>215</v>
      </c>
      <c r="B189" s="20"/>
      <c r="C189" s="27"/>
      <c r="D189" s="32">
        <f>SUM(C181:C188)</f>
        <v>1501704</v>
      </c>
      <c r="E189" s="20"/>
    </row>
    <row r="190" spans="1:5" x14ac:dyDescent="0.25">
      <c r="A190" s="45" t="s">
        <v>348</v>
      </c>
      <c r="B190" s="45"/>
      <c r="C190" s="45"/>
      <c r="D190" s="45"/>
      <c r="E190" s="45"/>
    </row>
    <row r="191" spans="1:5" x14ac:dyDescent="0.25">
      <c r="A191" s="20" t="s">
        <v>349</v>
      </c>
      <c r="B191" s="46" t="s">
        <v>284</v>
      </c>
      <c r="C191" s="47"/>
      <c r="D191" s="20"/>
      <c r="E191" s="20"/>
    </row>
    <row r="192" spans="1:5" x14ac:dyDescent="0.25">
      <c r="A192" s="20" t="s">
        <v>350</v>
      </c>
      <c r="B192" s="46" t="s">
        <v>284</v>
      </c>
      <c r="C192" s="47">
        <v>119784</v>
      </c>
      <c r="D192" s="20"/>
      <c r="E192" s="20"/>
    </row>
    <row r="193" spans="1:5" x14ac:dyDescent="0.25">
      <c r="A193" s="20" t="s">
        <v>215</v>
      </c>
      <c r="B193" s="20"/>
      <c r="C193" s="27"/>
      <c r="D193" s="32">
        <f>SUM(C191:C192)</f>
        <v>119784</v>
      </c>
      <c r="E193" s="20"/>
    </row>
    <row r="194" spans="1:5" x14ac:dyDescent="0.25">
      <c r="A194" s="45" t="s">
        <v>351</v>
      </c>
      <c r="B194" s="45"/>
      <c r="C194" s="45"/>
      <c r="D194" s="45"/>
      <c r="E194" s="45"/>
    </row>
    <row r="195" spans="1:5" x14ac:dyDescent="0.25">
      <c r="A195" s="20" t="s">
        <v>352</v>
      </c>
      <c r="B195" s="46" t="s">
        <v>284</v>
      </c>
      <c r="C195" s="47">
        <v>170981</v>
      </c>
      <c r="D195" s="20"/>
      <c r="E195" s="20"/>
    </row>
    <row r="196" spans="1:5" x14ac:dyDescent="0.25">
      <c r="A196" s="20" t="s">
        <v>353</v>
      </c>
      <c r="B196" s="46" t="s">
        <v>284</v>
      </c>
      <c r="C196" s="47">
        <v>82627</v>
      </c>
      <c r="D196" s="20"/>
      <c r="E196" s="20"/>
    </row>
    <row r="197" spans="1:5" x14ac:dyDescent="0.25">
      <c r="A197" s="20" t="s">
        <v>215</v>
      </c>
      <c r="B197" s="20"/>
      <c r="C197" s="27"/>
      <c r="D197" s="32">
        <f>SUM(C195:C196)</f>
        <v>253608</v>
      </c>
      <c r="E197" s="20"/>
    </row>
    <row r="198" spans="1:5" x14ac:dyDescent="0.25">
      <c r="A198" s="45" t="s">
        <v>354</v>
      </c>
      <c r="B198" s="45"/>
      <c r="C198" s="45"/>
      <c r="D198" s="45"/>
      <c r="E198" s="45"/>
    </row>
    <row r="199" spans="1:5" x14ac:dyDescent="0.25">
      <c r="A199" s="20" t="s">
        <v>355</v>
      </c>
      <c r="B199" s="46" t="s">
        <v>284</v>
      </c>
      <c r="C199" s="47">
        <v>135197</v>
      </c>
      <c r="D199" s="20"/>
      <c r="E199" s="20"/>
    </row>
    <row r="200" spans="1:5" x14ac:dyDescent="0.25">
      <c r="A200" s="20" t="s">
        <v>356</v>
      </c>
      <c r="B200" s="46" t="s">
        <v>284</v>
      </c>
      <c r="C200" s="47"/>
      <c r="D200" s="20"/>
      <c r="E200" s="20"/>
    </row>
    <row r="201" spans="1:5" x14ac:dyDescent="0.25">
      <c r="A201" s="20" t="s">
        <v>144</v>
      </c>
      <c r="B201" s="46" t="s">
        <v>284</v>
      </c>
      <c r="C201" s="47"/>
      <c r="D201" s="20"/>
      <c r="E201" s="20"/>
    </row>
    <row r="202" spans="1:5" x14ac:dyDescent="0.25">
      <c r="A202" s="20" t="s">
        <v>215</v>
      </c>
      <c r="B202" s="20"/>
      <c r="C202" s="27"/>
      <c r="D202" s="32">
        <f>SUM(C199:C201)</f>
        <v>135197</v>
      </c>
      <c r="E202" s="20"/>
    </row>
    <row r="203" spans="1:5" x14ac:dyDescent="0.25">
      <c r="A203" s="45" t="s">
        <v>357</v>
      </c>
      <c r="B203" s="45"/>
      <c r="C203" s="45"/>
      <c r="D203" s="45"/>
      <c r="E203" s="45"/>
    </row>
    <row r="204" spans="1:5" x14ac:dyDescent="0.25">
      <c r="A204" s="20" t="s">
        <v>358</v>
      </c>
      <c r="B204" s="46" t="s">
        <v>284</v>
      </c>
      <c r="C204" s="47"/>
      <c r="D204" s="20"/>
      <c r="E204" s="20"/>
    </row>
    <row r="205" spans="1:5" x14ac:dyDescent="0.25">
      <c r="A205" s="20" t="s">
        <v>359</v>
      </c>
      <c r="B205" s="46" t="s">
        <v>284</v>
      </c>
      <c r="C205" s="47">
        <v>69991</v>
      </c>
      <c r="D205" s="20"/>
      <c r="E205" s="20"/>
    </row>
    <row r="206" spans="1:5" x14ac:dyDescent="0.25">
      <c r="A206" s="20" t="s">
        <v>215</v>
      </c>
      <c r="B206" s="20"/>
      <c r="C206" s="27"/>
      <c r="D206" s="32">
        <f>SUM(C204:C205)</f>
        <v>69991</v>
      </c>
      <c r="E206" s="20"/>
    </row>
    <row r="207" spans="1:5" x14ac:dyDescent="0.25">
      <c r="A207" s="20"/>
      <c r="B207" s="20"/>
      <c r="C207" s="27"/>
      <c r="D207" s="20"/>
      <c r="E207" s="20"/>
    </row>
    <row r="208" spans="1:5" x14ac:dyDescent="0.25">
      <c r="A208" s="38" t="s">
        <v>360</v>
      </c>
      <c r="B208" s="38"/>
      <c r="C208" s="38"/>
      <c r="D208" s="38"/>
      <c r="E208" s="38"/>
    </row>
    <row r="209" spans="1:5" x14ac:dyDescent="0.25">
      <c r="A209" s="49" t="s">
        <v>361</v>
      </c>
      <c r="B209" s="38"/>
      <c r="C209" s="38"/>
      <c r="D209" s="38"/>
      <c r="E209" s="38"/>
    </row>
    <row r="210" spans="1:5" x14ac:dyDescent="0.2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25">
      <c r="A211" s="20" t="s">
        <v>366</v>
      </c>
      <c r="B211" s="50">
        <v>10750</v>
      </c>
      <c r="C211" s="47"/>
      <c r="D211" s="50"/>
      <c r="E211" s="32">
        <f t="shared" ref="E211:E219" si="16">SUM(B211:C211)-D211</f>
        <v>10750</v>
      </c>
    </row>
    <row r="212" spans="1:5" x14ac:dyDescent="0.25">
      <c r="A212" s="20" t="s">
        <v>367</v>
      </c>
      <c r="B212" s="50">
        <v>282766</v>
      </c>
      <c r="C212" s="47">
        <v>10182</v>
      </c>
      <c r="D212" s="50"/>
      <c r="E212" s="32">
        <f t="shared" si="16"/>
        <v>292948</v>
      </c>
    </row>
    <row r="213" spans="1:5" x14ac:dyDescent="0.25">
      <c r="A213" s="20" t="s">
        <v>368</v>
      </c>
      <c r="B213" s="50">
        <v>3790436</v>
      </c>
      <c r="C213" s="47"/>
      <c r="D213" s="50"/>
      <c r="E213" s="32">
        <f t="shared" si="16"/>
        <v>3790436</v>
      </c>
    </row>
    <row r="214" spans="1:5" x14ac:dyDescent="0.25">
      <c r="A214" s="20" t="s">
        <v>369</v>
      </c>
      <c r="B214" s="50">
        <v>0</v>
      </c>
      <c r="C214" s="47"/>
      <c r="D214" s="50"/>
      <c r="E214" s="32">
        <f t="shared" si="16"/>
        <v>0</v>
      </c>
    </row>
    <row r="215" spans="1:5" x14ac:dyDescent="0.25">
      <c r="A215" s="20" t="s">
        <v>370</v>
      </c>
      <c r="B215" s="50">
        <v>1660986</v>
      </c>
      <c r="C215" s="47"/>
      <c r="D215" s="50"/>
      <c r="E215" s="32">
        <f t="shared" si="16"/>
        <v>1660986</v>
      </c>
    </row>
    <row r="216" spans="1:5" x14ac:dyDescent="0.25">
      <c r="A216" s="20" t="s">
        <v>371</v>
      </c>
      <c r="B216" s="50">
        <v>6151770</v>
      </c>
      <c r="C216" s="47">
        <v>439817</v>
      </c>
      <c r="D216" s="50">
        <v>5442</v>
      </c>
      <c r="E216" s="32">
        <f t="shared" si="16"/>
        <v>6586145</v>
      </c>
    </row>
    <row r="217" spans="1:5" x14ac:dyDescent="0.25">
      <c r="A217" s="20" t="s">
        <v>372</v>
      </c>
      <c r="B217" s="50">
        <v>0</v>
      </c>
      <c r="C217" s="47"/>
      <c r="D217" s="50"/>
      <c r="E217" s="32">
        <f t="shared" si="16"/>
        <v>0</v>
      </c>
    </row>
    <row r="218" spans="1:5" x14ac:dyDescent="0.25">
      <c r="A218" s="20" t="s">
        <v>373</v>
      </c>
      <c r="B218" s="50">
        <v>0</v>
      </c>
      <c r="C218" s="47"/>
      <c r="D218" s="50"/>
      <c r="E218" s="32">
        <f t="shared" si="16"/>
        <v>0</v>
      </c>
    </row>
    <row r="219" spans="1:5" x14ac:dyDescent="0.25">
      <c r="A219" s="20" t="s">
        <v>374</v>
      </c>
      <c r="B219" s="50">
        <v>29795</v>
      </c>
      <c r="C219" s="47">
        <v>81829</v>
      </c>
      <c r="D219" s="50"/>
      <c r="E219" s="32">
        <f t="shared" si="16"/>
        <v>111624</v>
      </c>
    </row>
    <row r="220" spans="1:5" x14ac:dyDescent="0.25">
      <c r="A220" s="20" t="s">
        <v>215</v>
      </c>
      <c r="B220" s="32">
        <f>SUM(B211:B219)</f>
        <v>11926503</v>
      </c>
      <c r="C220" s="266">
        <f>SUM(C211:C219)</f>
        <v>531828</v>
      </c>
      <c r="D220" s="32">
        <f>SUM(D211:D219)</f>
        <v>5442</v>
      </c>
      <c r="E220" s="32">
        <f>SUM(E211:E219)</f>
        <v>12452889</v>
      </c>
    </row>
    <row r="221" spans="1:5" x14ac:dyDescent="0.25">
      <c r="A221" s="20"/>
      <c r="B221" s="20"/>
      <c r="C221" s="27"/>
      <c r="D221" s="20"/>
      <c r="E221" s="20"/>
    </row>
    <row r="222" spans="1:5" x14ac:dyDescent="0.25">
      <c r="A222" s="49" t="s">
        <v>375</v>
      </c>
      <c r="B222" s="49"/>
      <c r="C222" s="49"/>
      <c r="D222" s="49"/>
      <c r="E222" s="49"/>
    </row>
    <row r="223" spans="1:5" x14ac:dyDescent="0.2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25">
      <c r="A224" s="20" t="s">
        <v>366</v>
      </c>
      <c r="B224" s="55"/>
      <c r="C224" s="54"/>
      <c r="D224" s="55"/>
      <c r="E224" s="20"/>
    </row>
    <row r="225" spans="1:5" x14ac:dyDescent="0.25">
      <c r="A225" s="20" t="s">
        <v>367</v>
      </c>
      <c r="B225" s="50">
        <v>272794</v>
      </c>
      <c r="C225" s="47">
        <v>2629</v>
      </c>
      <c r="D225" s="50"/>
      <c r="E225" s="32">
        <f t="shared" ref="E225:E232" si="17">SUM(B225:C225)-D225</f>
        <v>275423</v>
      </c>
    </row>
    <row r="226" spans="1:5" x14ac:dyDescent="0.25">
      <c r="A226" s="20" t="s">
        <v>368</v>
      </c>
      <c r="B226" s="50">
        <v>3551730</v>
      </c>
      <c r="C226" s="47">
        <v>97327</v>
      </c>
      <c r="D226" s="50"/>
      <c r="E226" s="32">
        <f t="shared" si="17"/>
        <v>3649057</v>
      </c>
    </row>
    <row r="227" spans="1:5" x14ac:dyDescent="0.25">
      <c r="A227" s="20" t="s">
        <v>369</v>
      </c>
      <c r="B227" s="50">
        <v>0</v>
      </c>
      <c r="C227" s="47"/>
      <c r="D227" s="50"/>
      <c r="E227" s="32">
        <f t="shared" si="17"/>
        <v>0</v>
      </c>
    </row>
    <row r="228" spans="1:5" x14ac:dyDescent="0.25">
      <c r="A228" s="20" t="s">
        <v>370</v>
      </c>
      <c r="B228" s="50">
        <v>1322098</v>
      </c>
      <c r="C228" s="47">
        <v>27811</v>
      </c>
      <c r="D228" s="50"/>
      <c r="E228" s="32">
        <f t="shared" si="17"/>
        <v>1349909</v>
      </c>
    </row>
    <row r="229" spans="1:5" x14ac:dyDescent="0.25">
      <c r="A229" s="20" t="s">
        <v>371</v>
      </c>
      <c r="B229" s="50">
        <v>4182851</v>
      </c>
      <c r="C229" s="47">
        <v>505555</v>
      </c>
      <c r="D229" s="50">
        <v>5443</v>
      </c>
      <c r="E229" s="32">
        <f t="shared" si="17"/>
        <v>4682963</v>
      </c>
    </row>
    <row r="230" spans="1:5" x14ac:dyDescent="0.25">
      <c r="A230" s="20" t="s">
        <v>372</v>
      </c>
      <c r="B230" s="50">
        <v>0</v>
      </c>
      <c r="C230" s="47"/>
      <c r="D230" s="50"/>
      <c r="E230" s="32">
        <f t="shared" si="17"/>
        <v>0</v>
      </c>
    </row>
    <row r="231" spans="1:5" x14ac:dyDescent="0.25">
      <c r="A231" s="20" t="s">
        <v>373</v>
      </c>
      <c r="B231" s="50">
        <v>0</v>
      </c>
      <c r="C231" s="47"/>
      <c r="D231" s="50"/>
      <c r="E231" s="32">
        <f t="shared" si="17"/>
        <v>0</v>
      </c>
    </row>
    <row r="232" spans="1:5" x14ac:dyDescent="0.25">
      <c r="A232" s="20" t="s">
        <v>374</v>
      </c>
      <c r="B232" s="50">
        <v>0</v>
      </c>
      <c r="C232" s="47"/>
      <c r="D232" s="50"/>
      <c r="E232" s="32">
        <f t="shared" si="17"/>
        <v>0</v>
      </c>
    </row>
    <row r="233" spans="1:5" x14ac:dyDescent="0.25">
      <c r="A233" s="20" t="s">
        <v>215</v>
      </c>
      <c r="B233" s="32">
        <f>SUM(B224:B232)</f>
        <v>9329473</v>
      </c>
      <c r="C233" s="266">
        <f>SUM(C224:C232)</f>
        <v>633322</v>
      </c>
      <c r="D233" s="32">
        <f>SUM(D224:D232)</f>
        <v>5443</v>
      </c>
      <c r="E233" s="32">
        <f>SUM(E224:E232)</f>
        <v>9957352</v>
      </c>
    </row>
    <row r="234" spans="1:5" x14ac:dyDescent="0.25">
      <c r="A234" s="20"/>
      <c r="B234" s="20"/>
      <c r="C234" s="27"/>
      <c r="D234" s="20"/>
      <c r="E234" s="20"/>
    </row>
    <row r="235" spans="1:5" x14ac:dyDescent="0.25">
      <c r="A235" s="38" t="s">
        <v>376</v>
      </c>
      <c r="B235" s="38"/>
      <c r="C235" s="38"/>
      <c r="D235" s="38"/>
      <c r="E235" s="38"/>
    </row>
    <row r="236" spans="1:5" x14ac:dyDescent="0.25">
      <c r="A236" s="38"/>
      <c r="B236" s="347" t="s">
        <v>377</v>
      </c>
      <c r="C236" s="347"/>
      <c r="D236" s="38"/>
      <c r="E236" s="38"/>
    </row>
    <row r="237" spans="1:5" x14ac:dyDescent="0.25">
      <c r="A237" s="56" t="s">
        <v>377</v>
      </c>
      <c r="B237" s="38"/>
      <c r="C237" s="47">
        <v>788596</v>
      </c>
      <c r="D237" s="40">
        <f>C237</f>
        <v>788596</v>
      </c>
      <c r="E237" s="38"/>
    </row>
    <row r="238" spans="1:5" x14ac:dyDescent="0.25">
      <c r="A238" s="45" t="s">
        <v>378</v>
      </c>
      <c r="B238" s="45"/>
      <c r="C238" s="45"/>
      <c r="D238" s="45"/>
      <c r="E238" s="45"/>
    </row>
    <row r="239" spans="1:5" x14ac:dyDescent="0.25">
      <c r="A239" s="20" t="s">
        <v>379</v>
      </c>
      <c r="B239" s="46" t="s">
        <v>284</v>
      </c>
      <c r="C239" s="47">
        <v>1119943</v>
      </c>
      <c r="D239" s="20"/>
      <c r="E239" s="20"/>
    </row>
    <row r="240" spans="1:5" x14ac:dyDescent="0.25">
      <c r="A240" s="20" t="s">
        <v>380</v>
      </c>
      <c r="B240" s="46" t="s">
        <v>284</v>
      </c>
      <c r="C240" s="47">
        <v>1969874</v>
      </c>
      <c r="D240" s="20"/>
      <c r="E240" s="20"/>
    </row>
    <row r="241" spans="1:5" x14ac:dyDescent="0.25">
      <c r="A241" s="20" t="s">
        <v>381</v>
      </c>
      <c r="B241" s="46" t="s">
        <v>284</v>
      </c>
      <c r="C241" s="47">
        <v>734514</v>
      </c>
      <c r="D241" s="20"/>
      <c r="E241" s="20"/>
    </row>
    <row r="242" spans="1:5" x14ac:dyDescent="0.25">
      <c r="A242" s="20" t="s">
        <v>382</v>
      </c>
      <c r="B242" s="46" t="s">
        <v>284</v>
      </c>
      <c r="C242" s="47"/>
      <c r="D242" s="20"/>
      <c r="E242" s="20"/>
    </row>
    <row r="243" spans="1:5" x14ac:dyDescent="0.25">
      <c r="A243" s="20" t="s">
        <v>383</v>
      </c>
      <c r="B243" s="46" t="s">
        <v>284</v>
      </c>
      <c r="C243" s="47"/>
      <c r="D243" s="20"/>
      <c r="E243" s="20"/>
    </row>
    <row r="244" spans="1:5" x14ac:dyDescent="0.25">
      <c r="A244" s="20" t="s">
        <v>384</v>
      </c>
      <c r="B244" s="46" t="s">
        <v>284</v>
      </c>
      <c r="C244" s="47">
        <v>2325041</v>
      </c>
      <c r="D244" s="20"/>
      <c r="E244" s="20"/>
    </row>
    <row r="245" spans="1:5" x14ac:dyDescent="0.25">
      <c r="A245" s="20" t="s">
        <v>385</v>
      </c>
      <c r="B245" s="20"/>
      <c r="C245" s="27"/>
      <c r="D245" s="32">
        <f>SUM(C239:C244)</f>
        <v>6149372</v>
      </c>
      <c r="E245" s="20"/>
    </row>
    <row r="246" spans="1:5" x14ac:dyDescent="0.25">
      <c r="A246" s="45" t="s">
        <v>386</v>
      </c>
      <c r="B246" s="45"/>
      <c r="C246" s="45"/>
      <c r="D246" s="45"/>
      <c r="E246" s="45"/>
    </row>
    <row r="247" spans="1:5" x14ac:dyDescent="0.25">
      <c r="A247" s="26" t="s">
        <v>387</v>
      </c>
      <c r="B247" s="46" t="s">
        <v>284</v>
      </c>
      <c r="C247" s="47">
        <v>268</v>
      </c>
      <c r="D247" s="20"/>
      <c r="E247" s="20"/>
    </row>
    <row r="248" spans="1:5" x14ac:dyDescent="0.25">
      <c r="A248" s="26"/>
      <c r="B248" s="46"/>
      <c r="C248" s="27"/>
      <c r="D248" s="20"/>
      <c r="E248" s="20"/>
    </row>
    <row r="249" spans="1:5" x14ac:dyDescent="0.25">
      <c r="A249" s="26" t="s">
        <v>388</v>
      </c>
      <c r="B249" s="46" t="s">
        <v>284</v>
      </c>
      <c r="C249" s="47">
        <v>250297</v>
      </c>
      <c r="D249" s="20"/>
      <c r="E249" s="20"/>
    </row>
    <row r="250" spans="1:5" x14ac:dyDescent="0.25">
      <c r="A250" s="26" t="s">
        <v>389</v>
      </c>
      <c r="B250" s="46" t="s">
        <v>284</v>
      </c>
      <c r="C250" s="47">
        <v>138113</v>
      </c>
      <c r="D250" s="20"/>
      <c r="E250" s="20"/>
    </row>
    <row r="251" spans="1:5" x14ac:dyDescent="0.25">
      <c r="A251" s="20"/>
      <c r="B251" s="20"/>
      <c r="C251" s="27"/>
      <c r="D251" s="20"/>
      <c r="E251" s="20"/>
    </row>
    <row r="252" spans="1:5" x14ac:dyDescent="0.25">
      <c r="A252" s="26" t="s">
        <v>390</v>
      </c>
      <c r="B252" s="20"/>
      <c r="C252" s="27"/>
      <c r="D252" s="32">
        <f>SUM(C249:C251)</f>
        <v>388410</v>
      </c>
      <c r="E252" s="20"/>
    </row>
    <row r="253" spans="1:5" x14ac:dyDescent="0.25">
      <c r="A253" s="45" t="s">
        <v>391</v>
      </c>
      <c r="B253" s="45"/>
      <c r="C253" s="45"/>
      <c r="D253" s="45"/>
      <c r="E253" s="45"/>
    </row>
    <row r="254" spans="1:5" x14ac:dyDescent="0.25">
      <c r="A254" s="20" t="s">
        <v>392</v>
      </c>
      <c r="B254" s="46" t="s">
        <v>284</v>
      </c>
      <c r="C254" s="47">
        <v>17916</v>
      </c>
      <c r="D254" s="20"/>
      <c r="E254" s="20"/>
    </row>
    <row r="255" spans="1:5" x14ac:dyDescent="0.25">
      <c r="A255" s="20" t="s">
        <v>391</v>
      </c>
      <c r="B255" s="46" t="s">
        <v>284</v>
      </c>
      <c r="C255" s="47"/>
      <c r="D255" s="20"/>
      <c r="E255" s="20"/>
    </row>
    <row r="256" spans="1:5" x14ac:dyDescent="0.25">
      <c r="A256" s="20" t="s">
        <v>393</v>
      </c>
      <c r="B256" s="20"/>
      <c r="C256" s="27"/>
      <c r="D256" s="32">
        <f>SUM(C254:C255)</f>
        <v>17916</v>
      </c>
      <c r="E256" s="20"/>
    </row>
    <row r="257" spans="1:5" x14ac:dyDescent="0.25">
      <c r="A257" s="20"/>
      <c r="B257" s="20"/>
      <c r="C257" s="27"/>
      <c r="D257" s="20"/>
      <c r="E257" s="20"/>
    </row>
    <row r="258" spans="1:5" x14ac:dyDescent="0.25">
      <c r="A258" s="20" t="s">
        <v>394</v>
      </c>
      <c r="B258" s="20"/>
      <c r="C258" s="27"/>
      <c r="D258" s="32">
        <f>D237+D245+D252+D256</f>
        <v>7344294</v>
      </c>
      <c r="E258" s="20"/>
    </row>
    <row r="259" spans="1:5" x14ac:dyDescent="0.25">
      <c r="A259" s="20"/>
      <c r="B259" s="20"/>
      <c r="C259" s="27"/>
      <c r="D259" s="20"/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38" t="s">
        <v>395</v>
      </c>
      <c r="B264" s="38"/>
      <c r="C264" s="38"/>
      <c r="D264" s="38"/>
      <c r="E264" s="38"/>
    </row>
    <row r="265" spans="1:5" x14ac:dyDescent="0.25">
      <c r="A265" s="45" t="s">
        <v>396</v>
      </c>
      <c r="B265" s="45"/>
      <c r="C265" s="45"/>
      <c r="D265" s="45"/>
      <c r="E265" s="45"/>
    </row>
    <row r="266" spans="1:5" x14ac:dyDescent="0.25">
      <c r="A266" s="20" t="s">
        <v>397</v>
      </c>
      <c r="B266" s="46" t="s">
        <v>284</v>
      </c>
      <c r="C266" s="47">
        <v>5031081</v>
      </c>
      <c r="D266" s="20"/>
      <c r="E266" s="20"/>
    </row>
    <row r="267" spans="1:5" x14ac:dyDescent="0.25">
      <c r="A267" s="20" t="s">
        <v>398</v>
      </c>
      <c r="B267" s="46" t="s">
        <v>284</v>
      </c>
      <c r="C267" s="47"/>
      <c r="D267" s="20"/>
      <c r="E267" s="20"/>
    </row>
    <row r="268" spans="1:5" x14ac:dyDescent="0.25">
      <c r="A268" s="20" t="s">
        <v>399</v>
      </c>
      <c r="B268" s="46" t="s">
        <v>284</v>
      </c>
      <c r="C268" s="47">
        <v>7310255</v>
      </c>
      <c r="D268" s="20"/>
      <c r="E268" s="20"/>
    </row>
    <row r="269" spans="1:5" x14ac:dyDescent="0.25">
      <c r="A269" s="20" t="s">
        <v>400</v>
      </c>
      <c r="B269" s="46" t="s">
        <v>284</v>
      </c>
      <c r="C269" s="47">
        <v>3377000</v>
      </c>
      <c r="D269" s="20"/>
      <c r="E269" s="20"/>
    </row>
    <row r="270" spans="1:5" x14ac:dyDescent="0.25">
      <c r="A270" s="20" t="s">
        <v>401</v>
      </c>
      <c r="B270" s="46" t="s">
        <v>284</v>
      </c>
      <c r="C270" s="47"/>
      <c r="D270" s="20"/>
      <c r="E270" s="20"/>
    </row>
    <row r="271" spans="1:5" x14ac:dyDescent="0.25">
      <c r="A271" s="20" t="s">
        <v>402</v>
      </c>
      <c r="B271" s="46" t="s">
        <v>284</v>
      </c>
      <c r="C271" s="47">
        <v>132531</v>
      </c>
      <c r="D271" s="20"/>
      <c r="E271" s="20"/>
    </row>
    <row r="272" spans="1:5" x14ac:dyDescent="0.25">
      <c r="A272" s="20" t="s">
        <v>403</v>
      </c>
      <c r="B272" s="46" t="s">
        <v>284</v>
      </c>
      <c r="C272" s="47"/>
      <c r="D272" s="20"/>
      <c r="E272" s="20"/>
    </row>
    <row r="273" spans="1:5" x14ac:dyDescent="0.25">
      <c r="A273" s="20" t="s">
        <v>404</v>
      </c>
      <c r="B273" s="46" t="s">
        <v>284</v>
      </c>
      <c r="C273" s="47">
        <v>243206</v>
      </c>
      <c r="D273" s="20"/>
      <c r="E273" s="20"/>
    </row>
    <row r="274" spans="1:5" x14ac:dyDescent="0.25">
      <c r="A274" s="20" t="s">
        <v>405</v>
      </c>
      <c r="B274" s="46" t="s">
        <v>284</v>
      </c>
      <c r="C274" s="47">
        <v>263050</v>
      </c>
      <c r="D274" s="20"/>
      <c r="E274" s="20"/>
    </row>
    <row r="275" spans="1:5" x14ac:dyDescent="0.25">
      <c r="A275" s="20" t="s">
        <v>406</v>
      </c>
      <c r="B275" s="46" t="s">
        <v>284</v>
      </c>
      <c r="C275" s="47"/>
      <c r="D275" s="20"/>
      <c r="E275" s="20"/>
    </row>
    <row r="276" spans="1:5" x14ac:dyDescent="0.25">
      <c r="A276" s="20" t="s">
        <v>407</v>
      </c>
      <c r="B276" s="20"/>
      <c r="C276" s="27"/>
      <c r="D276" s="32">
        <f>SUM(C266:C268)-C269+SUM(C270:C275)</f>
        <v>9603123</v>
      </c>
      <c r="E276" s="20"/>
    </row>
    <row r="277" spans="1:5" x14ac:dyDescent="0.25">
      <c r="A277" s="45" t="s">
        <v>408</v>
      </c>
      <c r="B277" s="45"/>
      <c r="C277" s="45"/>
      <c r="D277" s="45"/>
      <c r="E277" s="45"/>
    </row>
    <row r="278" spans="1:5" x14ac:dyDescent="0.25">
      <c r="A278" s="20" t="s">
        <v>397</v>
      </c>
      <c r="B278" s="46" t="s">
        <v>284</v>
      </c>
      <c r="C278" s="47"/>
      <c r="D278" s="20"/>
      <c r="E278" s="20"/>
    </row>
    <row r="279" spans="1:5" x14ac:dyDescent="0.25">
      <c r="A279" s="20" t="s">
        <v>398</v>
      </c>
      <c r="B279" s="46" t="s">
        <v>284</v>
      </c>
      <c r="C279" s="47"/>
      <c r="D279" s="20"/>
      <c r="E279" s="20"/>
    </row>
    <row r="280" spans="1:5" x14ac:dyDescent="0.25">
      <c r="A280" s="20" t="s">
        <v>409</v>
      </c>
      <c r="B280" s="46" t="s">
        <v>284</v>
      </c>
      <c r="C280" s="47"/>
      <c r="D280" s="20"/>
      <c r="E280" s="20"/>
    </row>
    <row r="281" spans="1:5" x14ac:dyDescent="0.2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25">
      <c r="A282" s="45" t="s">
        <v>411</v>
      </c>
      <c r="B282" s="45"/>
      <c r="C282" s="45"/>
      <c r="D282" s="45"/>
      <c r="E282" s="45"/>
    </row>
    <row r="283" spans="1:5" x14ac:dyDescent="0.25">
      <c r="A283" s="20" t="s">
        <v>366</v>
      </c>
      <c r="B283" s="46" t="s">
        <v>284</v>
      </c>
      <c r="C283" s="47">
        <v>10750</v>
      </c>
      <c r="D283" s="20"/>
      <c r="E283" s="20"/>
    </row>
    <row r="284" spans="1:5" x14ac:dyDescent="0.25">
      <c r="A284" s="20" t="s">
        <v>367</v>
      </c>
      <c r="B284" s="46" t="s">
        <v>284</v>
      </c>
      <c r="C284" s="47">
        <v>292948</v>
      </c>
      <c r="D284" s="20"/>
      <c r="E284" s="20"/>
    </row>
    <row r="285" spans="1:5" x14ac:dyDescent="0.25">
      <c r="A285" s="20" t="s">
        <v>368</v>
      </c>
      <c r="B285" s="46" t="s">
        <v>284</v>
      </c>
      <c r="C285" s="47">
        <v>3790436</v>
      </c>
      <c r="D285" s="20"/>
      <c r="E285" s="20"/>
    </row>
    <row r="286" spans="1:5" x14ac:dyDescent="0.25">
      <c r="A286" s="20" t="s">
        <v>412</v>
      </c>
      <c r="B286" s="46" t="s">
        <v>284</v>
      </c>
      <c r="C286" s="47"/>
      <c r="D286" s="20"/>
      <c r="E286" s="20"/>
    </row>
    <row r="287" spans="1:5" x14ac:dyDescent="0.25">
      <c r="A287" s="20" t="s">
        <v>413</v>
      </c>
      <c r="B287" s="46" t="s">
        <v>284</v>
      </c>
      <c r="C287" s="47">
        <v>1660986</v>
      </c>
      <c r="D287" s="20"/>
      <c r="E287" s="20"/>
    </row>
    <row r="288" spans="1:5" x14ac:dyDescent="0.25">
      <c r="A288" s="20" t="s">
        <v>414</v>
      </c>
      <c r="B288" s="46" t="s">
        <v>284</v>
      </c>
      <c r="C288" s="47">
        <v>6586145</v>
      </c>
      <c r="D288" s="20"/>
      <c r="E288" s="20"/>
    </row>
    <row r="289" spans="1:5" x14ac:dyDescent="0.25">
      <c r="A289" s="20" t="s">
        <v>373</v>
      </c>
      <c r="B289" s="46" t="s">
        <v>284</v>
      </c>
      <c r="C289" s="47"/>
      <c r="D289" s="20"/>
      <c r="E289" s="20"/>
    </row>
    <row r="290" spans="1:5" x14ac:dyDescent="0.25">
      <c r="A290" s="20" t="s">
        <v>374</v>
      </c>
      <c r="B290" s="46" t="s">
        <v>284</v>
      </c>
      <c r="C290" s="47">
        <v>111624</v>
      </c>
      <c r="D290" s="20"/>
      <c r="E290" s="20"/>
    </row>
    <row r="291" spans="1:5" x14ac:dyDescent="0.25">
      <c r="A291" s="20" t="s">
        <v>415</v>
      </c>
      <c r="B291" s="20"/>
      <c r="C291" s="27"/>
      <c r="D291" s="32">
        <f>SUM(C283:C290)</f>
        <v>12452889</v>
      </c>
      <c r="E291" s="20"/>
    </row>
    <row r="292" spans="1:5" x14ac:dyDescent="0.25">
      <c r="A292" s="20" t="s">
        <v>416</v>
      </c>
      <c r="B292" s="46" t="s">
        <v>284</v>
      </c>
      <c r="C292" s="47">
        <v>9957352</v>
      </c>
      <c r="D292" s="20"/>
      <c r="E292" s="20"/>
    </row>
    <row r="293" spans="1:5" x14ac:dyDescent="0.25">
      <c r="A293" s="20" t="s">
        <v>417</v>
      </c>
      <c r="B293" s="20"/>
      <c r="C293" s="27"/>
      <c r="D293" s="32">
        <f>D291-C292</f>
        <v>2495537</v>
      </c>
      <c r="E293" s="20"/>
    </row>
    <row r="294" spans="1:5" x14ac:dyDescent="0.25">
      <c r="A294" s="45" t="s">
        <v>418</v>
      </c>
      <c r="B294" s="45"/>
      <c r="C294" s="45"/>
      <c r="D294" s="45"/>
      <c r="E294" s="45"/>
    </row>
    <row r="295" spans="1:5" x14ac:dyDescent="0.25">
      <c r="A295" s="20" t="s">
        <v>419</v>
      </c>
      <c r="B295" s="46" t="s">
        <v>284</v>
      </c>
      <c r="C295" s="47"/>
      <c r="D295" s="20"/>
      <c r="E295" s="20"/>
    </row>
    <row r="296" spans="1:5" x14ac:dyDescent="0.25">
      <c r="A296" s="20" t="s">
        <v>420</v>
      </c>
      <c r="B296" s="46" t="s">
        <v>284</v>
      </c>
      <c r="C296" s="47"/>
      <c r="D296" s="20"/>
      <c r="E296" s="20"/>
    </row>
    <row r="297" spans="1:5" x14ac:dyDescent="0.25">
      <c r="A297" s="20" t="s">
        <v>421</v>
      </c>
      <c r="B297" s="46" t="s">
        <v>284</v>
      </c>
      <c r="C297" s="47"/>
      <c r="D297" s="20"/>
      <c r="E297" s="20"/>
    </row>
    <row r="298" spans="1:5" x14ac:dyDescent="0.25">
      <c r="A298" s="20" t="s">
        <v>409</v>
      </c>
      <c r="B298" s="46" t="s">
        <v>284</v>
      </c>
      <c r="C298" s="47"/>
      <c r="D298" s="20"/>
      <c r="E298" s="20"/>
    </row>
    <row r="299" spans="1:5" x14ac:dyDescent="0.2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25">
      <c r="A300" s="20"/>
      <c r="B300" s="20"/>
      <c r="C300" s="27"/>
      <c r="D300" s="20"/>
      <c r="E300" s="20"/>
    </row>
    <row r="301" spans="1:5" x14ac:dyDescent="0.25">
      <c r="A301" s="45" t="s">
        <v>423</v>
      </c>
      <c r="B301" s="45"/>
      <c r="C301" s="45"/>
      <c r="D301" s="45"/>
      <c r="E301" s="45"/>
    </row>
    <row r="302" spans="1:5" x14ac:dyDescent="0.25">
      <c r="A302" s="20" t="s">
        <v>424</v>
      </c>
      <c r="B302" s="46" t="s">
        <v>284</v>
      </c>
      <c r="C302" s="47"/>
      <c r="D302" s="20"/>
      <c r="E302" s="20"/>
    </row>
    <row r="303" spans="1:5" x14ac:dyDescent="0.25">
      <c r="A303" s="20" t="s">
        <v>425</v>
      </c>
      <c r="B303" s="46" t="s">
        <v>284</v>
      </c>
      <c r="C303" s="47"/>
      <c r="D303" s="20"/>
      <c r="E303" s="20"/>
    </row>
    <row r="304" spans="1:5" x14ac:dyDescent="0.25">
      <c r="A304" s="20" t="s">
        <v>426</v>
      </c>
      <c r="B304" s="46" t="s">
        <v>284</v>
      </c>
      <c r="C304" s="47"/>
      <c r="D304" s="20"/>
      <c r="E304" s="20"/>
    </row>
    <row r="305" spans="1:5" x14ac:dyDescent="0.25">
      <c r="A305" s="20" t="s">
        <v>427</v>
      </c>
      <c r="B305" s="46" t="s">
        <v>284</v>
      </c>
      <c r="C305" s="47"/>
      <c r="D305" s="20"/>
      <c r="E305" s="20"/>
    </row>
    <row r="306" spans="1:5" x14ac:dyDescent="0.2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25">
      <c r="A307" s="20"/>
      <c r="B307" s="20"/>
      <c r="C307" s="27"/>
      <c r="D307" s="20"/>
      <c r="E307" s="20"/>
    </row>
    <row r="308" spans="1:5" x14ac:dyDescent="0.25">
      <c r="A308" s="20" t="s">
        <v>429</v>
      </c>
      <c r="B308" s="20"/>
      <c r="C308" s="27"/>
      <c r="D308" s="32">
        <f>D276+D281+D293+D299+D306</f>
        <v>12098660</v>
      </c>
      <c r="E308" s="20"/>
    </row>
    <row r="309" spans="1:5" x14ac:dyDescent="0.25">
      <c r="A309" s="20"/>
      <c r="B309" s="20"/>
      <c r="C309" s="27"/>
      <c r="D309" s="20"/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38" t="s">
        <v>430</v>
      </c>
      <c r="B312" s="38"/>
      <c r="C312" s="38"/>
      <c r="D312" s="38"/>
      <c r="E312" s="38"/>
    </row>
    <row r="313" spans="1:5" x14ac:dyDescent="0.25">
      <c r="A313" s="45" t="s">
        <v>431</v>
      </c>
      <c r="B313" s="45"/>
      <c r="C313" s="45"/>
      <c r="D313" s="45"/>
      <c r="E313" s="45"/>
    </row>
    <row r="314" spans="1:5" x14ac:dyDescent="0.25">
      <c r="A314" s="20" t="s">
        <v>432</v>
      </c>
      <c r="B314" s="46" t="s">
        <v>284</v>
      </c>
      <c r="C314" s="47"/>
      <c r="D314" s="20"/>
      <c r="E314" s="20"/>
    </row>
    <row r="315" spans="1:5" x14ac:dyDescent="0.25">
      <c r="A315" s="20" t="s">
        <v>433</v>
      </c>
      <c r="B315" s="46" t="s">
        <v>284</v>
      </c>
      <c r="C315" s="47">
        <v>1299455</v>
      </c>
      <c r="D315" s="20"/>
      <c r="E315" s="20"/>
    </row>
    <row r="316" spans="1:5" x14ac:dyDescent="0.25">
      <c r="A316" s="20" t="s">
        <v>434</v>
      </c>
      <c r="B316" s="46" t="s">
        <v>284</v>
      </c>
      <c r="C316" s="47">
        <v>433970</v>
      </c>
      <c r="D316" s="20"/>
      <c r="E316" s="20"/>
    </row>
    <row r="317" spans="1:5" x14ac:dyDescent="0.25">
      <c r="A317" s="20" t="s">
        <v>435</v>
      </c>
      <c r="B317" s="46" t="s">
        <v>284</v>
      </c>
      <c r="C317" s="47"/>
      <c r="D317" s="20"/>
      <c r="E317" s="20"/>
    </row>
    <row r="318" spans="1:5" x14ac:dyDescent="0.25">
      <c r="A318" s="20" t="s">
        <v>436</v>
      </c>
      <c r="B318" s="46" t="s">
        <v>284</v>
      </c>
      <c r="C318" s="47"/>
      <c r="D318" s="20"/>
      <c r="E318" s="20"/>
    </row>
    <row r="319" spans="1:5" x14ac:dyDescent="0.25">
      <c r="A319" s="20" t="s">
        <v>437</v>
      </c>
      <c r="B319" s="46" t="s">
        <v>284</v>
      </c>
      <c r="C319" s="47">
        <v>234228</v>
      </c>
      <c r="D319" s="20"/>
      <c r="E319" s="20"/>
    </row>
    <row r="320" spans="1:5" x14ac:dyDescent="0.25">
      <c r="A320" s="20" t="s">
        <v>438</v>
      </c>
      <c r="B320" s="46" t="s">
        <v>284</v>
      </c>
      <c r="C320" s="47"/>
      <c r="D320" s="20"/>
      <c r="E320" s="20"/>
    </row>
    <row r="321" spans="1:5" x14ac:dyDescent="0.25">
      <c r="A321" s="20" t="s">
        <v>439</v>
      </c>
      <c r="B321" s="46" t="s">
        <v>284</v>
      </c>
      <c r="C321" s="47"/>
      <c r="D321" s="20"/>
      <c r="E321" s="20"/>
    </row>
    <row r="322" spans="1:5" x14ac:dyDescent="0.25">
      <c r="A322" s="20" t="s">
        <v>440</v>
      </c>
      <c r="B322" s="46" t="s">
        <v>284</v>
      </c>
      <c r="C322" s="47">
        <v>-3112</v>
      </c>
      <c r="D322" s="20"/>
      <c r="E322" s="20"/>
    </row>
    <row r="323" spans="1:5" x14ac:dyDescent="0.25">
      <c r="A323" s="20" t="s">
        <v>441</v>
      </c>
      <c r="B323" s="46" t="s">
        <v>284</v>
      </c>
      <c r="C323" s="47">
        <v>250964</v>
      </c>
      <c r="D323" s="20"/>
      <c r="E323" s="20"/>
    </row>
    <row r="324" spans="1:5" x14ac:dyDescent="0.25">
      <c r="A324" s="20" t="s">
        <v>442</v>
      </c>
      <c r="B324" s="20"/>
      <c r="C324" s="27"/>
      <c r="D324" s="32">
        <f>SUM(C314:C323)</f>
        <v>2215505</v>
      </c>
      <c r="E324" s="20"/>
    </row>
    <row r="325" spans="1:5" x14ac:dyDescent="0.25">
      <c r="A325" s="45" t="s">
        <v>443</v>
      </c>
      <c r="B325" s="45"/>
      <c r="C325" s="45"/>
      <c r="D325" s="45"/>
      <c r="E325" s="45"/>
    </row>
    <row r="326" spans="1:5" x14ac:dyDescent="0.25">
      <c r="A326" s="20" t="s">
        <v>444</v>
      </c>
      <c r="B326" s="46" t="s">
        <v>284</v>
      </c>
      <c r="C326" s="47"/>
      <c r="D326" s="20"/>
      <c r="E326" s="20"/>
    </row>
    <row r="327" spans="1:5" x14ac:dyDescent="0.25">
      <c r="A327" s="20" t="s">
        <v>445</v>
      </c>
      <c r="B327" s="46" t="s">
        <v>284</v>
      </c>
      <c r="C327" s="47">
        <v>795258</v>
      </c>
      <c r="D327" s="20"/>
      <c r="E327" s="20"/>
    </row>
    <row r="328" spans="1:5" x14ac:dyDescent="0.25">
      <c r="A328" s="20" t="s">
        <v>446</v>
      </c>
      <c r="B328" s="46" t="s">
        <v>284</v>
      </c>
      <c r="C328" s="47"/>
      <c r="D328" s="20"/>
      <c r="E328" s="20"/>
    </row>
    <row r="329" spans="1:5" x14ac:dyDescent="0.25">
      <c r="A329" s="20" t="s">
        <v>447</v>
      </c>
      <c r="B329" s="20"/>
      <c r="C329" s="27"/>
      <c r="D329" s="32">
        <f>SUM(C326:C328)</f>
        <v>795258</v>
      </c>
      <c r="E329" s="20"/>
    </row>
    <row r="330" spans="1:5" x14ac:dyDescent="0.25">
      <c r="A330" s="45" t="s">
        <v>448</v>
      </c>
      <c r="B330" s="45"/>
      <c r="C330" s="45"/>
      <c r="D330" s="45"/>
      <c r="E330" s="45"/>
    </row>
    <row r="331" spans="1:5" x14ac:dyDescent="0.25">
      <c r="A331" s="20" t="s">
        <v>449</v>
      </c>
      <c r="B331" s="46" t="s">
        <v>284</v>
      </c>
      <c r="C331" s="47"/>
      <c r="D331" s="20"/>
      <c r="E331" s="20"/>
    </row>
    <row r="332" spans="1:5" x14ac:dyDescent="0.25">
      <c r="A332" s="20" t="s">
        <v>450</v>
      </c>
      <c r="B332" s="46" t="s">
        <v>284</v>
      </c>
      <c r="C332" s="47"/>
      <c r="D332" s="20"/>
      <c r="E332" s="20"/>
    </row>
    <row r="333" spans="1:5" x14ac:dyDescent="0.25">
      <c r="A333" s="20" t="s">
        <v>451</v>
      </c>
      <c r="B333" s="46" t="s">
        <v>284</v>
      </c>
      <c r="C333" s="47"/>
      <c r="D333" s="20"/>
      <c r="E333" s="20"/>
    </row>
    <row r="334" spans="1:5" x14ac:dyDescent="0.25">
      <c r="A334" s="26" t="s">
        <v>452</v>
      </c>
      <c r="B334" s="46" t="s">
        <v>284</v>
      </c>
      <c r="C334" s="47">
        <v>628552</v>
      </c>
      <c r="D334" s="20"/>
      <c r="E334" s="20"/>
    </row>
    <row r="335" spans="1:5" x14ac:dyDescent="0.25">
      <c r="A335" s="20" t="s">
        <v>453</v>
      </c>
      <c r="B335" s="46" t="s">
        <v>284</v>
      </c>
      <c r="C335" s="47"/>
      <c r="D335" s="20"/>
      <c r="E335" s="20"/>
    </row>
    <row r="336" spans="1:5" x14ac:dyDescent="0.25">
      <c r="A336" s="26" t="s">
        <v>454</v>
      </c>
      <c r="B336" s="46" t="s">
        <v>284</v>
      </c>
      <c r="C336" s="47"/>
      <c r="D336" s="20"/>
      <c r="E336" s="20"/>
    </row>
    <row r="337" spans="1:5" x14ac:dyDescent="0.25">
      <c r="A337" s="26" t="s">
        <v>455</v>
      </c>
      <c r="B337" s="46" t="s">
        <v>284</v>
      </c>
      <c r="C337" s="272"/>
      <c r="D337" s="20"/>
      <c r="E337" s="20"/>
    </row>
    <row r="338" spans="1:5" x14ac:dyDescent="0.25">
      <c r="A338" s="20" t="s">
        <v>456</v>
      </c>
      <c r="B338" s="46" t="s">
        <v>284</v>
      </c>
      <c r="C338" s="47"/>
      <c r="D338" s="20"/>
      <c r="E338" s="20"/>
    </row>
    <row r="339" spans="1:5" x14ac:dyDescent="0.25">
      <c r="A339" s="20" t="s">
        <v>215</v>
      </c>
      <c r="B339" s="20"/>
      <c r="C339" s="27"/>
      <c r="D339" s="32">
        <f>SUM(C331:C338)</f>
        <v>628552</v>
      </c>
      <c r="E339" s="20"/>
    </row>
    <row r="340" spans="1:5" x14ac:dyDescent="0.25">
      <c r="A340" s="20" t="s">
        <v>457</v>
      </c>
      <c r="B340" s="20"/>
      <c r="C340" s="27"/>
      <c r="D340" s="32">
        <f>C323</f>
        <v>250964</v>
      </c>
      <c r="E340" s="20"/>
    </row>
    <row r="341" spans="1:5" x14ac:dyDescent="0.25">
      <c r="A341" s="20" t="s">
        <v>458</v>
      </c>
      <c r="B341" s="20"/>
      <c r="C341" s="27"/>
      <c r="D341" s="32">
        <f>D339-D340</f>
        <v>377588</v>
      </c>
      <c r="E341" s="20"/>
    </row>
    <row r="342" spans="1:5" x14ac:dyDescent="0.25">
      <c r="A342" s="20"/>
      <c r="B342" s="20"/>
      <c r="C342" s="27"/>
      <c r="D342" s="20"/>
      <c r="E342" s="20"/>
    </row>
    <row r="343" spans="1:5" x14ac:dyDescent="0.25">
      <c r="A343" s="20" t="s">
        <v>459</v>
      </c>
      <c r="B343" s="46" t="s">
        <v>284</v>
      </c>
      <c r="C343" s="326">
        <v>8710309</v>
      </c>
      <c r="D343" s="20"/>
      <c r="E343" s="20"/>
    </row>
    <row r="344" spans="1:5" x14ac:dyDescent="0.25">
      <c r="A344" s="20"/>
      <c r="B344" s="46"/>
      <c r="C344" s="57"/>
      <c r="D344" s="20"/>
      <c r="E344" s="20"/>
    </row>
    <row r="345" spans="1:5" x14ac:dyDescent="0.25">
      <c r="A345" s="20" t="s">
        <v>460</v>
      </c>
      <c r="B345" s="46" t="s">
        <v>284</v>
      </c>
      <c r="C345" s="234"/>
      <c r="D345" s="20"/>
      <c r="E345" s="20"/>
    </row>
    <row r="346" spans="1:5" x14ac:dyDescent="0.25">
      <c r="A346" s="20" t="s">
        <v>461</v>
      </c>
      <c r="B346" s="46" t="s">
        <v>284</v>
      </c>
      <c r="C346" s="234"/>
      <c r="D346" s="20"/>
      <c r="E346" s="20"/>
    </row>
    <row r="347" spans="1:5" x14ac:dyDescent="0.25">
      <c r="A347" s="20" t="s">
        <v>462</v>
      </c>
      <c r="B347" s="46" t="s">
        <v>284</v>
      </c>
      <c r="C347" s="234"/>
      <c r="D347" s="20"/>
      <c r="E347" s="20"/>
    </row>
    <row r="348" spans="1:5" x14ac:dyDescent="0.25">
      <c r="A348" s="20" t="s">
        <v>463</v>
      </c>
      <c r="B348" s="46" t="s">
        <v>284</v>
      </c>
      <c r="C348" s="234"/>
      <c r="D348" s="20"/>
      <c r="E348" s="20"/>
    </row>
    <row r="349" spans="1:5" x14ac:dyDescent="0.25">
      <c r="A349" s="20" t="s">
        <v>464</v>
      </c>
      <c r="B349" s="46" t="s">
        <v>284</v>
      </c>
      <c r="C349" s="234"/>
      <c r="D349" s="20"/>
      <c r="E349" s="20"/>
    </row>
    <row r="350" spans="1:5" x14ac:dyDescent="0.25">
      <c r="A350" s="20" t="s">
        <v>465</v>
      </c>
      <c r="B350" s="20"/>
      <c r="C350" s="27"/>
      <c r="D350" s="32">
        <f>D324+D329+D341+C343+C347+C348</f>
        <v>12098660</v>
      </c>
      <c r="E350" s="20"/>
    </row>
    <row r="351" spans="1:5" x14ac:dyDescent="0.25">
      <c r="A351" s="20"/>
      <c r="B351" s="20"/>
      <c r="C351" s="27"/>
      <c r="D351" s="20"/>
      <c r="E351" s="20"/>
    </row>
    <row r="352" spans="1:5" x14ac:dyDescent="0.25">
      <c r="A352" s="20" t="s">
        <v>466</v>
      </c>
      <c r="B352" s="20"/>
      <c r="C352" s="27"/>
      <c r="D352" s="32">
        <f>D308</f>
        <v>12098660</v>
      </c>
      <c r="E352" s="20"/>
    </row>
    <row r="353" spans="1:5" x14ac:dyDescent="0.25">
      <c r="A353" s="20"/>
      <c r="B353" s="20"/>
      <c r="C353" s="27"/>
      <c r="D353" s="20"/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38" t="s">
        <v>467</v>
      </c>
      <c r="B356" s="38"/>
      <c r="C356" s="38"/>
      <c r="D356" s="38"/>
      <c r="E356" s="38"/>
    </row>
    <row r="357" spans="1:5" x14ac:dyDescent="0.25">
      <c r="A357" s="45" t="s">
        <v>468</v>
      </c>
      <c r="B357" s="45"/>
      <c r="C357" s="45"/>
      <c r="D357" s="45"/>
      <c r="E357" s="45"/>
    </row>
    <row r="358" spans="1:5" x14ac:dyDescent="0.25">
      <c r="A358" s="20" t="s">
        <v>469</v>
      </c>
      <c r="B358" s="46" t="s">
        <v>284</v>
      </c>
      <c r="C358" s="234">
        <v>3677399</v>
      </c>
      <c r="D358" s="20"/>
      <c r="E358" s="20"/>
    </row>
    <row r="359" spans="1:5" x14ac:dyDescent="0.25">
      <c r="A359" s="20" t="s">
        <v>470</v>
      </c>
      <c r="B359" s="46" t="s">
        <v>284</v>
      </c>
      <c r="C359" s="234">
        <v>18379543</v>
      </c>
      <c r="D359" s="20"/>
      <c r="E359" s="20"/>
    </row>
    <row r="360" spans="1:5" x14ac:dyDescent="0.25">
      <c r="A360" s="20" t="s">
        <v>471</v>
      </c>
      <c r="B360" s="20"/>
      <c r="C360" s="27"/>
      <c r="D360" s="32">
        <f>SUM(C358:C359)</f>
        <v>22056942</v>
      </c>
      <c r="E360" s="20"/>
    </row>
    <row r="361" spans="1:5" x14ac:dyDescent="0.25">
      <c r="A361" s="45" t="s">
        <v>472</v>
      </c>
      <c r="B361" s="45"/>
      <c r="C361" s="45"/>
      <c r="D361" s="45"/>
      <c r="E361" s="45"/>
    </row>
    <row r="362" spans="1:5" x14ac:dyDescent="0.25">
      <c r="A362" s="20" t="s">
        <v>377</v>
      </c>
      <c r="B362" s="45"/>
      <c r="C362" s="47">
        <v>788596</v>
      </c>
      <c r="D362" s="20"/>
      <c r="E362" s="45"/>
    </row>
    <row r="363" spans="1:5" x14ac:dyDescent="0.25">
      <c r="A363" s="20" t="s">
        <v>473</v>
      </c>
      <c r="B363" s="46" t="s">
        <v>284</v>
      </c>
      <c r="C363" s="47">
        <v>6149372</v>
      </c>
      <c r="D363" s="20"/>
      <c r="E363" s="20"/>
    </row>
    <row r="364" spans="1:5" x14ac:dyDescent="0.25">
      <c r="A364" s="20" t="s">
        <v>474</v>
      </c>
      <c r="B364" s="46" t="s">
        <v>284</v>
      </c>
      <c r="C364" s="47">
        <v>388410</v>
      </c>
      <c r="D364" s="20"/>
      <c r="E364" s="20"/>
    </row>
    <row r="365" spans="1:5" x14ac:dyDescent="0.25">
      <c r="A365" s="20" t="s">
        <v>475</v>
      </c>
      <c r="B365" s="46" t="s">
        <v>284</v>
      </c>
      <c r="C365" s="47">
        <v>17916</v>
      </c>
      <c r="D365" s="20"/>
      <c r="E365" s="20"/>
    </row>
    <row r="366" spans="1:5" x14ac:dyDescent="0.25">
      <c r="A366" s="20" t="s">
        <v>394</v>
      </c>
      <c r="B366" s="20"/>
      <c r="C366" s="27"/>
      <c r="D366" s="32">
        <f>SUM(C362:C365)</f>
        <v>7344294</v>
      </c>
      <c r="E366" s="20"/>
    </row>
    <row r="367" spans="1:5" x14ac:dyDescent="0.25">
      <c r="A367" s="20" t="s">
        <v>476</v>
      </c>
      <c r="B367" s="20"/>
      <c r="C367" s="27"/>
      <c r="D367" s="32">
        <f>D360-D366</f>
        <v>14712648</v>
      </c>
      <c r="E367" s="20"/>
    </row>
    <row r="368" spans="1:5" x14ac:dyDescent="0.25">
      <c r="A368" s="58" t="s">
        <v>477</v>
      </c>
      <c r="B368" s="45"/>
      <c r="C368" s="45"/>
      <c r="D368" s="45"/>
      <c r="E368" s="45"/>
    </row>
    <row r="369" spans="1:6" x14ac:dyDescent="0.25">
      <c r="A369" s="32" t="s">
        <v>478</v>
      </c>
      <c r="B369" s="20"/>
      <c r="C369" s="20"/>
      <c r="D369" s="20"/>
      <c r="E369" s="20"/>
    </row>
    <row r="370" spans="1:6" x14ac:dyDescent="0.25">
      <c r="A370" s="59" t="s">
        <v>479</v>
      </c>
      <c r="B370" s="40" t="s">
        <v>284</v>
      </c>
      <c r="C370" s="273">
        <v>257834</v>
      </c>
      <c r="D370" s="32"/>
      <c r="E370" s="32"/>
    </row>
    <row r="371" spans="1:6" x14ac:dyDescent="0.25">
      <c r="A371" s="59" t="s">
        <v>480</v>
      </c>
      <c r="B371" s="40" t="s">
        <v>284</v>
      </c>
      <c r="C371" s="273">
        <v>302408</v>
      </c>
      <c r="D371" s="32"/>
      <c r="E371" s="32"/>
    </row>
    <row r="372" spans="1:6" x14ac:dyDescent="0.25">
      <c r="A372" s="59" t="s">
        <v>481</v>
      </c>
      <c r="B372" s="40" t="s">
        <v>284</v>
      </c>
      <c r="C372" s="273"/>
      <c r="D372" s="32"/>
      <c r="E372" s="32"/>
    </row>
    <row r="373" spans="1:6" x14ac:dyDescent="0.25">
      <c r="A373" s="59" t="s">
        <v>482</v>
      </c>
      <c r="B373" s="40" t="s">
        <v>284</v>
      </c>
      <c r="C373" s="273"/>
      <c r="D373" s="32"/>
      <c r="E373" s="32"/>
    </row>
    <row r="374" spans="1:6" x14ac:dyDescent="0.25">
      <c r="A374" s="59" t="s">
        <v>483</v>
      </c>
      <c r="B374" s="40" t="s">
        <v>284</v>
      </c>
      <c r="C374" s="273"/>
      <c r="D374" s="32"/>
      <c r="E374" s="32"/>
    </row>
    <row r="375" spans="1:6" x14ac:dyDescent="0.25">
      <c r="A375" s="59" t="s">
        <v>484</v>
      </c>
      <c r="B375" s="40" t="s">
        <v>284</v>
      </c>
      <c r="C375" s="273"/>
      <c r="D375" s="32"/>
      <c r="E375" s="32"/>
    </row>
    <row r="376" spans="1:6" x14ac:dyDescent="0.25">
      <c r="A376" s="59" t="s">
        <v>485</v>
      </c>
      <c r="B376" s="40" t="s">
        <v>284</v>
      </c>
      <c r="C376" s="273"/>
      <c r="D376" s="32"/>
      <c r="E376" s="32"/>
    </row>
    <row r="377" spans="1:6" x14ac:dyDescent="0.25">
      <c r="A377" s="59" t="s">
        <v>486</v>
      </c>
      <c r="B377" s="40" t="s">
        <v>284</v>
      </c>
      <c r="C377" s="273"/>
      <c r="D377" s="32"/>
      <c r="E377" s="32"/>
    </row>
    <row r="378" spans="1:6" x14ac:dyDescent="0.25">
      <c r="A378" s="59" t="s">
        <v>487</v>
      </c>
      <c r="B378" s="40" t="s">
        <v>284</v>
      </c>
      <c r="C378" s="273"/>
      <c r="D378" s="32"/>
      <c r="E378" s="32"/>
    </row>
    <row r="379" spans="1:6" x14ac:dyDescent="0.25">
      <c r="A379" s="59" t="s">
        <v>488</v>
      </c>
      <c r="B379" s="40" t="s">
        <v>284</v>
      </c>
      <c r="C379" s="273"/>
      <c r="D379" s="32"/>
      <c r="E379" s="32"/>
    </row>
    <row r="380" spans="1:6" x14ac:dyDescent="0.25">
      <c r="A380" s="59" t="s">
        <v>489</v>
      </c>
      <c r="B380" s="40" t="s">
        <v>284</v>
      </c>
      <c r="C380" s="236">
        <v>102834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25">
      <c r="A381" s="61" t="s">
        <v>490</v>
      </c>
      <c r="B381" s="46"/>
      <c r="C381" s="46"/>
      <c r="D381" s="32">
        <f>SUM(C370:C380)</f>
        <v>663076</v>
      </c>
      <c r="E381" s="32"/>
      <c r="F381" s="60"/>
    </row>
    <row r="382" spans="1:6" x14ac:dyDescent="0.2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25">
      <c r="A383" s="20" t="s">
        <v>492</v>
      </c>
      <c r="B383" s="20"/>
      <c r="C383" s="27"/>
      <c r="D383" s="32">
        <f>D381+C382</f>
        <v>663076</v>
      </c>
      <c r="E383" s="20"/>
    </row>
    <row r="384" spans="1:6" x14ac:dyDescent="0.25">
      <c r="A384" s="20" t="s">
        <v>493</v>
      </c>
      <c r="B384" s="20"/>
      <c r="C384" s="27"/>
      <c r="D384" s="32">
        <f>D367+D383</f>
        <v>15375724</v>
      </c>
      <c r="E384" s="20"/>
    </row>
    <row r="385" spans="1:5" x14ac:dyDescent="0.25">
      <c r="A385" s="20"/>
      <c r="B385" s="20"/>
      <c r="C385" s="27"/>
      <c r="D385" s="20"/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45" t="s">
        <v>494</v>
      </c>
      <c r="B388" s="45"/>
      <c r="C388" s="45"/>
      <c r="D388" s="45"/>
      <c r="E388" s="45"/>
    </row>
    <row r="389" spans="1:5" x14ac:dyDescent="0.25">
      <c r="A389" s="20" t="s">
        <v>495</v>
      </c>
      <c r="B389" s="46" t="s">
        <v>284</v>
      </c>
      <c r="C389" s="47">
        <v>6745155</v>
      </c>
      <c r="D389" s="20"/>
      <c r="E389" s="20"/>
    </row>
    <row r="390" spans="1:5" x14ac:dyDescent="0.25">
      <c r="A390" s="20" t="s">
        <v>9</v>
      </c>
      <c r="B390" s="46" t="s">
        <v>284</v>
      </c>
      <c r="C390" s="47">
        <v>1501704</v>
      </c>
      <c r="D390" s="20"/>
      <c r="E390" s="20"/>
    </row>
    <row r="391" spans="1:5" x14ac:dyDescent="0.25">
      <c r="A391" s="20" t="s">
        <v>249</v>
      </c>
      <c r="B391" s="46" t="s">
        <v>284</v>
      </c>
      <c r="C391" s="47">
        <v>4279613</v>
      </c>
      <c r="D391" s="20"/>
      <c r="E391" s="20"/>
    </row>
    <row r="392" spans="1:5" x14ac:dyDescent="0.25">
      <c r="A392" s="20" t="s">
        <v>496</v>
      </c>
      <c r="B392" s="46" t="s">
        <v>284</v>
      </c>
      <c r="C392" s="47">
        <v>1704651</v>
      </c>
      <c r="D392" s="20"/>
      <c r="E392" s="20"/>
    </row>
    <row r="393" spans="1:5" x14ac:dyDescent="0.25">
      <c r="A393" s="20" t="s">
        <v>497</v>
      </c>
      <c r="B393" s="46" t="s">
        <v>284</v>
      </c>
      <c r="C393" s="47">
        <v>222985</v>
      </c>
      <c r="D393" s="20"/>
      <c r="E393" s="20"/>
    </row>
    <row r="394" spans="1:5" x14ac:dyDescent="0.25">
      <c r="A394" s="20" t="s">
        <v>498</v>
      </c>
      <c r="B394" s="46" t="s">
        <v>284</v>
      </c>
      <c r="C394" s="47">
        <v>1674989</v>
      </c>
      <c r="D394" s="20"/>
      <c r="E394" s="20"/>
    </row>
    <row r="395" spans="1:5" x14ac:dyDescent="0.25">
      <c r="A395" s="20" t="s">
        <v>11</v>
      </c>
      <c r="B395" s="46" t="s">
        <v>284</v>
      </c>
      <c r="C395" s="47">
        <v>633323</v>
      </c>
      <c r="D395" s="20"/>
      <c r="E395" s="20"/>
    </row>
    <row r="396" spans="1:5" x14ac:dyDescent="0.25">
      <c r="A396" s="20" t="s">
        <v>499</v>
      </c>
      <c r="B396" s="46" t="s">
        <v>284</v>
      </c>
      <c r="C396" s="47">
        <v>119784</v>
      </c>
      <c r="D396" s="20"/>
      <c r="E396" s="20"/>
    </row>
    <row r="397" spans="1:5" x14ac:dyDescent="0.25">
      <c r="A397" s="20" t="s">
        <v>500</v>
      </c>
      <c r="B397" s="46" t="s">
        <v>284</v>
      </c>
      <c r="C397" s="47">
        <v>253608</v>
      </c>
      <c r="D397" s="20"/>
      <c r="E397" s="20"/>
    </row>
    <row r="398" spans="1:5" x14ac:dyDescent="0.25">
      <c r="A398" s="20" t="s">
        <v>501</v>
      </c>
      <c r="B398" s="46" t="s">
        <v>284</v>
      </c>
      <c r="C398" s="47">
        <v>135197</v>
      </c>
      <c r="D398" s="20"/>
      <c r="E398" s="20"/>
    </row>
    <row r="399" spans="1:5" x14ac:dyDescent="0.25">
      <c r="A399" s="20" t="s">
        <v>502</v>
      </c>
      <c r="B399" s="46" t="s">
        <v>284</v>
      </c>
      <c r="C399" s="47">
        <v>69991</v>
      </c>
      <c r="D399" s="20"/>
      <c r="E399" s="20"/>
    </row>
    <row r="400" spans="1:5" x14ac:dyDescent="0.25">
      <c r="A400" s="32" t="s">
        <v>503</v>
      </c>
      <c r="B400" s="20"/>
      <c r="C400" s="20"/>
      <c r="D400" s="20"/>
      <c r="E400" s="20"/>
    </row>
    <row r="401" spans="1:9" x14ac:dyDescent="0.25">
      <c r="A401" s="33" t="s">
        <v>255</v>
      </c>
      <c r="B401" s="40" t="s">
        <v>284</v>
      </c>
      <c r="C401" s="273"/>
      <c r="D401" s="32"/>
      <c r="E401" s="32"/>
    </row>
    <row r="402" spans="1:9" x14ac:dyDescent="0.25">
      <c r="A402" s="33" t="s">
        <v>256</v>
      </c>
      <c r="B402" s="40" t="s">
        <v>284</v>
      </c>
      <c r="C402" s="273"/>
      <c r="D402" s="32"/>
      <c r="E402" s="32"/>
    </row>
    <row r="403" spans="1:9" x14ac:dyDescent="0.25">
      <c r="A403" s="33" t="s">
        <v>504</v>
      </c>
      <c r="B403" s="40" t="s">
        <v>284</v>
      </c>
      <c r="C403" s="273"/>
      <c r="D403" s="32"/>
      <c r="E403" s="32"/>
    </row>
    <row r="404" spans="1:9" x14ac:dyDescent="0.25">
      <c r="A404" s="33" t="s">
        <v>258</v>
      </c>
      <c r="B404" s="40" t="s">
        <v>284</v>
      </c>
      <c r="C404" s="273"/>
      <c r="D404" s="32"/>
      <c r="E404" s="32"/>
    </row>
    <row r="405" spans="1:9" x14ac:dyDescent="0.25">
      <c r="A405" s="33" t="s">
        <v>259</v>
      </c>
      <c r="B405" s="40" t="s">
        <v>284</v>
      </c>
      <c r="C405" s="273"/>
      <c r="D405" s="32"/>
      <c r="E405" s="32"/>
    </row>
    <row r="406" spans="1:9" x14ac:dyDescent="0.25">
      <c r="A406" s="33" t="s">
        <v>260</v>
      </c>
      <c r="B406" s="40" t="s">
        <v>284</v>
      </c>
      <c r="C406" s="273"/>
      <c r="D406" s="32"/>
      <c r="E406" s="32"/>
    </row>
    <row r="407" spans="1:9" x14ac:dyDescent="0.25">
      <c r="A407" s="33" t="s">
        <v>261</v>
      </c>
      <c r="B407" s="40" t="s">
        <v>284</v>
      </c>
      <c r="C407" s="273"/>
      <c r="D407" s="32"/>
      <c r="E407" s="32"/>
    </row>
    <row r="408" spans="1:9" x14ac:dyDescent="0.25">
      <c r="A408" s="33" t="s">
        <v>262</v>
      </c>
      <c r="B408" s="40" t="s">
        <v>284</v>
      </c>
      <c r="C408" s="273">
        <v>625881</v>
      </c>
      <c r="D408" s="32"/>
      <c r="E408" s="32"/>
    </row>
    <row r="409" spans="1:9" x14ac:dyDescent="0.25">
      <c r="A409" s="33" t="s">
        <v>263</v>
      </c>
      <c r="B409" s="40" t="s">
        <v>284</v>
      </c>
      <c r="C409" s="273"/>
      <c r="D409" s="32"/>
      <c r="E409" s="32"/>
    </row>
    <row r="410" spans="1:9" x14ac:dyDescent="0.25">
      <c r="A410" s="33" t="s">
        <v>264</v>
      </c>
      <c r="B410" s="40" t="s">
        <v>284</v>
      </c>
      <c r="C410" s="273">
        <v>79663</v>
      </c>
      <c r="D410" s="32"/>
      <c r="E410" s="32"/>
    </row>
    <row r="411" spans="1:9" x14ac:dyDescent="0.25">
      <c r="A411" s="33" t="s">
        <v>265</v>
      </c>
      <c r="B411" s="40" t="s">
        <v>284</v>
      </c>
      <c r="C411" s="273"/>
      <c r="D411" s="32"/>
      <c r="E411" s="32"/>
    </row>
    <row r="412" spans="1:9" x14ac:dyDescent="0.25">
      <c r="A412" s="33" t="s">
        <v>266</v>
      </c>
      <c r="B412" s="40" t="s">
        <v>284</v>
      </c>
      <c r="C412" s="273"/>
      <c r="D412" s="32"/>
      <c r="E412" s="32"/>
    </row>
    <row r="413" spans="1:9" x14ac:dyDescent="0.25">
      <c r="A413" s="33" t="s">
        <v>267</v>
      </c>
      <c r="B413" s="40" t="s">
        <v>284</v>
      </c>
      <c r="C413" s="273"/>
      <c r="D413" s="32"/>
      <c r="E413" s="32"/>
    </row>
    <row r="414" spans="1:9" x14ac:dyDescent="0.25">
      <c r="A414" s="33" t="s">
        <v>268</v>
      </c>
      <c r="B414" s="40" t="s">
        <v>284</v>
      </c>
      <c r="C414" s="236">
        <f>970469-C408-C410</f>
        <v>264925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25">
      <c r="A415" s="62" t="s">
        <v>505</v>
      </c>
      <c r="B415" s="46"/>
      <c r="C415" s="46"/>
      <c r="D415" s="32">
        <f>SUM(C401:C414)</f>
        <v>970469</v>
      </c>
      <c r="E415" s="32"/>
      <c r="F415" s="60"/>
      <c r="G415" s="60"/>
      <c r="H415" s="60"/>
      <c r="I415" s="60"/>
    </row>
    <row r="416" spans="1:9" x14ac:dyDescent="0.25">
      <c r="A416" s="32" t="s">
        <v>506</v>
      </c>
      <c r="B416" s="20"/>
      <c r="C416" s="27"/>
      <c r="D416" s="32">
        <f>SUM(C389:C399,D415)</f>
        <v>18311469</v>
      </c>
      <c r="E416" s="32"/>
    </row>
    <row r="417" spans="1:13" x14ac:dyDescent="0.25">
      <c r="A417" s="32" t="s">
        <v>507</v>
      </c>
      <c r="B417" s="20"/>
      <c r="C417" s="27"/>
      <c r="D417" s="32">
        <f>D384-D416</f>
        <v>-2935745</v>
      </c>
      <c r="E417" s="32"/>
    </row>
    <row r="418" spans="1:13" x14ac:dyDescent="0.25">
      <c r="A418" s="32" t="s">
        <v>508</v>
      </c>
      <c r="B418" s="20"/>
      <c r="C418" s="236">
        <f>2674934</f>
        <v>2674934</v>
      </c>
      <c r="D418" s="32"/>
      <c r="E418" s="32"/>
    </row>
    <row r="419" spans="1:13" x14ac:dyDescent="0.25">
      <c r="A419" s="59" t="s">
        <v>509</v>
      </c>
      <c r="B419" s="46" t="s">
        <v>284</v>
      </c>
      <c r="C419" s="273">
        <f>546637+1278563</f>
        <v>1825200</v>
      </c>
      <c r="D419" s="32"/>
      <c r="E419" s="32"/>
    </row>
    <row r="420" spans="1:13" x14ac:dyDescent="0.25">
      <c r="A420" s="61" t="s">
        <v>510</v>
      </c>
      <c r="B420" s="20"/>
      <c r="C420" s="20"/>
      <c r="D420" s="32">
        <f>SUM(C418:C419)</f>
        <v>4500134</v>
      </c>
      <c r="E420" s="32"/>
    </row>
    <row r="421" spans="1:13" x14ac:dyDescent="0.25">
      <c r="A421" s="32" t="s">
        <v>511</v>
      </c>
      <c r="B421" s="20"/>
      <c r="C421" s="27"/>
      <c r="D421" s="32">
        <f>D417+D420</f>
        <v>1564389</v>
      </c>
      <c r="E421" s="32"/>
      <c r="F421" s="63"/>
    </row>
    <row r="422" spans="1:13" x14ac:dyDescent="0.25">
      <c r="A422" s="32" t="s">
        <v>512</v>
      </c>
      <c r="B422" s="46" t="s">
        <v>284</v>
      </c>
      <c r="C422" s="47"/>
      <c r="D422" s="32"/>
      <c r="E422" s="20"/>
    </row>
    <row r="423" spans="1:13" x14ac:dyDescent="0.25">
      <c r="A423" s="20" t="s">
        <v>513</v>
      </c>
      <c r="B423" s="46" t="s">
        <v>284</v>
      </c>
      <c r="C423" s="47"/>
      <c r="D423" s="32"/>
      <c r="E423" s="20"/>
    </row>
    <row r="424" spans="1:13" x14ac:dyDescent="0.25">
      <c r="A424" s="20" t="s">
        <v>514</v>
      </c>
      <c r="B424" s="20"/>
      <c r="C424" s="27"/>
      <c r="D424" s="32">
        <f>D421+C422-C423</f>
        <v>1564389</v>
      </c>
      <c r="E424" s="20"/>
    </row>
    <row r="427" spans="1:13" x14ac:dyDescent="0.25">
      <c r="M427" s="64"/>
    </row>
    <row r="428" spans="1:13" x14ac:dyDescent="0.25">
      <c r="M428" s="64"/>
    </row>
    <row r="429" spans="1:13" x14ac:dyDescent="0.25">
      <c r="M429" s="64"/>
    </row>
    <row r="433" spans="2:7" x14ac:dyDescent="0.25">
      <c r="B433" s="65"/>
      <c r="C433" s="65"/>
      <c r="D433" s="65"/>
      <c r="E433" s="65"/>
      <c r="F433" s="65"/>
      <c r="G433" s="65"/>
    </row>
    <row r="574" spans="2:83" x14ac:dyDescent="0.2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2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2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" customHeight="1" x14ac:dyDescent="0.2">
      <c r="A612" s="251"/>
      <c r="C612" s="249" t="s">
        <v>515</v>
      </c>
      <c r="D612" s="256">
        <f>CE90-(BE90+CD90)</f>
        <v>50337</v>
      </c>
      <c r="E612" s="258">
        <f>SUM(C624:D647)+SUM(C668:D713)</f>
        <v>16584352.226950353</v>
      </c>
      <c r="F612" s="258">
        <f>CE64-(AX64+BD64+BE64+BG64+BJ64+BN64+BP64+BQ64+CB64+CC64+CD64)</f>
        <v>1599715</v>
      </c>
      <c r="G612" s="256">
        <f>CE91-(AX91+AY91+BD91+BE91+BG91+BJ91+BN91+BP91+BQ91+CB91+CC91+CD91)</f>
        <v>5163</v>
      </c>
      <c r="H612" s="261">
        <f>CE60-(AX60+AY60+AZ60+BD60+BE60+BG60+BJ60+BN60+BO60+BP60+BQ60+BR60+CB60+CC60+CD60)</f>
        <v>74.829999999999984</v>
      </c>
      <c r="I612" s="256">
        <f>CE92-(AX92+AY92+AZ92+BD92+BE92+BF92+BG92+BJ92+BN92+BO92+BP92+BQ92+BR92+CB92+CC92+CD92)</f>
        <v>9392</v>
      </c>
      <c r="J612" s="256">
        <f>CE93-(AX93+AY93+AZ93+BA93+BD93+BE93+BF93+BG93+BJ93+BN93+BO93+BP93+BQ93+BR93+CB93+CC93+CD93)</f>
        <v>48768</v>
      </c>
      <c r="K612" s="256">
        <f>CE89-(AW89+AX89+AY89+AZ89+BA89+BB89+BC89+BD89+BE89+BF89+BG89+BH89+BI89+BJ89+BK89+BL89+BM89+BN89+BO89+BP89+BQ89+BR89+BS89+BT89+BU89+BV89+BW89+BX89+CB89+CC89+CD89)</f>
        <v>23056942</v>
      </c>
      <c r="L612" s="262">
        <f>CE94-(AW94+AX94+AY94+AZ94+BA94+BB94+BC94+BD94+BE94+BF94+BG94+BH94+BI94+BJ94+BK94+BL94+BM94+BN94+BO94+BP94+BQ94+BR94+BS94+BT94+BU94+BV94+BW94+BX94+BY94+BZ94+CA94+CB94+CC94+CD94)</f>
        <v>22.09</v>
      </c>
    </row>
    <row r="613" spans="1:14" s="231" customFormat="1" ht="12.6" customHeight="1" x14ac:dyDescent="0.2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" customHeight="1" x14ac:dyDescent="0.2">
      <c r="A614" s="251">
        <v>8430</v>
      </c>
      <c r="B614" s="250" t="s">
        <v>152</v>
      </c>
      <c r="C614" s="256">
        <f>BE85</f>
        <v>598197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" customHeight="1" x14ac:dyDescent="0.2">
      <c r="A615" s="251"/>
      <c r="B615" s="250" t="s">
        <v>527</v>
      </c>
      <c r="C615" s="256">
        <f>CD69-CD84</f>
        <v>415508</v>
      </c>
      <c r="D615" s="256">
        <f>SUM(C614:C615)</f>
        <v>1013705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" customHeight="1" x14ac:dyDescent="0.2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" customHeight="1" x14ac:dyDescent="0.2">
      <c r="A617" s="251">
        <v>8510</v>
      </c>
      <c r="B617" s="255" t="s">
        <v>157</v>
      </c>
      <c r="C617" s="256">
        <f>BJ85</f>
        <v>589874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" customHeight="1" x14ac:dyDescent="0.2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" customHeight="1" x14ac:dyDescent="0.2">
      <c r="A619" s="251">
        <v>8610</v>
      </c>
      <c r="B619" s="255" t="s">
        <v>534</v>
      </c>
      <c r="C619" s="256">
        <f>BN85</f>
        <v>713373</v>
      </c>
      <c r="D619" s="256">
        <f>(D615/D612)*BN90</f>
        <v>140706.77304964539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" customHeight="1" x14ac:dyDescent="0.2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" customHeight="1" x14ac:dyDescent="0.2">
      <c r="A621" s="251">
        <v>8630</v>
      </c>
      <c r="B621" s="255" t="s">
        <v>538</v>
      </c>
      <c r="C621" s="256">
        <f>BP85</f>
        <v>180313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" customHeight="1" x14ac:dyDescent="0.2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" customHeight="1" x14ac:dyDescent="0.2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1624266.7730496454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" customHeight="1" x14ac:dyDescent="0.2">
      <c r="A624" s="251">
        <v>8420</v>
      </c>
      <c r="B624" s="255" t="s">
        <v>151</v>
      </c>
      <c r="C624" s="256">
        <f>BD85</f>
        <v>158628</v>
      </c>
      <c r="D624" s="256">
        <f>(D615/D612)*BD90</f>
        <v>0</v>
      </c>
      <c r="E624" s="258">
        <f>(E623/E612)*SUM(C624:D624)</f>
        <v>15535.981517361828</v>
      </c>
      <c r="F624" s="258">
        <f>SUM(C624:E624)</f>
        <v>174163.98151736183</v>
      </c>
      <c r="G624" s="256"/>
      <c r="H624" s="258"/>
      <c r="I624" s="256"/>
      <c r="J624" s="256"/>
      <c r="N624" s="252" t="s">
        <v>544</v>
      </c>
    </row>
    <row r="625" spans="1:14" s="231" customFormat="1" ht="12.6" customHeight="1" x14ac:dyDescent="0.2">
      <c r="A625" s="251">
        <v>8320</v>
      </c>
      <c r="B625" s="255" t="s">
        <v>147</v>
      </c>
      <c r="C625" s="256">
        <f>AY85</f>
        <v>291388</v>
      </c>
      <c r="D625" s="256">
        <f>(D615/D612)*AY90</f>
        <v>53406.950354609929</v>
      </c>
      <c r="E625" s="258">
        <f>(E623/E612)*SUM(C625:D625)</f>
        <v>33769.120054397135</v>
      </c>
      <c r="F625" s="258">
        <f>(F624/F612)*AY64</f>
        <v>6384.0293728664565</v>
      </c>
      <c r="G625" s="256">
        <f>SUM(C625:F625)</f>
        <v>384948.09978187352</v>
      </c>
      <c r="H625" s="258"/>
      <c r="I625" s="256"/>
      <c r="J625" s="256"/>
      <c r="N625" s="252" t="s">
        <v>545</v>
      </c>
    </row>
    <row r="626" spans="1:14" s="231" customFormat="1" ht="12.6" customHeight="1" x14ac:dyDescent="0.2">
      <c r="A626" s="251">
        <v>8650</v>
      </c>
      <c r="B626" s="255" t="s">
        <v>164</v>
      </c>
      <c r="C626" s="256">
        <f>BR85</f>
        <v>253221</v>
      </c>
      <c r="D626" s="256">
        <f>(D615/D612)*BR90</f>
        <v>37094.872757613681</v>
      </c>
      <c r="E626" s="258">
        <f>(E623/E612)*SUM(C626:D626)</f>
        <v>28433.454581530714</v>
      </c>
      <c r="F626" s="258">
        <f>(F624/F612)*BR64</f>
        <v>88.077351933029149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" customHeight="1" x14ac:dyDescent="0.2">
      <c r="A627" s="251">
        <v>8620</v>
      </c>
      <c r="B627" s="250" t="s">
        <v>547</v>
      </c>
      <c r="C627" s="256">
        <f>BO85</f>
        <v>8827</v>
      </c>
      <c r="D627" s="256">
        <f>(D615/D612)*BO90</f>
        <v>0</v>
      </c>
      <c r="E627" s="258">
        <f>(E623/E612)*SUM(C627:D627)</f>
        <v>864.51388691626232</v>
      </c>
      <c r="F627" s="258">
        <f>(F624/F612)*BO64</f>
        <v>125.74702284629006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" customHeight="1" x14ac:dyDescent="0.2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130105.44918058673</v>
      </c>
      <c r="H628" s="258">
        <f>SUM(C626:G628)</f>
        <v>458760.11478142673</v>
      </c>
      <c r="I628" s="256"/>
      <c r="J628" s="256"/>
      <c r="N628" s="252" t="s">
        <v>549</v>
      </c>
    </row>
    <row r="629" spans="1:14" s="231" customFormat="1" ht="12.6" customHeight="1" x14ac:dyDescent="0.2">
      <c r="A629" s="251">
        <v>8460</v>
      </c>
      <c r="B629" s="255" t="s">
        <v>153</v>
      </c>
      <c r="C629" s="256">
        <f>BF85</f>
        <v>293579</v>
      </c>
      <c r="D629" s="256">
        <f>(D615/D612)*BF90</f>
        <v>8659.4979835905997</v>
      </c>
      <c r="E629" s="258">
        <f>(E623/E612)*SUM(C629:D629)</f>
        <v>29601.153128755726</v>
      </c>
      <c r="F629" s="258">
        <f>(F624/F612)*BF64</f>
        <v>2687.1757730667805</v>
      </c>
      <c r="G629" s="256">
        <f>(G625/G612)*BF91</f>
        <v>0</v>
      </c>
      <c r="H629" s="258">
        <f>(H628/H612)*BF60</f>
        <v>31327.865649246178</v>
      </c>
      <c r="I629" s="256">
        <f>SUM(C629:H629)</f>
        <v>365854.69253465929</v>
      </c>
      <c r="J629" s="256"/>
      <c r="N629" s="252" t="s">
        <v>550</v>
      </c>
    </row>
    <row r="630" spans="1:14" s="231" customFormat="1" ht="12.6" customHeight="1" x14ac:dyDescent="0.2">
      <c r="A630" s="251">
        <v>8350</v>
      </c>
      <c r="B630" s="255" t="s">
        <v>551</v>
      </c>
      <c r="C630" s="256">
        <f>BA85</f>
        <v>67000</v>
      </c>
      <c r="D630" s="256">
        <f>(D615/D612)*BA90</f>
        <v>31516.544986789042</v>
      </c>
      <c r="E630" s="258">
        <f>(E623/E612)*SUM(C630:D630)</f>
        <v>9648.6825911509932</v>
      </c>
      <c r="F630" s="258">
        <f>(F624/F612)*BA64</f>
        <v>157.42874029068003</v>
      </c>
      <c r="G630" s="256">
        <f>(G625/G612)*BA91</f>
        <v>0</v>
      </c>
      <c r="H630" s="258">
        <f>(H628/H612)*BA60</f>
        <v>4720.6372896124376</v>
      </c>
      <c r="I630" s="256">
        <f>(I629/I612)*BA92</f>
        <v>0</v>
      </c>
      <c r="J630" s="256">
        <f>SUM(C630:I630)</f>
        <v>113043.29360784315</v>
      </c>
      <c r="N630" s="252" t="s">
        <v>552</v>
      </c>
    </row>
    <row r="631" spans="1:14" s="231" customFormat="1" ht="12.6" customHeight="1" x14ac:dyDescent="0.2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" customHeight="1" x14ac:dyDescent="0.2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" customHeight="1" x14ac:dyDescent="0.2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" customHeight="1" x14ac:dyDescent="0.2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" customHeight="1" x14ac:dyDescent="0.2">
      <c r="A635" s="251">
        <v>8530</v>
      </c>
      <c r="B635" s="255" t="s">
        <v>561</v>
      </c>
      <c r="C635" s="256">
        <f>BK85</f>
        <v>870113</v>
      </c>
      <c r="D635" s="256">
        <f>(D615/D612)*BK90</f>
        <v>21064.732304269226</v>
      </c>
      <c r="E635" s="258">
        <f>(E623/E612)*SUM(C635:D635)</f>
        <v>87281.695399069227</v>
      </c>
      <c r="F635" s="258">
        <f>(F624/F612)*BK64</f>
        <v>1363.9469283275516</v>
      </c>
      <c r="G635" s="256">
        <f>(G625/G612)*BK91</f>
        <v>0</v>
      </c>
      <c r="H635" s="258">
        <f>(H628/H612)*BK60</f>
        <v>39420.386717153211</v>
      </c>
      <c r="I635" s="256">
        <f>(I629/I612)*BK92</f>
        <v>5064.0023455606588</v>
      </c>
      <c r="J635" s="256">
        <f>(J630/J612)*BK93</f>
        <v>0</v>
      </c>
      <c r="N635" s="252" t="s">
        <v>562</v>
      </c>
    </row>
    <row r="636" spans="1:14" s="231" customFormat="1" ht="12.6" customHeight="1" x14ac:dyDescent="0.2">
      <c r="A636" s="251">
        <v>8480</v>
      </c>
      <c r="B636" s="255" t="s">
        <v>563</v>
      </c>
      <c r="C636" s="256">
        <f>BH85</f>
        <v>921386</v>
      </c>
      <c r="D636" s="256">
        <f>(D615/D612)*BH90</f>
        <v>14580.178000278125</v>
      </c>
      <c r="E636" s="258">
        <f>(E623/E612)*SUM(C636:D636)</f>
        <v>91668.263120559495</v>
      </c>
      <c r="F636" s="258">
        <f>(F624/F612)*BH64</f>
        <v>1435.8023699540031</v>
      </c>
      <c r="G636" s="256">
        <f>(G625/G612)*BH91</f>
        <v>0</v>
      </c>
      <c r="H636" s="258">
        <f>(H628/H612)*BH60</f>
        <v>6130.697778717451</v>
      </c>
      <c r="I636" s="256">
        <f>(I629/I612)*BH92</f>
        <v>389.53864196620452</v>
      </c>
      <c r="J636" s="256">
        <f>(J630/J612)*BH93</f>
        <v>0</v>
      </c>
      <c r="N636" s="252" t="s">
        <v>564</v>
      </c>
    </row>
    <row r="637" spans="1:14" s="231" customFormat="1" ht="12.6" customHeight="1" x14ac:dyDescent="0.2">
      <c r="A637" s="251">
        <v>8560</v>
      </c>
      <c r="B637" s="255" t="s">
        <v>159</v>
      </c>
      <c r="C637" s="256">
        <f>BL85</f>
        <v>235438</v>
      </c>
      <c r="D637" s="256">
        <f>(D615/D612)*BL90</f>
        <v>16815.536782088722</v>
      </c>
      <c r="E637" s="258">
        <f>(E623/E612)*SUM(C637:D637)</f>
        <v>24705.640146352991</v>
      </c>
      <c r="F637" s="258">
        <f>(F624/F612)*BL64</f>
        <v>348.82550753204623</v>
      </c>
      <c r="G637" s="256">
        <f>(G625/G612)*BL91</f>
        <v>0</v>
      </c>
      <c r="H637" s="258">
        <f>(H628/H612)*BL60</f>
        <v>29427.349337843763</v>
      </c>
      <c r="I637" s="256">
        <f>(I629/I612)*BL92</f>
        <v>9309.9735429922875</v>
      </c>
      <c r="J637" s="256">
        <f>(J630/J612)*BL93</f>
        <v>0</v>
      </c>
      <c r="N637" s="252" t="s">
        <v>565</v>
      </c>
    </row>
    <row r="638" spans="1:14" s="231" customFormat="1" ht="12.6" customHeight="1" x14ac:dyDescent="0.2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" customHeight="1" x14ac:dyDescent="0.2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" customHeight="1" x14ac:dyDescent="0.2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" customHeight="1" x14ac:dyDescent="0.2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" customHeight="1" x14ac:dyDescent="0.2">
      <c r="A642" s="251">
        <v>8690</v>
      </c>
      <c r="B642" s="255" t="s">
        <v>574</v>
      </c>
      <c r="C642" s="256">
        <f>BV85</f>
        <v>275912</v>
      </c>
      <c r="D642" s="256">
        <f>(D615/D612)*BV90</f>
        <v>28032.607425949103</v>
      </c>
      <c r="E642" s="258">
        <f>(E623/E612)*SUM(C642:D642)</f>
        <v>29768.249005669506</v>
      </c>
      <c r="F642" s="258">
        <f>(F624/F612)*BV64</f>
        <v>795.20022066606293</v>
      </c>
      <c r="G642" s="256">
        <f>(G625/G612)*BV91</f>
        <v>0</v>
      </c>
      <c r="H642" s="258">
        <f>(H628/H612)*BV60</f>
        <v>23296.651559126312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" customHeight="1" x14ac:dyDescent="0.2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" customHeight="1" x14ac:dyDescent="0.2">
      <c r="A644" s="251">
        <v>8710</v>
      </c>
      <c r="B644" s="255" t="s">
        <v>578</v>
      </c>
      <c r="C644" s="256">
        <f>BX85</f>
        <v>284741</v>
      </c>
      <c r="D644" s="256">
        <f>(D615/D612)*BX90</f>
        <v>0</v>
      </c>
      <c r="E644" s="258">
        <f>(E623/E612)*SUM(C644:D644)</f>
        <v>27887.453118208163</v>
      </c>
      <c r="F644" s="258">
        <f>(F624/F612)*BX64</f>
        <v>91.670124014351728</v>
      </c>
      <c r="G644" s="256">
        <f>(G625/G612)*BX91</f>
        <v>0</v>
      </c>
      <c r="H644" s="258">
        <f>(H628/H612)*BX60</f>
        <v>12077.474624073378</v>
      </c>
      <c r="I644" s="256">
        <f>(I629/I612)*BX92</f>
        <v>4440.740518414731</v>
      </c>
      <c r="J644" s="256">
        <f>(J630/J612)*BX93</f>
        <v>0</v>
      </c>
      <c r="K644" s="258">
        <f>SUM(C631:J644)</f>
        <v>3062986.6155187865</v>
      </c>
      <c r="L644" s="258"/>
      <c r="N644" s="252" t="s">
        <v>579</v>
      </c>
    </row>
    <row r="645" spans="1:14" s="231" customFormat="1" ht="12.6" customHeight="1" x14ac:dyDescent="0.2">
      <c r="A645" s="251">
        <v>8720</v>
      </c>
      <c r="B645" s="255" t="s">
        <v>580</v>
      </c>
      <c r="C645" s="256">
        <f>BY85</f>
        <v>284592</v>
      </c>
      <c r="D645" s="256">
        <f>(D615/D612)*BY90</f>
        <v>24286.871088861077</v>
      </c>
      <c r="E645" s="258">
        <f>(E623/E612)*SUM(C645:D645)</f>
        <v>30251.50939518958</v>
      </c>
      <c r="F645" s="258">
        <f>(F624/F612)*BY64</f>
        <v>1504.8271426678973</v>
      </c>
      <c r="G645" s="256">
        <f>(G625/G612)*BY91</f>
        <v>0</v>
      </c>
      <c r="H645" s="258">
        <f>(H628/H612)*BY60</f>
        <v>14223.218846624486</v>
      </c>
      <c r="I645" s="256">
        <f>(I629/I612)*BY92</f>
        <v>3233.1707283194974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" customHeight="1" x14ac:dyDescent="0.2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" customHeight="1" x14ac:dyDescent="0.2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358091.59720166255</v>
      </c>
      <c r="N647" s="252" t="s">
        <v>585</v>
      </c>
    </row>
    <row r="648" spans="1:14" s="231" customFormat="1" ht="12.6" customHeight="1" x14ac:dyDescent="0.2">
      <c r="A648" s="251"/>
      <c r="B648" s="251"/>
      <c r="C648" s="231">
        <f>SUM(C614:C647)</f>
        <v>6442090</v>
      </c>
      <c r="L648" s="254"/>
    </row>
    <row r="666" spans="1:14" s="231" customFormat="1" ht="12.6" customHeight="1" x14ac:dyDescent="0.2">
      <c r="C666" s="249" t="s">
        <v>586</v>
      </c>
      <c r="M666" s="249" t="s">
        <v>587</v>
      </c>
    </row>
    <row r="667" spans="1:14" s="231" customFormat="1" ht="12.6" customHeight="1" x14ac:dyDescent="0.2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" customHeight="1" x14ac:dyDescent="0.2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18">ROUND(SUM(D668:L668),0)</f>
        <v>0</v>
      </c>
      <c r="N668" s="250" t="s">
        <v>589</v>
      </c>
    </row>
    <row r="669" spans="1:14" s="231" customFormat="1" ht="12.6" customHeight="1" x14ac:dyDescent="0.2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" customHeight="1" x14ac:dyDescent="0.2">
      <c r="A670" s="251">
        <v>6070</v>
      </c>
      <c r="B670" s="250" t="s">
        <v>591</v>
      </c>
      <c r="C670" s="256">
        <f>E85</f>
        <v>1058091</v>
      </c>
      <c r="D670" s="256">
        <f>(D615/D612)*E90</f>
        <v>71330.097343902104</v>
      </c>
      <c r="E670" s="258">
        <f>(E623/E612)*SUM(C670:D670)</f>
        <v>110615.18328197656</v>
      </c>
      <c r="F670" s="258">
        <f>(F624/F612)*E64</f>
        <v>2008.9039528655796</v>
      </c>
      <c r="G670" s="256">
        <f>(G625/G612)*E91</f>
        <v>99163.465564573256</v>
      </c>
      <c r="H670" s="258">
        <f>(H628/H612)*E60</f>
        <v>31695.707515969221</v>
      </c>
      <c r="I670" s="256">
        <f>(I629/I612)*E92</f>
        <v>43355.65085083856</v>
      </c>
      <c r="J670" s="256">
        <f>(J630/J612)*E93</f>
        <v>12656.175834539525</v>
      </c>
      <c r="K670" s="256">
        <f>(K644/K612)*E89</f>
        <v>180992.18428391626</v>
      </c>
      <c r="L670" s="256">
        <f>(L647/L612)*E94</f>
        <v>83808.671685495487</v>
      </c>
      <c r="M670" s="231">
        <f t="shared" si="18"/>
        <v>635626</v>
      </c>
      <c r="N670" s="250" t="s">
        <v>592</v>
      </c>
    </row>
    <row r="671" spans="1:14" s="231" customFormat="1" ht="12.6" customHeight="1" x14ac:dyDescent="0.2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" customHeight="1" x14ac:dyDescent="0.2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" customHeight="1" x14ac:dyDescent="0.2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>
        <f>(G625/G612)*H91</f>
        <v>0</v>
      </c>
      <c r="H673" s="258">
        <f>(H628/H612)*H60</f>
        <v>0</v>
      </c>
      <c r="I673" s="256">
        <f>(I629/I612)*H92</f>
        <v>0</v>
      </c>
      <c r="J673" s="256">
        <f>(J630/J612)*H93</f>
        <v>0</v>
      </c>
      <c r="K673" s="256">
        <f>(K644/K612)*H89</f>
        <v>0</v>
      </c>
      <c r="L673" s="256">
        <f>(L647/L612)*H94</f>
        <v>0</v>
      </c>
      <c r="M673" s="231">
        <f t="shared" si="18"/>
        <v>0</v>
      </c>
      <c r="N673" s="250" t="s">
        <v>598</v>
      </c>
    </row>
    <row r="674" spans="1:14" s="231" customFormat="1" ht="12.6" customHeight="1" x14ac:dyDescent="0.2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" customHeight="1" x14ac:dyDescent="0.2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" customHeight="1" x14ac:dyDescent="0.2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" customHeight="1" x14ac:dyDescent="0.2">
      <c r="A677" s="251">
        <v>6210</v>
      </c>
      <c r="B677" s="250" t="s">
        <v>322</v>
      </c>
      <c r="C677" s="256">
        <f>L85</f>
        <v>1406779</v>
      </c>
      <c r="D677" s="256">
        <f>(D615/D612)*L90</f>
        <v>94831.572104018909</v>
      </c>
      <c r="E677" s="258">
        <f>(E623/E612)*SUM(C677:D677)</f>
        <v>147067.31531938346</v>
      </c>
      <c r="F677" s="258">
        <f>(F624/F612)*L64</f>
        <v>2670.9538627602028</v>
      </c>
      <c r="G677" s="256">
        <f>(G625/G612)*L91</f>
        <v>131820.30610388386</v>
      </c>
      <c r="H677" s="258">
        <f>(H628/H612)*L60</f>
        <v>42179.200717576059</v>
      </c>
      <c r="I677" s="256">
        <f>(I629/I612)*L92</f>
        <v>57651.719010998269</v>
      </c>
      <c r="J677" s="256">
        <f>(J630/J612)*L93</f>
        <v>16826.223513355755</v>
      </c>
      <c r="K677" s="256">
        <f>(K644/K612)*L89</f>
        <v>108350.05315982364</v>
      </c>
      <c r="L677" s="256">
        <f>(L647/L612)*L94</f>
        <v>111528.75458340599</v>
      </c>
      <c r="M677" s="231">
        <f t="shared" si="18"/>
        <v>712926</v>
      </c>
      <c r="N677" s="250" t="s">
        <v>603</v>
      </c>
    </row>
    <row r="678" spans="1:14" s="231" customFormat="1" ht="12.6" customHeight="1" x14ac:dyDescent="0.2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" customHeight="1" x14ac:dyDescent="0.2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" customHeight="1" x14ac:dyDescent="0.2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609</v>
      </c>
    </row>
    <row r="681" spans="1:14" s="231" customFormat="1" ht="12.6" customHeight="1" x14ac:dyDescent="0.2">
      <c r="A681" s="251">
        <v>7020</v>
      </c>
      <c r="B681" s="250" t="s">
        <v>610</v>
      </c>
      <c r="C681" s="256">
        <f>P85</f>
        <v>938291</v>
      </c>
      <c r="D681" s="256">
        <f>(D615/D612)*P90</f>
        <v>72558.537755527737</v>
      </c>
      <c r="E681" s="258">
        <f>(E623/E612)*SUM(C681:D681)</f>
        <v>99002.318225052499</v>
      </c>
      <c r="F681" s="258">
        <f>(F624/F612)*P64</f>
        <v>52828.011811885866</v>
      </c>
      <c r="G681" s="256">
        <f>(G625/G612)*P91</f>
        <v>0</v>
      </c>
      <c r="H681" s="258">
        <f>(H628/H612)*P60</f>
        <v>8521.6699124172555</v>
      </c>
      <c r="I681" s="256">
        <f>(I629/I612)*P92</f>
        <v>12153.60562934558</v>
      </c>
      <c r="J681" s="256">
        <f>(J630/J612)*P93</f>
        <v>9730.8839108785578</v>
      </c>
      <c r="K681" s="256">
        <f>(K644/K612)*P89</f>
        <v>224439.75640883693</v>
      </c>
      <c r="L681" s="256">
        <f>(L647/L612)*P94</f>
        <v>46848.561154948155</v>
      </c>
      <c r="M681" s="231">
        <f t="shared" si="18"/>
        <v>526083</v>
      </c>
      <c r="N681" s="250" t="s">
        <v>611</v>
      </c>
    </row>
    <row r="682" spans="1:14" s="231" customFormat="1" ht="12.6" customHeight="1" x14ac:dyDescent="0.2">
      <c r="A682" s="251">
        <v>7030</v>
      </c>
      <c r="B682" s="250" t="s">
        <v>612</v>
      </c>
      <c r="C682" s="256">
        <f>Q85</f>
        <v>141282</v>
      </c>
      <c r="D682" s="256">
        <f>(D615/D612)*Q90</f>
        <v>0</v>
      </c>
      <c r="E682" s="258">
        <f>(E623/E612)*SUM(C682:D682)</f>
        <v>13837.119176538277</v>
      </c>
      <c r="F682" s="258">
        <f>(F624/F612)*Q64</f>
        <v>190.199176547592</v>
      </c>
      <c r="G682" s="256">
        <f>(G625/G612)*Q91</f>
        <v>0</v>
      </c>
      <c r="H682" s="258">
        <f>(H628/H612)*Q60</f>
        <v>9196.0466680761765</v>
      </c>
      <c r="I682" s="256">
        <f>(I629/I612)*Q92</f>
        <v>3778.5248270721836</v>
      </c>
      <c r="J682" s="256">
        <f>(J630/J612)*Q93</f>
        <v>0</v>
      </c>
      <c r="K682" s="256">
        <f>(K644/K612)*Q89</f>
        <v>9712.5229110525379</v>
      </c>
      <c r="L682" s="256">
        <f>(L647/L612)*Q94</f>
        <v>0</v>
      </c>
      <c r="M682" s="231">
        <f t="shared" si="18"/>
        <v>36714</v>
      </c>
      <c r="N682" s="250" t="s">
        <v>613</v>
      </c>
    </row>
    <row r="683" spans="1:14" s="231" customFormat="1" ht="12.6" customHeight="1" x14ac:dyDescent="0.2">
      <c r="A683" s="251">
        <v>7040</v>
      </c>
      <c r="B683" s="250" t="s">
        <v>118</v>
      </c>
      <c r="C683" s="256">
        <f>R85</f>
        <v>583579</v>
      </c>
      <c r="D683" s="256">
        <f>(D615/D612)*R90</f>
        <v>543.73591989987483</v>
      </c>
      <c r="E683" s="258">
        <f>(E623/E612)*SUM(C683:D683)</f>
        <v>57208.815777305324</v>
      </c>
      <c r="F683" s="258">
        <f>(F624/F612)*R64</f>
        <v>807.06725572255266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103115.31788640717</v>
      </c>
      <c r="L683" s="256">
        <f>(L647/L612)*R94</f>
        <v>0</v>
      </c>
      <c r="M683" s="231">
        <f t="shared" si="18"/>
        <v>161675</v>
      </c>
      <c r="N683" s="250" t="s">
        <v>614</v>
      </c>
    </row>
    <row r="684" spans="1:14" s="231" customFormat="1" ht="12.6" customHeight="1" x14ac:dyDescent="0.2">
      <c r="A684" s="251">
        <v>7050</v>
      </c>
      <c r="B684" s="250" t="s">
        <v>615</v>
      </c>
      <c r="C684" s="256">
        <f>S85</f>
        <v>100081</v>
      </c>
      <c r="D684" s="256">
        <f>(D615/D612)*S90</f>
        <v>40357.288277012929</v>
      </c>
      <c r="E684" s="258">
        <f>(E623/E612)*SUM(C684:D684)</f>
        <v>13754.486288685512</v>
      </c>
      <c r="F684" s="258">
        <f>(F624/F612)*S64</f>
        <v>981.69775325108014</v>
      </c>
      <c r="G684" s="256">
        <f>(G625/G612)*S91</f>
        <v>0</v>
      </c>
      <c r="H684" s="258">
        <f>(H628/H612)*S60</f>
        <v>11341.790890627284</v>
      </c>
      <c r="I684" s="256">
        <f>(I629/I612)*S92</f>
        <v>18853.670271164297</v>
      </c>
      <c r="J684" s="256">
        <f>(J630/J612)*S93</f>
        <v>822.88322733727682</v>
      </c>
      <c r="K684" s="256">
        <f>(K644/K612)*S89</f>
        <v>324959.69241383974</v>
      </c>
      <c r="L684" s="256">
        <f>(L647/L612)*S94</f>
        <v>0</v>
      </c>
      <c r="M684" s="231">
        <f t="shared" si="18"/>
        <v>411072</v>
      </c>
      <c r="N684" s="250" t="s">
        <v>616</v>
      </c>
    </row>
    <row r="685" spans="1:14" s="231" customFormat="1" ht="12.6" customHeight="1" x14ac:dyDescent="0.2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" customHeight="1" x14ac:dyDescent="0.2">
      <c r="A686" s="251">
        <v>7070</v>
      </c>
      <c r="B686" s="250" t="s">
        <v>121</v>
      </c>
      <c r="C686" s="256">
        <f>U85</f>
        <v>1022862</v>
      </c>
      <c r="D686" s="256">
        <f>(D615/D612)*U90</f>
        <v>25112.544152412738</v>
      </c>
      <c r="E686" s="258">
        <f>(E623/E612)*SUM(C686:D686)</f>
        <v>102638.33086603608</v>
      </c>
      <c r="F686" s="258">
        <f>(F624/F612)*U64</f>
        <v>31129.737006441315</v>
      </c>
      <c r="G686" s="256">
        <f>(G625/G612)*U91</f>
        <v>0</v>
      </c>
      <c r="H686" s="258">
        <f>(H628/H612)*U60</f>
        <v>27342.912093079831</v>
      </c>
      <c r="I686" s="256">
        <f>(I629/I612)*U92</f>
        <v>13867.575653996881</v>
      </c>
      <c r="J686" s="256">
        <f>(J630/J612)*U93</f>
        <v>0</v>
      </c>
      <c r="K686" s="256">
        <f>(K644/K612)*U89</f>
        <v>297015.33246702468</v>
      </c>
      <c r="L686" s="256">
        <f>(L647/L612)*U94</f>
        <v>0</v>
      </c>
      <c r="M686" s="231">
        <f t="shared" si="18"/>
        <v>497106</v>
      </c>
      <c r="N686" s="250" t="s">
        <v>619</v>
      </c>
    </row>
    <row r="687" spans="1:14" s="231" customFormat="1" ht="12.6" customHeight="1" x14ac:dyDescent="0.2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621</v>
      </c>
    </row>
    <row r="688" spans="1:14" s="231" customFormat="1" ht="12.6" customHeight="1" x14ac:dyDescent="0.2">
      <c r="A688" s="251">
        <v>7120</v>
      </c>
      <c r="B688" s="250" t="s">
        <v>622</v>
      </c>
      <c r="C688" s="256">
        <f>W85</f>
        <v>77955</v>
      </c>
      <c r="D688" s="256">
        <f>(D615/D612)*W90</f>
        <v>1027.0567375886524</v>
      </c>
      <c r="E688" s="258">
        <f>(E623/E612)*SUM(C688:D688)</f>
        <v>7735.4803293138693</v>
      </c>
      <c r="F688" s="258">
        <f>(F624/F612)*W64</f>
        <v>20.576785556665648</v>
      </c>
      <c r="G688" s="256">
        <f>(G625/G612)*W91</f>
        <v>0</v>
      </c>
      <c r="H688" s="258">
        <f>(H628/H612)*W60</f>
        <v>490.45582229739608</v>
      </c>
      <c r="I688" s="256">
        <f>(I629/I612)*W92</f>
        <v>662.21569134254764</v>
      </c>
      <c r="J688" s="256">
        <f>(J630/J612)*W93</f>
        <v>282.793672493374</v>
      </c>
      <c r="K688" s="256">
        <f>(K644/K612)*W89</f>
        <v>56886.913037760416</v>
      </c>
      <c r="L688" s="256">
        <f>(L647/L612)*W94</f>
        <v>0</v>
      </c>
      <c r="M688" s="231">
        <f t="shared" si="18"/>
        <v>67105</v>
      </c>
      <c r="N688" s="250" t="s">
        <v>623</v>
      </c>
    </row>
    <row r="689" spans="1:14" s="231" customFormat="1" ht="12.6" customHeight="1" x14ac:dyDescent="0.2">
      <c r="A689" s="251">
        <v>7130</v>
      </c>
      <c r="B689" s="250" t="s">
        <v>624</v>
      </c>
      <c r="C689" s="256">
        <f>X85</f>
        <v>270470</v>
      </c>
      <c r="D689" s="256">
        <f>(D615/D612)*X90</f>
        <v>13210.769016826589</v>
      </c>
      <c r="E689" s="258">
        <f>(E623/E612)*SUM(C689:D689)</f>
        <v>27783.614395166096</v>
      </c>
      <c r="F689" s="258">
        <f>(F624/F612)*X64</f>
        <v>263.68769639282647</v>
      </c>
      <c r="G689" s="256">
        <f>(G625/G612)*X91</f>
        <v>0</v>
      </c>
      <c r="H689" s="258">
        <f>(H628/H612)*X60</f>
        <v>6314.6187120789746</v>
      </c>
      <c r="I689" s="256">
        <f>(I629/I612)*X92</f>
        <v>8219.265345486916</v>
      </c>
      <c r="J689" s="256">
        <f>(J630/J612)*X93</f>
        <v>3590.5524482970191</v>
      </c>
      <c r="K689" s="256">
        <f>(K644/K612)*X89</f>
        <v>290458.39645318658</v>
      </c>
      <c r="L689" s="256">
        <f>(L647/L612)*X94</f>
        <v>0</v>
      </c>
      <c r="M689" s="231">
        <f t="shared" si="18"/>
        <v>349841</v>
      </c>
      <c r="N689" s="250" t="s">
        <v>625</v>
      </c>
    </row>
    <row r="690" spans="1:14" s="231" customFormat="1" ht="12.6" customHeight="1" x14ac:dyDescent="0.2">
      <c r="A690" s="251">
        <v>7140</v>
      </c>
      <c r="B690" s="250" t="s">
        <v>626</v>
      </c>
      <c r="C690" s="256">
        <f>Y85</f>
        <v>696064</v>
      </c>
      <c r="D690" s="256">
        <f>(D615/D612)*Y90</f>
        <v>39310.093172020577</v>
      </c>
      <c r="E690" s="258">
        <f>(E623/E612)*SUM(C690:D690)</f>
        <v>72022.330987387017</v>
      </c>
      <c r="F690" s="258">
        <f>(F624/F612)*Y64</f>
        <v>784.09528877833861</v>
      </c>
      <c r="G690" s="256">
        <f>(G625/G612)*Y91</f>
        <v>0</v>
      </c>
      <c r="H690" s="258">
        <f>(H628/H612)*Y60</f>
        <v>18759.9352028754</v>
      </c>
      <c r="I690" s="256">
        <f>(I629/I612)*Y92</f>
        <v>24501.980579674262</v>
      </c>
      <c r="J690" s="256">
        <f>(J630/J612)*Y93</f>
        <v>10681.25608893006</v>
      </c>
      <c r="K690" s="256">
        <f>(K644/K612)*Y89</f>
        <v>433721.82903561334</v>
      </c>
      <c r="L690" s="256">
        <f>(L647/L612)*Y94</f>
        <v>0</v>
      </c>
      <c r="M690" s="231">
        <f t="shared" si="18"/>
        <v>599782</v>
      </c>
      <c r="N690" s="250" t="s">
        <v>627</v>
      </c>
    </row>
    <row r="691" spans="1:14" s="231" customFormat="1" ht="12.6" customHeight="1" x14ac:dyDescent="0.2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" customHeight="1" x14ac:dyDescent="0.2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0</v>
      </c>
      <c r="L692" s="256">
        <f>(L647/L612)*AA94</f>
        <v>0</v>
      </c>
      <c r="M692" s="231">
        <f t="shared" si="18"/>
        <v>0</v>
      </c>
      <c r="N692" s="250" t="s">
        <v>631</v>
      </c>
    </row>
    <row r="693" spans="1:14" s="231" customFormat="1" ht="12.6" customHeight="1" x14ac:dyDescent="0.2">
      <c r="A693" s="251">
        <v>7170</v>
      </c>
      <c r="B693" s="250" t="s">
        <v>127</v>
      </c>
      <c r="C693" s="256">
        <f>AB85</f>
        <v>636846</v>
      </c>
      <c r="D693" s="256">
        <f>(D615/D612)*AB90</f>
        <v>20239.059240717565</v>
      </c>
      <c r="E693" s="258">
        <f>(E623/E612)*SUM(C693:D693)</f>
        <v>64354.725115984504</v>
      </c>
      <c r="F693" s="258">
        <f>(F624/F612)*AB64</f>
        <v>42517.844657302601</v>
      </c>
      <c r="G693" s="256">
        <f>(G625/G612)*AB91</f>
        <v>0</v>
      </c>
      <c r="H693" s="258">
        <f>(H628/H612)*AB60</f>
        <v>6253.3117342918003</v>
      </c>
      <c r="I693" s="256">
        <f>(I629/I612)*AB92</f>
        <v>5609.3564443133446</v>
      </c>
      <c r="J693" s="256">
        <f>(J630/J612)*AB93</f>
        <v>0</v>
      </c>
      <c r="K693" s="256">
        <f>(K644/K612)*AB89</f>
        <v>213395.86649080101</v>
      </c>
      <c r="L693" s="256">
        <f>(L647/L612)*AB94</f>
        <v>16534.786289981701</v>
      </c>
      <c r="M693" s="231">
        <f t="shared" si="18"/>
        <v>368905</v>
      </c>
      <c r="N693" s="250" t="s">
        <v>632</v>
      </c>
    </row>
    <row r="694" spans="1:14" s="231" customFormat="1" ht="12.6" customHeight="1" x14ac:dyDescent="0.2">
      <c r="A694" s="251">
        <v>7180</v>
      </c>
      <c r="B694" s="250" t="s">
        <v>633</v>
      </c>
      <c r="C694" s="256">
        <f>AC85</f>
        <v>48476</v>
      </c>
      <c r="D694" s="256">
        <f>(D615/D612)*AC90</f>
        <v>5034.5918509247667</v>
      </c>
      <c r="E694" s="258">
        <f>(E623/E612)*SUM(C694:D694)</f>
        <v>5240.8122524337414</v>
      </c>
      <c r="F694" s="258">
        <f>(F624/F612)*AC64</f>
        <v>4289.2255056928916</v>
      </c>
      <c r="G694" s="256">
        <f>(G625/G612)*AC91</f>
        <v>0</v>
      </c>
      <c r="H694" s="258">
        <f>(H628/H612)*AC60</f>
        <v>0</v>
      </c>
      <c r="I694" s="256">
        <f>(I629/I612)*AC92</f>
        <v>9115.2042220091862</v>
      </c>
      <c r="J694" s="256">
        <f>(J630/J612)*AC93</f>
        <v>0</v>
      </c>
      <c r="K694" s="256">
        <f>(K644/K612)*AC89</f>
        <v>20533.898387190908</v>
      </c>
      <c r="L694" s="256">
        <f>(L647/L612)*AC94</f>
        <v>0</v>
      </c>
      <c r="M694" s="231">
        <f t="shared" si="18"/>
        <v>44214</v>
      </c>
      <c r="N694" s="250" t="s">
        <v>634</v>
      </c>
    </row>
    <row r="695" spans="1:14" s="231" customFormat="1" ht="12.6" customHeight="1" x14ac:dyDescent="0.2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" customHeight="1" x14ac:dyDescent="0.2">
      <c r="A696" s="251">
        <v>7200</v>
      </c>
      <c r="B696" s="250" t="s">
        <v>636</v>
      </c>
      <c r="C696" s="256">
        <f>AE85</f>
        <v>127731</v>
      </c>
      <c r="D696" s="256">
        <f>(D615/D612)*AE90</f>
        <v>16312.077596996245</v>
      </c>
      <c r="E696" s="258">
        <f>(E623/E612)*SUM(C696:D696)</f>
        <v>14107.538336553756</v>
      </c>
      <c r="F696" s="258">
        <f>(F624/F612)*AE64</f>
        <v>0</v>
      </c>
      <c r="G696" s="256">
        <f>(G625/G612)*AE91</f>
        <v>0</v>
      </c>
      <c r="H696" s="258">
        <f>(H628/H612)*AE60</f>
        <v>4352.7954228893896</v>
      </c>
      <c r="I696" s="256">
        <f>(I629/I612)*AE92</f>
        <v>2259.3241234039861</v>
      </c>
      <c r="J696" s="256">
        <f>(J630/J612)*AE93</f>
        <v>0</v>
      </c>
      <c r="K696" s="256">
        <f>(K644/K612)*AE89</f>
        <v>18682.179697274598</v>
      </c>
      <c r="L696" s="256">
        <f>(L647/L612)*AE94</f>
        <v>0</v>
      </c>
      <c r="M696" s="231">
        <f t="shared" si="18"/>
        <v>55714</v>
      </c>
      <c r="N696" s="250" t="s">
        <v>637</v>
      </c>
    </row>
    <row r="697" spans="1:14" s="231" customFormat="1" ht="12.6" customHeight="1" x14ac:dyDescent="0.2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" customHeight="1" x14ac:dyDescent="0.2">
      <c r="A698" s="251">
        <v>7230</v>
      </c>
      <c r="B698" s="250" t="s">
        <v>640</v>
      </c>
      <c r="C698" s="256">
        <f>AG85</f>
        <v>2546248</v>
      </c>
      <c r="D698" s="256">
        <f>(D615/D612)*AG90</f>
        <v>100571.00681407315</v>
      </c>
      <c r="E698" s="258">
        <f>(E623/E612)*SUM(C698:D698)</f>
        <v>259228.70596405069</v>
      </c>
      <c r="F698" s="258">
        <f>(F624/F612)*AG64</f>
        <v>8654.3347126185654</v>
      </c>
      <c r="G698" s="256">
        <f>(G625/G612)*AG91</f>
        <v>0</v>
      </c>
      <c r="H698" s="258">
        <f>(H628/H612)*AG60</f>
        <v>29917.805160141161</v>
      </c>
      <c r="I698" s="256">
        <f>(I629/I612)*AG92</f>
        <v>98007.922318697048</v>
      </c>
      <c r="J698" s="256">
        <f>(J630/J612)*AG93</f>
        <v>55010.323242727478</v>
      </c>
      <c r="K698" s="256">
        <f>(K644/K612)*AG89</f>
        <v>630100.72092119092</v>
      </c>
      <c r="L698" s="256">
        <f>(L647/L612)*AG94</f>
        <v>79107.60499520658</v>
      </c>
      <c r="M698" s="231">
        <f t="shared" si="18"/>
        <v>1260598</v>
      </c>
      <c r="N698" s="250" t="s">
        <v>641</v>
      </c>
    </row>
    <row r="699" spans="1:14" s="231" customFormat="1" ht="12.6" customHeight="1" x14ac:dyDescent="0.2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" customHeight="1" x14ac:dyDescent="0.2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" customHeight="1" x14ac:dyDescent="0.2">
      <c r="A701" s="251">
        <v>7260</v>
      </c>
      <c r="B701" s="250" t="s">
        <v>133</v>
      </c>
      <c r="C701" s="256">
        <f>AJ85</f>
        <v>1856875</v>
      </c>
      <c r="D701" s="256">
        <f>(D615/D612)*AJ90</f>
        <v>119923.97788902794</v>
      </c>
      <c r="E701" s="258">
        <f>(E623/E612)*SUM(C701:D701)</f>
        <v>193607.13357051523</v>
      </c>
      <c r="F701" s="258">
        <f>(F624/F612)*AJ64</f>
        <v>11550.979985214579</v>
      </c>
      <c r="G701" s="256">
        <f>(G625/G612)*AJ91</f>
        <v>0</v>
      </c>
      <c r="H701" s="258">
        <f>(H628/H612)*AJ60</f>
        <v>94106.210903312865</v>
      </c>
      <c r="I701" s="256">
        <f>(I629/I612)*AJ92</f>
        <v>34902.662320171927</v>
      </c>
      <c r="J701" s="256">
        <f>(J630/J612)*AJ93</f>
        <v>391.73877583098533</v>
      </c>
      <c r="K701" s="256">
        <f>(K644/K612)*AJ89</f>
        <v>104580.8577807437</v>
      </c>
      <c r="L701" s="256">
        <f>(L647/L612)*AJ94</f>
        <v>0</v>
      </c>
      <c r="M701" s="231">
        <f t="shared" si="18"/>
        <v>559064</v>
      </c>
      <c r="N701" s="250" t="s">
        <v>645</v>
      </c>
    </row>
    <row r="702" spans="1:14" s="231" customFormat="1" ht="12.6" customHeight="1" x14ac:dyDescent="0.2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" customHeight="1" x14ac:dyDescent="0.2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" customHeight="1" x14ac:dyDescent="0.2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651</v>
      </c>
    </row>
    <row r="705" spans="1:14" s="231" customFormat="1" ht="12.6" customHeight="1" x14ac:dyDescent="0.2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" customHeight="1" x14ac:dyDescent="0.2">
      <c r="A706" s="251">
        <v>7350</v>
      </c>
      <c r="B706" s="250" t="s">
        <v>654</v>
      </c>
      <c r="C706" s="256">
        <f>AO85</f>
        <v>254899</v>
      </c>
      <c r="D706" s="256">
        <f>(D615/D612)*AO90</f>
        <v>17178.027395355304</v>
      </c>
      <c r="E706" s="258">
        <f>(E623/E612)*SUM(C706:D706)</f>
        <v>26647.147218101392</v>
      </c>
      <c r="F706" s="258">
        <f>(F624/F612)*AO64</f>
        <v>483.93551216602543</v>
      </c>
      <c r="G706" s="256">
        <f>(G625/G612)*AO91</f>
        <v>23858.878932829655</v>
      </c>
      <c r="H706" s="258">
        <f>(H628/H612)*AO60</f>
        <v>7663.3722233968138</v>
      </c>
      <c r="I706" s="256">
        <f>(I629/I612)*AO92</f>
        <v>10478.589468890901</v>
      </c>
      <c r="J706" s="256">
        <f>(J630/J612)*AO93</f>
        <v>3050.4628934531165</v>
      </c>
      <c r="K706" s="256">
        <f>(K644/K612)*AO89</f>
        <v>46041.094184124049</v>
      </c>
      <c r="L706" s="256">
        <f>(L647/L612)*AO94</f>
        <v>20263.218492624634</v>
      </c>
      <c r="M706" s="231">
        <f t="shared" si="18"/>
        <v>155665</v>
      </c>
      <c r="N706" s="250" t="s">
        <v>655</v>
      </c>
    </row>
    <row r="707" spans="1:14" s="231" customFormat="1" ht="12.6" customHeight="1" x14ac:dyDescent="0.2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" customHeight="1" x14ac:dyDescent="0.2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" customHeight="1" x14ac:dyDescent="0.2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" customHeight="1" x14ac:dyDescent="0.2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" customHeight="1" x14ac:dyDescent="0.2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" customHeight="1" x14ac:dyDescent="0.2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" customHeight="1" x14ac:dyDescent="0.2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>
        <f>(G625/G612)*AV91</f>
        <v>0</v>
      </c>
      <c r="H713" s="258">
        <f>(H628/H612)*AV60</f>
        <v>0</v>
      </c>
      <c r="I713" s="256">
        <f>(I629/I612)*AV92</f>
        <v>0</v>
      </c>
      <c r="J713" s="256">
        <f>(J630/J612)*AV93</f>
        <v>0</v>
      </c>
      <c r="K713" s="256">
        <f>(K644/K612)*AV89</f>
        <v>0</v>
      </c>
      <c r="L713" s="256">
        <f>(L647/L612)*AV94</f>
        <v>0</v>
      </c>
      <c r="M713" s="231">
        <f t="shared" si="18"/>
        <v>0</v>
      </c>
      <c r="N713" s="252" t="s">
        <v>668</v>
      </c>
    </row>
    <row r="714" spans="1:14" s="231" customFormat="1" ht="12.6" customHeight="1" x14ac:dyDescent="0.2"/>
    <row r="715" spans="1:14" s="231" customFormat="1" ht="12.6" customHeight="1" x14ac:dyDescent="0.2">
      <c r="C715" s="253">
        <f>SUM(C614:C647)+SUM(C668:C713)</f>
        <v>18208619</v>
      </c>
      <c r="D715" s="231">
        <f>SUM(D616:D647)+SUM(D668:D713)</f>
        <v>1013705</v>
      </c>
      <c r="E715" s="231">
        <f>SUM(E624:E647)+SUM(E668:E713)</f>
        <v>1624266.7730496456</v>
      </c>
      <c r="F715" s="231">
        <f>SUM(F625:F648)+SUM(F668:F713)</f>
        <v>174163.9815173618</v>
      </c>
      <c r="G715" s="231">
        <f>SUM(G626:G647)+SUM(G668:G713)</f>
        <v>384948.09978187352</v>
      </c>
      <c r="H715" s="231">
        <f>SUM(H629:H647)+SUM(H668:H713)</f>
        <v>458760.11478142685</v>
      </c>
      <c r="I715" s="231">
        <f>SUM(I630:I647)+SUM(I668:I713)</f>
        <v>365854.69253465935</v>
      </c>
      <c r="J715" s="231">
        <f>SUM(J631:J647)+SUM(J668:J713)</f>
        <v>113043.29360784317</v>
      </c>
      <c r="K715" s="231">
        <f>SUM(K668:K713)</f>
        <v>3062986.6155187865</v>
      </c>
      <c r="L715" s="231">
        <f>SUM(L668:L713)</f>
        <v>358091.59720166255</v>
      </c>
      <c r="M715" s="231">
        <f>SUM(M668:M713)</f>
        <v>6442090</v>
      </c>
      <c r="N715" s="250" t="s">
        <v>669</v>
      </c>
    </row>
    <row r="716" spans="1:14" s="231" customFormat="1" ht="12.6" customHeight="1" x14ac:dyDescent="0.2">
      <c r="C716" s="253">
        <f>CE85</f>
        <v>18208619</v>
      </c>
      <c r="D716" s="231">
        <f>D615</f>
        <v>1013705</v>
      </c>
      <c r="E716" s="231">
        <f>E623</f>
        <v>1624266.7730496454</v>
      </c>
      <c r="F716" s="231">
        <f>F624</f>
        <v>174163.98151736183</v>
      </c>
      <c r="G716" s="231">
        <f>G625</f>
        <v>384948.09978187352</v>
      </c>
      <c r="H716" s="231">
        <f>H628</f>
        <v>458760.11478142673</v>
      </c>
      <c r="I716" s="231">
        <f>I629</f>
        <v>365854.69253465929</v>
      </c>
      <c r="J716" s="231">
        <f>J630</f>
        <v>113043.29360784315</v>
      </c>
      <c r="K716" s="231">
        <f>K644</f>
        <v>3062986.6155187865</v>
      </c>
      <c r="L716" s="231">
        <f>L647</f>
        <v>358091.59720166255</v>
      </c>
      <c r="M716" s="231">
        <f>C648</f>
        <v>6442090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65EB938-B79B-4062-94E3-B31628E25009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175" workbookViewId="0">
      <selection activeCell="O32" sqref="O32"/>
    </sheetView>
  </sheetViews>
  <sheetFormatPr defaultColWidth="57.44140625" defaultRowHeight="15" x14ac:dyDescent="0.25"/>
  <cols>
    <col min="1" max="1" width="5.77734375" style="12" customWidth="1"/>
    <col min="2" max="2" width="55.77734375" style="12" customWidth="1"/>
    <col min="3" max="3" width="22" style="12" customWidth="1"/>
    <col min="4" max="4" width="5.6640625" style="12" customWidth="1"/>
    <col min="5" max="6" width="57.44140625" style="12" customWidth="1"/>
    <col min="7" max="16384" width="57.44140625" style="12"/>
  </cols>
  <sheetData>
    <row r="1" spans="1:3" ht="20.100000000000001" customHeight="1" x14ac:dyDescent="0.25">
      <c r="A1" s="182" t="s">
        <v>871</v>
      </c>
      <c r="B1" s="183"/>
      <c r="C1" s="183"/>
    </row>
    <row r="2" spans="1:3" ht="20.100000000000001" customHeight="1" x14ac:dyDescent="0.25">
      <c r="A2" s="182"/>
      <c r="B2" s="183"/>
      <c r="C2" s="108" t="s">
        <v>872</v>
      </c>
    </row>
    <row r="3" spans="1:3" ht="20.100000000000001" customHeight="1" x14ac:dyDescent="0.25">
      <c r="A3" s="134" t="str">
        <f>"Hospital: "&amp;data!C98</f>
        <v>Hospital: Three Rivers Hospital</v>
      </c>
      <c r="B3" s="184"/>
      <c r="C3" s="156" t="str">
        <f>"FYE: "&amp;data!C96</f>
        <v>FYE: 12/31/2022</v>
      </c>
    </row>
    <row r="4" spans="1:3" ht="20.100000000000001" customHeight="1" x14ac:dyDescent="0.25">
      <c r="A4" s="185"/>
      <c r="B4" s="186" t="s">
        <v>873</v>
      </c>
      <c r="C4" s="187"/>
    </row>
    <row r="5" spans="1:3" ht="20.100000000000001" customHeight="1" x14ac:dyDescent="0.25">
      <c r="A5" s="188">
        <v>1</v>
      </c>
      <c r="B5" s="189" t="s">
        <v>396</v>
      </c>
      <c r="C5" s="189"/>
    </row>
    <row r="6" spans="1:3" ht="20.100000000000001" customHeight="1" x14ac:dyDescent="0.25">
      <c r="A6" s="188">
        <v>2</v>
      </c>
      <c r="B6" s="190" t="s">
        <v>397</v>
      </c>
      <c r="C6" s="190">
        <f>data!C266</f>
        <v>5031081</v>
      </c>
    </row>
    <row r="7" spans="1:3" ht="20.100000000000001" customHeight="1" x14ac:dyDescent="0.25">
      <c r="A7" s="188">
        <v>3</v>
      </c>
      <c r="B7" s="190" t="s">
        <v>398</v>
      </c>
      <c r="C7" s="190">
        <f>data!C267</f>
        <v>0</v>
      </c>
    </row>
    <row r="8" spans="1:3" ht="20.100000000000001" customHeight="1" x14ac:dyDescent="0.25">
      <c r="A8" s="188">
        <v>4</v>
      </c>
      <c r="B8" s="190" t="s">
        <v>399</v>
      </c>
      <c r="C8" s="190">
        <f>data!C268</f>
        <v>7310255</v>
      </c>
    </row>
    <row r="9" spans="1:3" ht="20.100000000000001" customHeight="1" x14ac:dyDescent="0.25">
      <c r="A9" s="188">
        <v>5</v>
      </c>
      <c r="B9" s="190" t="s">
        <v>874</v>
      </c>
      <c r="C9" s="190">
        <f>data!C269</f>
        <v>3377000</v>
      </c>
    </row>
    <row r="10" spans="1:3" ht="20.100000000000001" customHeight="1" x14ac:dyDescent="0.25">
      <c r="A10" s="188">
        <v>6</v>
      </c>
      <c r="B10" s="190" t="s">
        <v>875</v>
      </c>
      <c r="C10" s="190">
        <f>data!C270</f>
        <v>0</v>
      </c>
    </row>
    <row r="11" spans="1:3" ht="20.100000000000001" customHeight="1" x14ac:dyDescent="0.25">
      <c r="A11" s="188">
        <v>7</v>
      </c>
      <c r="B11" s="190" t="s">
        <v>876</v>
      </c>
      <c r="C11" s="190">
        <f>data!C271</f>
        <v>132531</v>
      </c>
    </row>
    <row r="12" spans="1:3" ht="20.100000000000001" customHeight="1" x14ac:dyDescent="0.25">
      <c r="A12" s="188">
        <v>8</v>
      </c>
      <c r="B12" s="190" t="s">
        <v>403</v>
      </c>
      <c r="C12" s="190">
        <f>data!C272</f>
        <v>0</v>
      </c>
    </row>
    <row r="13" spans="1:3" ht="20.100000000000001" customHeight="1" x14ac:dyDescent="0.25">
      <c r="A13" s="188">
        <v>9</v>
      </c>
      <c r="B13" s="190" t="s">
        <v>404</v>
      </c>
      <c r="C13" s="190">
        <f>data!C273</f>
        <v>243206</v>
      </c>
    </row>
    <row r="14" spans="1:3" ht="20.100000000000001" customHeight="1" x14ac:dyDescent="0.25">
      <c r="A14" s="188">
        <v>10</v>
      </c>
      <c r="B14" s="190" t="s">
        <v>405</v>
      </c>
      <c r="C14" s="190">
        <f>data!C274</f>
        <v>263050</v>
      </c>
    </row>
    <row r="15" spans="1:3" ht="20.100000000000001" customHeight="1" x14ac:dyDescent="0.25">
      <c r="A15" s="188">
        <v>11</v>
      </c>
      <c r="B15" s="190" t="s">
        <v>877</v>
      </c>
      <c r="C15" s="190">
        <f>data!C275</f>
        <v>0</v>
      </c>
    </row>
    <row r="16" spans="1:3" ht="20.100000000000001" customHeight="1" x14ac:dyDescent="0.25">
      <c r="A16" s="188">
        <v>12</v>
      </c>
      <c r="B16" s="190" t="s">
        <v>878</v>
      </c>
      <c r="C16" s="190">
        <f>data!D276</f>
        <v>9603123</v>
      </c>
    </row>
    <row r="17" spans="1:3" ht="20.100000000000001" customHeight="1" x14ac:dyDescent="0.25">
      <c r="A17" s="188">
        <v>13</v>
      </c>
      <c r="B17" s="190"/>
      <c r="C17" s="190"/>
    </row>
    <row r="18" spans="1:3" ht="20.100000000000001" customHeight="1" x14ac:dyDescent="0.25">
      <c r="A18" s="188">
        <v>14</v>
      </c>
      <c r="B18" s="191" t="s">
        <v>879</v>
      </c>
      <c r="C18" s="189"/>
    </row>
    <row r="19" spans="1:3" ht="20.100000000000001" customHeight="1" x14ac:dyDescent="0.25">
      <c r="A19" s="188">
        <v>15</v>
      </c>
      <c r="B19" s="190" t="s">
        <v>397</v>
      </c>
      <c r="C19" s="190">
        <f>data!C278</f>
        <v>0</v>
      </c>
    </row>
    <row r="20" spans="1:3" ht="20.100000000000001" customHeight="1" x14ac:dyDescent="0.25">
      <c r="A20" s="188">
        <v>16</v>
      </c>
      <c r="B20" s="190" t="s">
        <v>398</v>
      </c>
      <c r="C20" s="190">
        <f>data!C279</f>
        <v>0</v>
      </c>
    </row>
    <row r="21" spans="1:3" ht="20.100000000000001" customHeight="1" x14ac:dyDescent="0.25">
      <c r="A21" s="188">
        <v>17</v>
      </c>
      <c r="B21" s="190" t="s">
        <v>409</v>
      </c>
      <c r="C21" s="190">
        <f>data!C280</f>
        <v>0</v>
      </c>
    </row>
    <row r="22" spans="1:3" ht="20.100000000000001" customHeight="1" x14ac:dyDescent="0.25">
      <c r="A22" s="188">
        <v>18</v>
      </c>
      <c r="B22" s="190" t="s">
        <v>880</v>
      </c>
      <c r="C22" s="190">
        <f>data!D281</f>
        <v>0</v>
      </c>
    </row>
    <row r="23" spans="1:3" ht="20.100000000000001" customHeight="1" x14ac:dyDescent="0.25">
      <c r="A23" s="188">
        <v>19</v>
      </c>
      <c r="B23" s="192"/>
      <c r="C23" s="190"/>
    </row>
    <row r="24" spans="1:3" ht="20.100000000000001" customHeight="1" x14ac:dyDescent="0.25">
      <c r="A24" s="188">
        <v>20</v>
      </c>
      <c r="B24" s="191" t="s">
        <v>881</v>
      </c>
      <c r="C24" s="189"/>
    </row>
    <row r="25" spans="1:3" ht="20.100000000000001" customHeight="1" x14ac:dyDescent="0.25">
      <c r="A25" s="188">
        <v>21</v>
      </c>
      <c r="B25" s="190" t="s">
        <v>366</v>
      </c>
      <c r="C25" s="190">
        <f>data!C283</f>
        <v>10750</v>
      </c>
    </row>
    <row r="26" spans="1:3" ht="20.100000000000001" customHeight="1" x14ac:dyDescent="0.25">
      <c r="A26" s="188">
        <v>22</v>
      </c>
      <c r="B26" s="190" t="s">
        <v>367</v>
      </c>
      <c r="C26" s="190">
        <f>data!C284</f>
        <v>292948</v>
      </c>
    </row>
    <row r="27" spans="1:3" ht="20.100000000000001" customHeight="1" x14ac:dyDescent="0.25">
      <c r="A27" s="188">
        <v>23</v>
      </c>
      <c r="B27" s="190" t="s">
        <v>368</v>
      </c>
      <c r="C27" s="190">
        <f>data!C285</f>
        <v>3790436</v>
      </c>
    </row>
    <row r="28" spans="1:3" ht="20.100000000000001" customHeight="1" x14ac:dyDescent="0.25">
      <c r="A28" s="188">
        <v>24</v>
      </c>
      <c r="B28" s="190" t="s">
        <v>882</v>
      </c>
      <c r="C28" s="190">
        <f>data!C286</f>
        <v>0</v>
      </c>
    </row>
    <row r="29" spans="1:3" ht="20.100000000000001" customHeight="1" x14ac:dyDescent="0.25">
      <c r="A29" s="188">
        <v>25</v>
      </c>
      <c r="B29" s="190" t="s">
        <v>370</v>
      </c>
      <c r="C29" s="190">
        <f>data!C287</f>
        <v>1660986</v>
      </c>
    </row>
    <row r="30" spans="1:3" ht="20.100000000000001" customHeight="1" x14ac:dyDescent="0.25">
      <c r="A30" s="188">
        <v>26</v>
      </c>
      <c r="B30" s="190" t="s">
        <v>414</v>
      </c>
      <c r="C30" s="190">
        <f>data!C288</f>
        <v>6586145</v>
      </c>
    </row>
    <row r="31" spans="1:3" ht="20.100000000000001" customHeight="1" x14ac:dyDescent="0.25">
      <c r="A31" s="188">
        <v>27</v>
      </c>
      <c r="B31" s="190" t="s">
        <v>373</v>
      </c>
      <c r="C31" s="190">
        <f>data!C289</f>
        <v>0</v>
      </c>
    </row>
    <row r="32" spans="1:3" ht="20.100000000000001" customHeight="1" x14ac:dyDescent="0.25">
      <c r="A32" s="188">
        <v>28</v>
      </c>
      <c r="B32" s="190" t="s">
        <v>374</v>
      </c>
      <c r="C32" s="190">
        <f>data!C290</f>
        <v>111624</v>
      </c>
    </row>
    <row r="33" spans="1:3" ht="20.100000000000001" customHeight="1" x14ac:dyDescent="0.25">
      <c r="A33" s="188">
        <v>29</v>
      </c>
      <c r="B33" s="190" t="s">
        <v>587</v>
      </c>
      <c r="C33" s="190">
        <f>data!C291</f>
        <v>0</v>
      </c>
    </row>
    <row r="34" spans="1:3" ht="20.100000000000001" customHeight="1" x14ac:dyDescent="0.25">
      <c r="A34" s="188">
        <v>30</v>
      </c>
      <c r="B34" s="190" t="s">
        <v>883</v>
      </c>
      <c r="C34" s="190">
        <f>data!C292</f>
        <v>9957352</v>
      </c>
    </row>
    <row r="35" spans="1:3" ht="20.100000000000001" customHeight="1" x14ac:dyDescent="0.25">
      <c r="A35" s="188">
        <v>31</v>
      </c>
      <c r="B35" s="190" t="s">
        <v>884</v>
      </c>
      <c r="C35" s="190">
        <f>data!D293</f>
        <v>2495537</v>
      </c>
    </row>
    <row r="36" spans="1:3" ht="20.100000000000001" customHeight="1" x14ac:dyDescent="0.25">
      <c r="A36" s="188">
        <v>32</v>
      </c>
      <c r="B36" s="192"/>
      <c r="C36" s="190"/>
    </row>
    <row r="37" spans="1:3" ht="20.100000000000001" customHeight="1" x14ac:dyDescent="0.25">
      <c r="A37" s="188">
        <v>33</v>
      </c>
      <c r="B37" s="191" t="s">
        <v>885</v>
      </c>
      <c r="C37" s="189"/>
    </row>
    <row r="38" spans="1:3" ht="20.100000000000001" customHeight="1" x14ac:dyDescent="0.25">
      <c r="A38" s="188">
        <v>34</v>
      </c>
      <c r="B38" s="190" t="s">
        <v>886</v>
      </c>
      <c r="C38" s="190">
        <f>data!C295</f>
        <v>0</v>
      </c>
    </row>
    <row r="39" spans="1:3" ht="20.100000000000001" customHeight="1" x14ac:dyDescent="0.25">
      <c r="A39" s="188">
        <v>35</v>
      </c>
      <c r="B39" s="190" t="s">
        <v>887</v>
      </c>
      <c r="C39" s="190">
        <f>data!C296</f>
        <v>0</v>
      </c>
    </row>
    <row r="40" spans="1:3" ht="20.100000000000001" customHeight="1" x14ac:dyDescent="0.25">
      <c r="A40" s="188">
        <v>36</v>
      </c>
      <c r="B40" s="190" t="s">
        <v>421</v>
      </c>
      <c r="C40" s="190">
        <f>data!C297</f>
        <v>0</v>
      </c>
    </row>
    <row r="41" spans="1:3" ht="20.100000000000001" customHeight="1" x14ac:dyDescent="0.25">
      <c r="A41" s="188">
        <v>37</v>
      </c>
      <c r="B41" s="190" t="s">
        <v>409</v>
      </c>
      <c r="C41" s="190">
        <f>data!C298</f>
        <v>0</v>
      </c>
    </row>
    <row r="42" spans="1:3" ht="20.100000000000001" customHeight="1" x14ac:dyDescent="0.25">
      <c r="A42" s="188">
        <v>38</v>
      </c>
      <c r="B42" s="190" t="s">
        <v>888</v>
      </c>
      <c r="C42" s="190">
        <f>data!D299</f>
        <v>0</v>
      </c>
    </row>
    <row r="43" spans="1:3" ht="20.100000000000001" customHeight="1" x14ac:dyDescent="0.25">
      <c r="A43" s="188">
        <v>39</v>
      </c>
      <c r="B43" s="192"/>
      <c r="C43" s="190"/>
    </row>
    <row r="44" spans="1:3" ht="20.100000000000001" customHeight="1" x14ac:dyDescent="0.25">
      <c r="A44" s="188">
        <v>40</v>
      </c>
      <c r="B44" s="191" t="s">
        <v>889</v>
      </c>
      <c r="C44" s="189"/>
    </row>
    <row r="45" spans="1:3" ht="20.100000000000001" customHeight="1" x14ac:dyDescent="0.25">
      <c r="A45" s="188">
        <v>41</v>
      </c>
      <c r="B45" s="190" t="s">
        <v>424</v>
      </c>
      <c r="C45" s="190">
        <f>data!C302</f>
        <v>0</v>
      </c>
    </row>
    <row r="46" spans="1:3" ht="20.100000000000001" customHeight="1" x14ac:dyDescent="0.25">
      <c r="A46" s="188">
        <v>42</v>
      </c>
      <c r="B46" s="190" t="s">
        <v>425</v>
      </c>
      <c r="C46" s="190">
        <f>data!C303</f>
        <v>0</v>
      </c>
    </row>
    <row r="47" spans="1:3" ht="20.100000000000001" customHeight="1" x14ac:dyDescent="0.25">
      <c r="A47" s="188">
        <v>43</v>
      </c>
      <c r="B47" s="190" t="s">
        <v>890</v>
      </c>
      <c r="C47" s="190">
        <f>data!C304</f>
        <v>0</v>
      </c>
    </row>
    <row r="48" spans="1:3" ht="20.100000000000001" customHeight="1" x14ac:dyDescent="0.25">
      <c r="A48" s="188">
        <v>44</v>
      </c>
      <c r="B48" s="190" t="s">
        <v>427</v>
      </c>
      <c r="C48" s="190">
        <f>data!C305</f>
        <v>0</v>
      </c>
    </row>
    <row r="49" spans="1:3" ht="20.100000000000001" customHeight="1" x14ac:dyDescent="0.25">
      <c r="A49" s="188">
        <v>45</v>
      </c>
      <c r="B49" s="190" t="s">
        <v>891</v>
      </c>
      <c r="C49" s="190">
        <f>data!D306</f>
        <v>0</v>
      </c>
    </row>
    <row r="50" spans="1:3" ht="20.100000000000001" customHeight="1" x14ac:dyDescent="0.25">
      <c r="A50" s="193">
        <v>46</v>
      </c>
      <c r="B50" s="194" t="s">
        <v>892</v>
      </c>
      <c r="C50" s="190">
        <f>data!D308</f>
        <v>12098660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82" t="s">
        <v>893</v>
      </c>
      <c r="B53" s="183"/>
      <c r="C53" s="183"/>
    </row>
    <row r="54" spans="1:3" ht="20.100000000000001" customHeight="1" x14ac:dyDescent="0.25">
      <c r="A54" s="182"/>
      <c r="B54" s="183"/>
      <c r="C54" s="108" t="s">
        <v>894</v>
      </c>
    </row>
    <row r="55" spans="1:3" ht="20.100000000000001" customHeight="1" x14ac:dyDescent="0.25">
      <c r="A55" s="134" t="str">
        <f>"Hospital: "&amp;data!C98</f>
        <v>Hospital: Three Rivers Hospital</v>
      </c>
      <c r="B55" s="184"/>
      <c r="C55" s="156" t="str">
        <f>"FYE: "&amp;data!C96</f>
        <v>FYE: 12/31/2022</v>
      </c>
    </row>
    <row r="56" spans="1:3" ht="20.100000000000001" customHeight="1" x14ac:dyDescent="0.25">
      <c r="A56" s="195"/>
      <c r="B56" s="196" t="s">
        <v>895</v>
      </c>
      <c r="C56" s="187"/>
    </row>
    <row r="57" spans="1:3" ht="20.100000000000001" customHeight="1" x14ac:dyDescent="0.25">
      <c r="A57" s="197">
        <v>1</v>
      </c>
      <c r="B57" s="182" t="s">
        <v>431</v>
      </c>
      <c r="C57" s="198"/>
    </row>
    <row r="58" spans="1:3" ht="20.100000000000001" customHeight="1" x14ac:dyDescent="0.25">
      <c r="A58" s="188">
        <v>2</v>
      </c>
      <c r="B58" s="190" t="s">
        <v>432</v>
      </c>
      <c r="C58" s="190">
        <f>data!C314</f>
        <v>0</v>
      </c>
    </row>
    <row r="59" spans="1:3" ht="20.100000000000001" customHeight="1" x14ac:dyDescent="0.25">
      <c r="A59" s="188">
        <v>3</v>
      </c>
      <c r="B59" s="190" t="s">
        <v>896</v>
      </c>
      <c r="C59" s="190">
        <f>data!C315</f>
        <v>1299455</v>
      </c>
    </row>
    <row r="60" spans="1:3" ht="20.100000000000001" customHeight="1" x14ac:dyDescent="0.25">
      <c r="A60" s="188">
        <v>4</v>
      </c>
      <c r="B60" s="190" t="s">
        <v>897</v>
      </c>
      <c r="C60" s="190">
        <f>data!C316</f>
        <v>433970</v>
      </c>
    </row>
    <row r="61" spans="1:3" ht="20.100000000000001" customHeight="1" x14ac:dyDescent="0.25">
      <c r="A61" s="188">
        <v>5</v>
      </c>
      <c r="B61" s="190" t="s">
        <v>435</v>
      </c>
      <c r="C61" s="190">
        <f>data!C317</f>
        <v>0</v>
      </c>
    </row>
    <row r="62" spans="1:3" ht="20.100000000000001" customHeight="1" x14ac:dyDescent="0.25">
      <c r="A62" s="188">
        <v>6</v>
      </c>
      <c r="B62" s="190" t="s">
        <v>898</v>
      </c>
      <c r="C62" s="190">
        <f>data!C318</f>
        <v>0</v>
      </c>
    </row>
    <row r="63" spans="1:3" ht="20.100000000000001" customHeight="1" x14ac:dyDescent="0.25">
      <c r="A63" s="188">
        <v>7</v>
      </c>
      <c r="B63" s="190" t="s">
        <v>899</v>
      </c>
      <c r="C63" s="190">
        <f>data!C319</f>
        <v>234228</v>
      </c>
    </row>
    <row r="64" spans="1:3" ht="20.100000000000001" customHeight="1" x14ac:dyDescent="0.25">
      <c r="A64" s="188">
        <v>8</v>
      </c>
      <c r="B64" s="190" t="s">
        <v>438</v>
      </c>
      <c r="C64" s="190">
        <f>data!C320</f>
        <v>0</v>
      </c>
    </row>
    <row r="65" spans="1:3" ht="20.100000000000001" customHeight="1" x14ac:dyDescent="0.25">
      <c r="A65" s="188">
        <v>9</v>
      </c>
      <c r="B65" s="190" t="s">
        <v>439</v>
      </c>
      <c r="C65" s="190">
        <f>data!C321</f>
        <v>0</v>
      </c>
    </row>
    <row r="66" spans="1:3" ht="20.100000000000001" customHeight="1" x14ac:dyDescent="0.25">
      <c r="A66" s="188">
        <v>10</v>
      </c>
      <c r="B66" s="190" t="s">
        <v>440</v>
      </c>
      <c r="C66" s="190">
        <f>data!C322</f>
        <v>-3112</v>
      </c>
    </row>
    <row r="67" spans="1:3" ht="20.100000000000001" customHeight="1" x14ac:dyDescent="0.25">
      <c r="A67" s="188">
        <v>11</v>
      </c>
      <c r="B67" s="190" t="s">
        <v>900</v>
      </c>
      <c r="C67" s="190">
        <f>data!C323</f>
        <v>250964</v>
      </c>
    </row>
    <row r="68" spans="1:3" ht="20.100000000000001" customHeight="1" x14ac:dyDescent="0.25">
      <c r="A68" s="188">
        <v>12</v>
      </c>
      <c r="B68" s="190" t="s">
        <v>901</v>
      </c>
      <c r="C68" s="190">
        <f>data!D324</f>
        <v>2215505</v>
      </c>
    </row>
    <row r="69" spans="1:3" ht="20.100000000000001" customHeight="1" x14ac:dyDescent="0.25">
      <c r="A69" s="188">
        <v>13</v>
      </c>
      <c r="B69" s="192"/>
      <c r="C69" s="190"/>
    </row>
    <row r="70" spans="1:3" ht="20.100000000000001" customHeight="1" x14ac:dyDescent="0.25">
      <c r="A70" s="188">
        <v>14</v>
      </c>
      <c r="B70" s="191" t="s">
        <v>902</v>
      </c>
      <c r="C70" s="189"/>
    </row>
    <row r="71" spans="1:3" ht="20.100000000000001" customHeight="1" x14ac:dyDescent="0.25">
      <c r="A71" s="188">
        <v>15</v>
      </c>
      <c r="B71" s="190" t="s">
        <v>444</v>
      </c>
      <c r="C71" s="190">
        <f>data!C326</f>
        <v>0</v>
      </c>
    </row>
    <row r="72" spans="1:3" ht="20.100000000000001" customHeight="1" x14ac:dyDescent="0.25">
      <c r="A72" s="188">
        <v>16</v>
      </c>
      <c r="B72" s="190" t="s">
        <v>903</v>
      </c>
      <c r="C72" s="190">
        <f>data!C327</f>
        <v>795258</v>
      </c>
    </row>
    <row r="73" spans="1:3" ht="20.100000000000001" customHeight="1" x14ac:dyDescent="0.25">
      <c r="A73" s="188">
        <v>17</v>
      </c>
      <c r="B73" s="190" t="s">
        <v>446</v>
      </c>
      <c r="C73" s="190">
        <f>data!C328</f>
        <v>0</v>
      </c>
    </row>
    <row r="74" spans="1:3" ht="20.100000000000001" customHeight="1" x14ac:dyDescent="0.25">
      <c r="A74" s="188">
        <v>18</v>
      </c>
      <c r="B74" s="190" t="s">
        <v>904</v>
      </c>
      <c r="C74" s="190">
        <f>data!D329</f>
        <v>795258</v>
      </c>
    </row>
    <row r="75" spans="1:3" ht="20.100000000000001" customHeight="1" x14ac:dyDescent="0.25">
      <c r="A75" s="188">
        <v>19</v>
      </c>
      <c r="B75" s="192"/>
      <c r="C75" s="190"/>
    </row>
    <row r="76" spans="1:3" ht="20.100000000000001" customHeight="1" x14ac:dyDescent="0.25">
      <c r="A76" s="188">
        <v>20</v>
      </c>
      <c r="B76" s="191" t="s">
        <v>448</v>
      </c>
      <c r="C76" s="189"/>
    </row>
    <row r="77" spans="1:3" ht="20.100000000000001" customHeight="1" x14ac:dyDescent="0.25">
      <c r="A77" s="188">
        <v>21</v>
      </c>
      <c r="B77" s="190" t="s">
        <v>449</v>
      </c>
      <c r="C77" s="190">
        <f>data!C331</f>
        <v>0</v>
      </c>
    </row>
    <row r="78" spans="1:3" ht="20.100000000000001" customHeight="1" x14ac:dyDescent="0.25">
      <c r="A78" s="188">
        <v>22</v>
      </c>
      <c r="B78" s="190" t="s">
        <v>905</v>
      </c>
      <c r="C78" s="190">
        <f>data!C332</f>
        <v>0</v>
      </c>
    </row>
    <row r="79" spans="1:3" ht="20.100000000000001" customHeight="1" x14ac:dyDescent="0.25">
      <c r="A79" s="188">
        <v>23</v>
      </c>
      <c r="B79" s="190" t="s">
        <v>451</v>
      </c>
      <c r="C79" s="190">
        <f>data!C333</f>
        <v>0</v>
      </c>
    </row>
    <row r="80" spans="1:3" ht="20.100000000000001" customHeight="1" x14ac:dyDescent="0.25">
      <c r="A80" s="188">
        <v>24</v>
      </c>
      <c r="B80" s="190" t="s">
        <v>906</v>
      </c>
      <c r="C80" s="190">
        <f>data!C334</f>
        <v>628552</v>
      </c>
    </row>
    <row r="81" spans="1:3" ht="20.100000000000001" customHeight="1" x14ac:dyDescent="0.25">
      <c r="A81" s="188">
        <v>25</v>
      </c>
      <c r="B81" s="190" t="s">
        <v>453</v>
      </c>
      <c r="C81" s="190">
        <f>data!C335</f>
        <v>0</v>
      </c>
    </row>
    <row r="82" spans="1:3" ht="20.100000000000001" customHeight="1" x14ac:dyDescent="0.25">
      <c r="A82" s="188">
        <v>26</v>
      </c>
      <c r="B82" s="190" t="s">
        <v>907</v>
      </c>
      <c r="C82" s="190">
        <f>data!C336</f>
        <v>0</v>
      </c>
    </row>
    <row r="83" spans="1:3" ht="20.100000000000001" customHeight="1" x14ac:dyDescent="0.25">
      <c r="A83" s="188">
        <v>27</v>
      </c>
      <c r="B83" s="190" t="s">
        <v>455</v>
      </c>
      <c r="C83" s="190">
        <f>data!C337</f>
        <v>0</v>
      </c>
    </row>
    <row r="84" spans="1:3" ht="20.100000000000001" customHeight="1" x14ac:dyDescent="0.25">
      <c r="A84" s="188">
        <v>28</v>
      </c>
      <c r="B84" s="190" t="s">
        <v>456</v>
      </c>
      <c r="C84" s="190">
        <f>data!C338</f>
        <v>0</v>
      </c>
    </row>
    <row r="85" spans="1:3" ht="20.100000000000001" customHeight="1" x14ac:dyDescent="0.25">
      <c r="A85" s="188">
        <v>29</v>
      </c>
      <c r="B85" s="190" t="s">
        <v>587</v>
      </c>
      <c r="C85" s="190">
        <f>data!D339</f>
        <v>628552</v>
      </c>
    </row>
    <row r="86" spans="1:3" ht="20.100000000000001" customHeight="1" x14ac:dyDescent="0.25">
      <c r="A86" s="188">
        <v>30</v>
      </c>
      <c r="B86" s="190" t="s">
        <v>908</v>
      </c>
      <c r="C86" s="190">
        <f>data!D340</f>
        <v>250964</v>
      </c>
    </row>
    <row r="87" spans="1:3" ht="20.100000000000001" customHeight="1" x14ac:dyDescent="0.25">
      <c r="A87" s="188">
        <v>31</v>
      </c>
      <c r="B87" s="190" t="s">
        <v>909</v>
      </c>
      <c r="C87" s="190">
        <f>data!D341</f>
        <v>377588</v>
      </c>
    </row>
    <row r="88" spans="1:3" ht="20.100000000000001" customHeight="1" x14ac:dyDescent="0.25">
      <c r="A88" s="188">
        <v>32</v>
      </c>
      <c r="B88" s="192"/>
      <c r="C88" s="190"/>
    </row>
    <row r="89" spans="1:3" ht="20.100000000000001" customHeight="1" x14ac:dyDescent="0.25">
      <c r="A89" s="188">
        <v>33</v>
      </c>
      <c r="B89" s="199" t="s">
        <v>910</v>
      </c>
      <c r="C89" s="190">
        <f>data!C343</f>
        <v>8710309</v>
      </c>
    </row>
    <row r="90" spans="1:3" ht="20.100000000000001" customHeight="1" x14ac:dyDescent="0.25">
      <c r="A90" s="188">
        <v>34</v>
      </c>
      <c r="B90" s="190"/>
      <c r="C90" s="190"/>
    </row>
    <row r="91" spans="1:3" ht="20.100000000000001" customHeight="1" x14ac:dyDescent="0.25">
      <c r="A91" s="188">
        <v>35</v>
      </c>
      <c r="B91" s="191" t="s">
        <v>911</v>
      </c>
      <c r="C91" s="189"/>
    </row>
    <row r="92" spans="1:3" ht="20.100000000000001" customHeight="1" x14ac:dyDescent="0.25">
      <c r="A92" s="188">
        <v>36</v>
      </c>
      <c r="B92" s="190" t="s">
        <v>460</v>
      </c>
      <c r="C92" s="190">
        <f>data!C345</f>
        <v>0</v>
      </c>
    </row>
    <row r="93" spans="1:3" ht="20.100000000000001" customHeight="1" x14ac:dyDescent="0.25">
      <c r="A93" s="188">
        <v>37</v>
      </c>
      <c r="B93" s="192"/>
      <c r="C93" s="190"/>
    </row>
    <row r="94" spans="1:3" ht="20.100000000000001" customHeight="1" x14ac:dyDescent="0.25">
      <c r="A94" s="188">
        <v>38</v>
      </c>
      <c r="B94" s="190" t="s">
        <v>461</v>
      </c>
      <c r="C94" s="190">
        <f>data!C346</f>
        <v>0</v>
      </c>
    </row>
    <row r="95" spans="1:3" ht="20.100000000000001" customHeight="1" x14ac:dyDescent="0.25">
      <c r="A95" s="188">
        <v>39</v>
      </c>
      <c r="B95" s="192"/>
      <c r="C95" s="190"/>
    </row>
    <row r="96" spans="1:3" ht="20.100000000000001" customHeight="1" x14ac:dyDescent="0.25">
      <c r="A96" s="188">
        <v>40</v>
      </c>
      <c r="B96" s="190" t="s">
        <v>912</v>
      </c>
      <c r="C96" s="190">
        <f>data!C347</f>
        <v>0</v>
      </c>
    </row>
    <row r="97" spans="1:3" ht="20.100000000000001" customHeight="1" x14ac:dyDescent="0.25">
      <c r="A97" s="188">
        <v>41</v>
      </c>
      <c r="B97" s="192"/>
      <c r="C97" s="190"/>
    </row>
    <row r="98" spans="1:3" ht="20.100000000000001" customHeight="1" x14ac:dyDescent="0.25">
      <c r="A98" s="188">
        <v>42</v>
      </c>
      <c r="B98" s="190" t="s">
        <v>913</v>
      </c>
      <c r="C98" s="190">
        <f>data!C348</f>
        <v>0</v>
      </c>
    </row>
    <row r="99" spans="1:3" ht="20.100000000000001" customHeight="1" x14ac:dyDescent="0.25">
      <c r="A99" s="188">
        <v>43</v>
      </c>
      <c r="B99" s="190" t="s">
        <v>914</v>
      </c>
      <c r="C99" s="190"/>
    </row>
    <row r="100" spans="1:3" ht="20.100000000000001" customHeight="1" x14ac:dyDescent="0.25">
      <c r="A100" s="188">
        <v>44</v>
      </c>
      <c r="B100" s="192"/>
      <c r="C100" s="190"/>
    </row>
    <row r="101" spans="1:3" ht="20.100000000000001" customHeight="1" x14ac:dyDescent="0.25">
      <c r="A101" s="188">
        <v>45</v>
      </c>
      <c r="B101" s="190" t="s">
        <v>915</v>
      </c>
      <c r="C101" s="190">
        <f>data!C349</f>
        <v>0</v>
      </c>
    </row>
    <row r="102" spans="1:3" ht="20.100000000000001" customHeight="1" x14ac:dyDescent="0.25">
      <c r="A102" s="188">
        <v>46</v>
      </c>
      <c r="B102" s="190" t="s">
        <v>916</v>
      </c>
      <c r="C102" s="190">
        <f>data!C343+data!C345+data!C346+data!C347+data!C348-data!C349</f>
        <v>8710309</v>
      </c>
    </row>
    <row r="103" spans="1:3" ht="20.100000000000001" customHeight="1" x14ac:dyDescent="0.25">
      <c r="A103" s="188">
        <v>47</v>
      </c>
      <c r="B103" s="190" t="s">
        <v>917</v>
      </c>
      <c r="C103" s="190">
        <f>data!D352</f>
        <v>12098660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82" t="s">
        <v>918</v>
      </c>
      <c r="B106" s="183"/>
      <c r="C106" s="183"/>
    </row>
    <row r="107" spans="1:3" ht="20.100000000000001" customHeight="1" x14ac:dyDescent="0.25">
      <c r="A107" s="184"/>
      <c r="C107" s="108" t="s">
        <v>919</v>
      </c>
    </row>
    <row r="108" spans="1:3" ht="20.100000000000001" customHeight="1" x14ac:dyDescent="0.25">
      <c r="A108" s="134" t="str">
        <f>"Hospital: "&amp;data!C98</f>
        <v>Hospital: Three Rivers Hospital</v>
      </c>
      <c r="B108" s="184"/>
      <c r="C108" s="156" t="str">
        <f>"FYE: "&amp;data!C96</f>
        <v>FYE: 12/31/2022</v>
      </c>
    </row>
    <row r="109" spans="1:3" ht="20.100000000000001" customHeight="1" x14ac:dyDescent="0.25">
      <c r="A109" s="185"/>
      <c r="B109" s="200"/>
      <c r="C109" s="201"/>
    </row>
    <row r="110" spans="1:3" ht="20.100000000000001" customHeight="1" x14ac:dyDescent="0.25">
      <c r="A110" s="188">
        <v>1</v>
      </c>
      <c r="B110" s="191" t="s">
        <v>920</v>
      </c>
      <c r="C110" s="189"/>
    </row>
    <row r="111" spans="1:3" ht="20.100000000000001" customHeight="1" x14ac:dyDescent="0.25">
      <c r="A111" s="188">
        <v>2</v>
      </c>
      <c r="B111" s="190" t="s">
        <v>469</v>
      </c>
      <c r="C111" s="190">
        <f>data!C358</f>
        <v>3677399</v>
      </c>
    </row>
    <row r="112" spans="1:3" ht="20.100000000000001" customHeight="1" x14ac:dyDescent="0.25">
      <c r="A112" s="188">
        <v>3</v>
      </c>
      <c r="B112" s="190" t="s">
        <v>470</v>
      </c>
      <c r="C112" s="190">
        <f>data!C359</f>
        <v>18379543</v>
      </c>
    </row>
    <row r="113" spans="1:3" ht="20.100000000000001" customHeight="1" x14ac:dyDescent="0.25">
      <c r="A113" s="188">
        <v>4</v>
      </c>
      <c r="B113" s="190" t="s">
        <v>921</v>
      </c>
      <c r="C113" s="190">
        <f>data!D360</f>
        <v>22056942</v>
      </c>
    </row>
    <row r="114" spans="1:3" ht="20.100000000000001" customHeight="1" x14ac:dyDescent="0.25">
      <c r="A114" s="188">
        <v>5</v>
      </c>
      <c r="B114" s="192"/>
      <c r="C114" s="190"/>
    </row>
    <row r="115" spans="1:3" ht="20.100000000000001" customHeight="1" x14ac:dyDescent="0.25">
      <c r="A115" s="188">
        <v>6</v>
      </c>
      <c r="B115" s="191" t="s">
        <v>922</v>
      </c>
      <c r="C115" s="189"/>
    </row>
    <row r="116" spans="1:3" ht="20.100000000000001" customHeight="1" x14ac:dyDescent="0.25">
      <c r="A116" s="188">
        <v>7</v>
      </c>
      <c r="B116" s="202" t="s">
        <v>923</v>
      </c>
      <c r="C116" s="203">
        <f>data!C362</f>
        <v>788596</v>
      </c>
    </row>
    <row r="117" spans="1:3" ht="20.100000000000001" customHeight="1" x14ac:dyDescent="0.25">
      <c r="A117" s="188">
        <v>8</v>
      </c>
      <c r="B117" s="190" t="s">
        <v>473</v>
      </c>
      <c r="C117" s="203">
        <f>data!C363</f>
        <v>6149372</v>
      </c>
    </row>
    <row r="118" spans="1:3" ht="20.100000000000001" customHeight="1" x14ac:dyDescent="0.25">
      <c r="A118" s="188">
        <v>9</v>
      </c>
      <c r="B118" s="190" t="s">
        <v>924</v>
      </c>
      <c r="C118" s="203">
        <f>data!C364</f>
        <v>388410</v>
      </c>
    </row>
    <row r="119" spans="1:3" ht="20.100000000000001" customHeight="1" x14ac:dyDescent="0.25">
      <c r="A119" s="188">
        <v>10</v>
      </c>
      <c r="B119" s="190" t="s">
        <v>925</v>
      </c>
      <c r="C119" s="203">
        <f>data!C365</f>
        <v>17916</v>
      </c>
    </row>
    <row r="120" spans="1:3" ht="20.100000000000001" customHeight="1" x14ac:dyDescent="0.25">
      <c r="A120" s="188">
        <v>11</v>
      </c>
      <c r="B120" s="190" t="s">
        <v>869</v>
      </c>
      <c r="C120" s="203">
        <f>data!D366</f>
        <v>7344294</v>
      </c>
    </row>
    <row r="121" spans="1:3" ht="20.100000000000001" customHeight="1" x14ac:dyDescent="0.25">
      <c r="A121" s="188">
        <v>12</v>
      </c>
      <c r="B121" s="190" t="s">
        <v>926</v>
      </c>
      <c r="C121" s="203">
        <f>data!D367</f>
        <v>14712648</v>
      </c>
    </row>
    <row r="122" spans="1:3" ht="20.100000000000001" customHeight="1" x14ac:dyDescent="0.25">
      <c r="A122" s="188">
        <v>13</v>
      </c>
      <c r="B122" s="192"/>
      <c r="C122" s="190"/>
    </row>
    <row r="123" spans="1:3" ht="20.100000000000001" customHeight="1" x14ac:dyDescent="0.25">
      <c r="A123" s="188">
        <v>14</v>
      </c>
      <c r="B123" s="191" t="s">
        <v>477</v>
      </c>
      <c r="C123" s="189"/>
    </row>
    <row r="124" spans="1:3" ht="20.100000000000001" customHeight="1" x14ac:dyDescent="0.25">
      <c r="A124" s="188">
        <v>15</v>
      </c>
      <c r="B124" s="204" t="s">
        <v>478</v>
      </c>
      <c r="C124" s="205"/>
    </row>
    <row r="125" spans="1:3" ht="20.100000000000001" customHeight="1" x14ac:dyDescent="0.25">
      <c r="A125" s="209" t="s">
        <v>927</v>
      </c>
      <c r="B125" s="206" t="s">
        <v>479</v>
      </c>
      <c r="C125" s="205">
        <f>data!C370</f>
        <v>257834</v>
      </c>
    </row>
    <row r="126" spans="1:3" ht="20.100000000000001" customHeight="1" x14ac:dyDescent="0.25">
      <c r="A126" s="209" t="s">
        <v>928</v>
      </c>
      <c r="B126" s="206" t="s">
        <v>480</v>
      </c>
      <c r="C126" s="205">
        <f>data!C371</f>
        <v>302408</v>
      </c>
    </row>
    <row r="127" spans="1:3" ht="20.100000000000001" customHeight="1" x14ac:dyDescent="0.25">
      <c r="A127" s="209" t="s">
        <v>929</v>
      </c>
      <c r="B127" s="206" t="s">
        <v>481</v>
      </c>
      <c r="C127" s="205">
        <f>data!C372</f>
        <v>0</v>
      </c>
    </row>
    <row r="128" spans="1:3" ht="20.100000000000001" customHeight="1" x14ac:dyDescent="0.25">
      <c r="A128" s="209" t="s">
        <v>930</v>
      </c>
      <c r="B128" s="206" t="s">
        <v>482</v>
      </c>
      <c r="C128" s="205">
        <f>data!C373</f>
        <v>0</v>
      </c>
    </row>
    <row r="129" spans="1:3" ht="20.100000000000001" customHeight="1" x14ac:dyDescent="0.25">
      <c r="A129" s="209" t="s">
        <v>931</v>
      </c>
      <c r="B129" s="206" t="s">
        <v>483</v>
      </c>
      <c r="C129" s="205">
        <f>data!C374</f>
        <v>0</v>
      </c>
    </row>
    <row r="130" spans="1:3" ht="20.100000000000001" customHeight="1" x14ac:dyDescent="0.25">
      <c r="A130" s="209" t="s">
        <v>932</v>
      </c>
      <c r="B130" s="206" t="s">
        <v>484</v>
      </c>
      <c r="C130" s="205">
        <f>data!C375</f>
        <v>0</v>
      </c>
    </row>
    <row r="131" spans="1:3" ht="20.100000000000001" customHeight="1" x14ac:dyDescent="0.25">
      <c r="A131" s="209" t="s">
        <v>933</v>
      </c>
      <c r="B131" s="206" t="s">
        <v>485</v>
      </c>
      <c r="C131" s="205">
        <f>data!C376</f>
        <v>0</v>
      </c>
    </row>
    <row r="132" spans="1:3" ht="20.100000000000001" customHeight="1" x14ac:dyDescent="0.25">
      <c r="A132" s="209" t="s">
        <v>934</v>
      </c>
      <c r="B132" s="206" t="s">
        <v>486</v>
      </c>
      <c r="C132" s="205">
        <f>data!C377</f>
        <v>0</v>
      </c>
    </row>
    <row r="133" spans="1:3" ht="20.100000000000001" customHeight="1" x14ac:dyDescent="0.25">
      <c r="A133" s="209" t="s">
        <v>935</v>
      </c>
      <c r="B133" s="206" t="s">
        <v>487</v>
      </c>
      <c r="C133" s="205">
        <f>data!C378</f>
        <v>0</v>
      </c>
    </row>
    <row r="134" spans="1:3" ht="20.100000000000001" customHeight="1" x14ac:dyDescent="0.25">
      <c r="A134" s="209" t="s">
        <v>936</v>
      </c>
      <c r="B134" s="206" t="s">
        <v>488</v>
      </c>
      <c r="C134" s="205">
        <f>data!C379</f>
        <v>0</v>
      </c>
    </row>
    <row r="135" spans="1:3" ht="20.100000000000001" customHeight="1" x14ac:dyDescent="0.25">
      <c r="A135" s="209" t="s">
        <v>937</v>
      </c>
      <c r="B135" s="206" t="s">
        <v>489</v>
      </c>
      <c r="C135" s="205">
        <f>data!C380</f>
        <v>102834</v>
      </c>
    </row>
    <row r="136" spans="1:3" ht="20.100000000000001" customHeight="1" x14ac:dyDescent="0.25">
      <c r="A136" s="188">
        <v>16</v>
      </c>
      <c r="B136" s="190" t="s">
        <v>491</v>
      </c>
      <c r="C136" s="205">
        <f>data!C381</f>
        <v>0</v>
      </c>
    </row>
    <row r="137" spans="1:3" ht="20.100000000000001" customHeight="1" x14ac:dyDescent="0.25">
      <c r="A137" s="188">
        <v>17</v>
      </c>
      <c r="B137" s="190" t="s">
        <v>938</v>
      </c>
      <c r="C137" s="203">
        <f>data!D383</f>
        <v>663076</v>
      </c>
    </row>
    <row r="138" spans="1:3" ht="20.100000000000001" customHeight="1" x14ac:dyDescent="0.25">
      <c r="A138" s="188">
        <v>18</v>
      </c>
      <c r="B138" s="190" t="s">
        <v>939</v>
      </c>
      <c r="C138" s="203">
        <f>data!D384</f>
        <v>15375724</v>
      </c>
    </row>
    <row r="139" spans="1:3" ht="20.100000000000001" customHeight="1" x14ac:dyDescent="0.25">
      <c r="A139" s="188">
        <v>19</v>
      </c>
      <c r="B139" s="192"/>
      <c r="C139" s="190"/>
    </row>
    <row r="140" spans="1:3" ht="20.100000000000001" customHeight="1" x14ac:dyDescent="0.25">
      <c r="A140" s="188">
        <v>20</v>
      </c>
      <c r="B140" s="191" t="s">
        <v>940</v>
      </c>
      <c r="C140" s="189"/>
    </row>
    <row r="141" spans="1:3" ht="20.100000000000001" customHeight="1" x14ac:dyDescent="0.25">
      <c r="A141" s="188">
        <v>21</v>
      </c>
      <c r="B141" s="190" t="s">
        <v>495</v>
      </c>
      <c r="C141" s="203">
        <f>data!C389</f>
        <v>6745155</v>
      </c>
    </row>
    <row r="142" spans="1:3" ht="20.100000000000001" customHeight="1" x14ac:dyDescent="0.25">
      <c r="A142" s="188">
        <v>22</v>
      </c>
      <c r="B142" s="190" t="s">
        <v>9</v>
      </c>
      <c r="C142" s="203">
        <f>data!C390</f>
        <v>1501704</v>
      </c>
    </row>
    <row r="143" spans="1:3" ht="20.100000000000001" customHeight="1" x14ac:dyDescent="0.25">
      <c r="A143" s="188">
        <v>23</v>
      </c>
      <c r="B143" s="190" t="s">
        <v>249</v>
      </c>
      <c r="C143" s="203">
        <f>data!C391</f>
        <v>4279613</v>
      </c>
    </row>
    <row r="144" spans="1:3" ht="20.100000000000001" customHeight="1" x14ac:dyDescent="0.25">
      <c r="A144" s="188">
        <v>24</v>
      </c>
      <c r="B144" s="190" t="s">
        <v>250</v>
      </c>
      <c r="C144" s="203">
        <f>data!C392</f>
        <v>1704651</v>
      </c>
    </row>
    <row r="145" spans="1:3" ht="20.100000000000001" customHeight="1" x14ac:dyDescent="0.25">
      <c r="A145" s="188">
        <v>25</v>
      </c>
      <c r="B145" s="190" t="s">
        <v>941</v>
      </c>
      <c r="C145" s="203">
        <f>data!C393</f>
        <v>222985</v>
      </c>
    </row>
    <row r="146" spans="1:3" ht="20.100000000000001" customHeight="1" x14ac:dyDescent="0.25">
      <c r="A146" s="188">
        <v>26</v>
      </c>
      <c r="B146" s="190" t="s">
        <v>942</v>
      </c>
      <c r="C146" s="203">
        <f>data!C394</f>
        <v>1674989</v>
      </c>
    </row>
    <row r="147" spans="1:3" ht="20.100000000000001" customHeight="1" x14ac:dyDescent="0.25">
      <c r="A147" s="188">
        <v>27</v>
      </c>
      <c r="B147" s="190" t="s">
        <v>11</v>
      </c>
      <c r="C147" s="203">
        <f>data!C395</f>
        <v>633323</v>
      </c>
    </row>
    <row r="148" spans="1:3" ht="20.100000000000001" customHeight="1" x14ac:dyDescent="0.25">
      <c r="A148" s="188">
        <v>28</v>
      </c>
      <c r="B148" s="190" t="s">
        <v>943</v>
      </c>
      <c r="C148" s="203">
        <f>data!C396</f>
        <v>119784</v>
      </c>
    </row>
    <row r="149" spans="1:3" ht="20.100000000000001" customHeight="1" x14ac:dyDescent="0.25">
      <c r="A149" s="188">
        <v>29</v>
      </c>
      <c r="B149" s="190" t="s">
        <v>500</v>
      </c>
      <c r="C149" s="203">
        <f>data!C397</f>
        <v>253608</v>
      </c>
    </row>
    <row r="150" spans="1:3" ht="20.100000000000001" customHeight="1" x14ac:dyDescent="0.25">
      <c r="A150" s="188">
        <v>30</v>
      </c>
      <c r="B150" s="190" t="s">
        <v>944</v>
      </c>
      <c r="C150" s="203">
        <f>data!C398</f>
        <v>135197</v>
      </c>
    </row>
    <row r="151" spans="1:3" ht="20.100000000000001" customHeight="1" x14ac:dyDescent="0.25">
      <c r="A151" s="188">
        <v>31</v>
      </c>
      <c r="B151" s="190" t="s">
        <v>502</v>
      </c>
      <c r="C151" s="203">
        <f>data!C399</f>
        <v>69991</v>
      </c>
    </row>
    <row r="152" spans="1:3" ht="20.100000000000001" customHeight="1" x14ac:dyDescent="0.25">
      <c r="A152" s="188">
        <v>32</v>
      </c>
      <c r="B152" s="190" t="s">
        <v>254</v>
      </c>
      <c r="C152" s="203"/>
    </row>
    <row r="153" spans="1:3" ht="20.100000000000001" customHeight="1" x14ac:dyDescent="0.25">
      <c r="A153" s="209" t="s">
        <v>945</v>
      </c>
      <c r="B153" s="207" t="s">
        <v>255</v>
      </c>
      <c r="C153" s="203">
        <f>data!C401</f>
        <v>0</v>
      </c>
    </row>
    <row r="154" spans="1:3" ht="20.100000000000001" customHeight="1" x14ac:dyDescent="0.25">
      <c r="A154" s="209" t="s">
        <v>946</v>
      </c>
      <c r="B154" s="207" t="s">
        <v>256</v>
      </c>
      <c r="C154" s="203">
        <f>data!C402</f>
        <v>0</v>
      </c>
    </row>
    <row r="155" spans="1:3" ht="20.100000000000001" customHeight="1" x14ac:dyDescent="0.25">
      <c r="A155" s="209" t="s">
        <v>947</v>
      </c>
      <c r="B155" s="207" t="s">
        <v>948</v>
      </c>
      <c r="C155" s="203">
        <f>data!C403</f>
        <v>0</v>
      </c>
    </row>
    <row r="156" spans="1:3" ht="20.100000000000001" customHeight="1" x14ac:dyDescent="0.25">
      <c r="A156" s="209" t="s">
        <v>949</v>
      </c>
      <c r="B156" s="207" t="s">
        <v>258</v>
      </c>
      <c r="C156" s="203">
        <f>data!C404</f>
        <v>0</v>
      </c>
    </row>
    <row r="157" spans="1:3" ht="20.100000000000001" customHeight="1" x14ac:dyDescent="0.25">
      <c r="A157" s="209" t="s">
        <v>950</v>
      </c>
      <c r="B157" s="207" t="s">
        <v>259</v>
      </c>
      <c r="C157" s="203">
        <f>data!C405</f>
        <v>0</v>
      </c>
    </row>
    <row r="158" spans="1:3" ht="20.100000000000001" customHeight="1" x14ac:dyDescent="0.25">
      <c r="A158" s="209" t="s">
        <v>951</v>
      </c>
      <c r="B158" s="207" t="s">
        <v>260</v>
      </c>
      <c r="C158" s="203">
        <f>data!C406</f>
        <v>0</v>
      </c>
    </row>
    <row r="159" spans="1:3" ht="20.100000000000001" customHeight="1" x14ac:dyDescent="0.25">
      <c r="A159" s="209" t="s">
        <v>952</v>
      </c>
      <c r="B159" s="207" t="s">
        <v>261</v>
      </c>
      <c r="C159" s="203">
        <f>data!C407</f>
        <v>0</v>
      </c>
    </row>
    <row r="160" spans="1:3" ht="20.100000000000001" customHeight="1" x14ac:dyDescent="0.25">
      <c r="A160" s="209" t="s">
        <v>953</v>
      </c>
      <c r="B160" s="207" t="s">
        <v>262</v>
      </c>
      <c r="C160" s="203">
        <f>data!C408</f>
        <v>625881</v>
      </c>
    </row>
    <row r="161" spans="1:3" ht="20.100000000000001" customHeight="1" x14ac:dyDescent="0.25">
      <c r="A161" s="209" t="s">
        <v>954</v>
      </c>
      <c r="B161" s="207" t="s">
        <v>263</v>
      </c>
      <c r="C161" s="203">
        <f>data!C409</f>
        <v>0</v>
      </c>
    </row>
    <row r="162" spans="1:3" ht="20.100000000000001" customHeight="1" x14ac:dyDescent="0.25">
      <c r="A162" s="209" t="s">
        <v>955</v>
      </c>
      <c r="B162" s="207" t="s">
        <v>264</v>
      </c>
      <c r="C162" s="203">
        <f>data!C410</f>
        <v>79663</v>
      </c>
    </row>
    <row r="163" spans="1:3" ht="20.100000000000001" customHeight="1" x14ac:dyDescent="0.25">
      <c r="A163" s="209" t="s">
        <v>956</v>
      </c>
      <c r="B163" s="207" t="s">
        <v>265</v>
      </c>
      <c r="C163" s="203">
        <f>data!C411</f>
        <v>0</v>
      </c>
    </row>
    <row r="164" spans="1:3" ht="20.100000000000001" customHeight="1" x14ac:dyDescent="0.25">
      <c r="A164" s="209" t="s">
        <v>957</v>
      </c>
      <c r="B164" s="207" t="s">
        <v>266</v>
      </c>
      <c r="C164" s="203">
        <f>data!C412</f>
        <v>0</v>
      </c>
    </row>
    <row r="165" spans="1:3" ht="20.100000000000001" customHeight="1" x14ac:dyDescent="0.25">
      <c r="A165" s="209" t="s">
        <v>958</v>
      </c>
      <c r="B165" s="207" t="s">
        <v>267</v>
      </c>
      <c r="C165" s="203">
        <f>data!C413</f>
        <v>0</v>
      </c>
    </row>
    <row r="166" spans="1:3" ht="20.100000000000001" customHeight="1" x14ac:dyDescent="0.25">
      <c r="A166" s="209" t="s">
        <v>959</v>
      </c>
      <c r="B166" s="207" t="s">
        <v>960</v>
      </c>
      <c r="C166" s="203">
        <f>data!C414</f>
        <v>264925</v>
      </c>
    </row>
    <row r="167" spans="1:3" ht="20.100000000000001" customHeight="1" x14ac:dyDescent="0.25">
      <c r="A167" s="188">
        <v>34</v>
      </c>
      <c r="B167" s="190" t="s">
        <v>961</v>
      </c>
      <c r="C167" s="203">
        <f>data!D416</f>
        <v>18311469</v>
      </c>
    </row>
    <row r="168" spans="1:3" ht="20.100000000000001" customHeight="1" x14ac:dyDescent="0.25">
      <c r="A168" s="188">
        <v>35</v>
      </c>
      <c r="B168" s="190" t="s">
        <v>962</v>
      </c>
      <c r="C168" s="203">
        <f>data!D417</f>
        <v>-2935745</v>
      </c>
    </row>
    <row r="169" spans="1:3" ht="20.100000000000001" customHeight="1" x14ac:dyDescent="0.25">
      <c r="A169" s="188">
        <v>36</v>
      </c>
      <c r="B169" s="192"/>
      <c r="C169" s="190"/>
    </row>
    <row r="170" spans="1:3" ht="20.100000000000001" customHeight="1" x14ac:dyDescent="0.25">
      <c r="A170" s="188">
        <v>37</v>
      </c>
      <c r="B170" s="190" t="s">
        <v>963</v>
      </c>
      <c r="C170" s="203">
        <f>data!D420</f>
        <v>4500134</v>
      </c>
    </row>
    <row r="171" spans="1:3" ht="20.100000000000001" customHeight="1" x14ac:dyDescent="0.25">
      <c r="A171" s="188">
        <v>38</v>
      </c>
      <c r="B171" s="192"/>
      <c r="C171" s="190"/>
    </row>
    <row r="172" spans="1:3" ht="20.100000000000001" customHeight="1" x14ac:dyDescent="0.25">
      <c r="A172" s="188">
        <v>39</v>
      </c>
      <c r="B172" s="190" t="s">
        <v>964</v>
      </c>
      <c r="C172" s="190">
        <f>data!D421</f>
        <v>1564389</v>
      </c>
    </row>
    <row r="173" spans="1:3" ht="20.100000000000001" customHeight="1" x14ac:dyDescent="0.25">
      <c r="A173" s="188">
        <v>40</v>
      </c>
      <c r="B173" s="192"/>
      <c r="C173" s="190"/>
    </row>
    <row r="174" spans="1:3" ht="20.100000000000001" customHeight="1" x14ac:dyDescent="0.25">
      <c r="A174" s="188">
        <v>41</v>
      </c>
      <c r="B174" s="190" t="s">
        <v>965</v>
      </c>
      <c r="C174" s="203">
        <f>data!C422</f>
        <v>0</v>
      </c>
    </row>
    <row r="175" spans="1:3" ht="20.100000000000001" customHeight="1" x14ac:dyDescent="0.25">
      <c r="A175" s="188">
        <v>42</v>
      </c>
      <c r="B175" s="190" t="s">
        <v>966</v>
      </c>
      <c r="C175" s="203">
        <f>data!C423</f>
        <v>0</v>
      </c>
    </row>
    <row r="176" spans="1:3" ht="20.100000000000001" customHeight="1" x14ac:dyDescent="0.25">
      <c r="A176" s="188">
        <v>43</v>
      </c>
      <c r="B176" s="192"/>
      <c r="C176" s="190"/>
    </row>
    <row r="177" spans="1:3" ht="20.100000000000001" customHeight="1" x14ac:dyDescent="0.25">
      <c r="A177" s="188">
        <v>44</v>
      </c>
      <c r="B177" s="190" t="s">
        <v>967</v>
      </c>
      <c r="C177" s="203">
        <f>data!D424</f>
        <v>1564389</v>
      </c>
    </row>
    <row r="178" spans="1:3" ht="20.100000000000001" customHeight="1" x14ac:dyDescent="0.25">
      <c r="A178" s="193">
        <v>45</v>
      </c>
      <c r="B178" s="192" t="s">
        <v>968</v>
      </c>
      <c r="C178" s="190"/>
    </row>
    <row r="179" spans="1:3" ht="20.100000000000001" customHeight="1" x14ac:dyDescent="0.2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7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zoomScale="65" workbookViewId="0">
      <selection activeCell="O32" sqref="O32"/>
    </sheetView>
  </sheetViews>
  <sheetFormatPr defaultColWidth="8.886718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0" width="8.88671875" style="282" customWidth="1"/>
    <col min="11" max="16384" width="8.88671875" style="282"/>
  </cols>
  <sheetData>
    <row r="1" spans="1:9" ht="20.100000000000001" customHeight="1" x14ac:dyDescent="0.2">
      <c r="A1" s="280" t="s">
        <v>969</v>
      </c>
      <c r="B1" s="281"/>
      <c r="C1" s="281"/>
      <c r="D1" s="281"/>
      <c r="E1" s="281"/>
      <c r="F1" s="281"/>
      <c r="G1" s="281"/>
      <c r="H1" s="281"/>
    </row>
    <row r="2" spans="1:9" ht="20.100000000000001" customHeight="1" x14ac:dyDescent="0.2">
      <c r="A2" s="283"/>
      <c r="I2" s="284" t="s">
        <v>970</v>
      </c>
    </row>
    <row r="3" spans="1:9" ht="20.100000000000001" customHeight="1" x14ac:dyDescent="0.2">
      <c r="A3" s="283"/>
      <c r="I3" s="283"/>
    </row>
    <row r="4" spans="1:9" ht="20.100000000000001" customHeight="1" x14ac:dyDescent="0.2">
      <c r="A4" s="285" t="str">
        <f>"Hospital: "&amp;data!C98</f>
        <v>Hospital: Three Rivers Hospital</v>
      </c>
      <c r="G4" s="286"/>
      <c r="H4" s="285" t="str">
        <f>"FYE: "&amp;data!C96</f>
        <v>FYE: 12/31/2022</v>
      </c>
    </row>
    <row r="5" spans="1:9" ht="20.100000000000001" customHeight="1" x14ac:dyDescent="0.2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00000000000001" customHeight="1" x14ac:dyDescent="0.2">
      <c r="A6" s="290">
        <v>2</v>
      </c>
      <c r="B6" s="291" t="s">
        <v>971</v>
      </c>
      <c r="C6" s="292" t="s">
        <v>103</v>
      </c>
      <c r="D6" s="293" t="s">
        <v>972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00000000000001" customHeight="1" x14ac:dyDescent="0.2">
      <c r="A7" s="290"/>
      <c r="B7" s="291"/>
      <c r="C7" s="293" t="s">
        <v>175</v>
      </c>
      <c r="D7" s="293" t="s">
        <v>973</v>
      </c>
      <c r="E7" s="293" t="s">
        <v>175</v>
      </c>
      <c r="F7" s="293" t="s">
        <v>974</v>
      </c>
      <c r="G7" s="293" t="s">
        <v>177</v>
      </c>
      <c r="H7" s="293" t="s">
        <v>175</v>
      </c>
      <c r="I7" s="293" t="s">
        <v>178</v>
      </c>
    </row>
    <row r="8" spans="1:9" ht="20.100000000000001" customHeight="1" x14ac:dyDescent="0.2">
      <c r="A8" s="279">
        <v>3</v>
      </c>
      <c r="B8" s="287" t="s">
        <v>975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00000000000001" customHeight="1" x14ac:dyDescent="0.2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440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00000000000001" customHeight="1" x14ac:dyDescent="0.2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5.17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00000000000001" customHeight="1" x14ac:dyDescent="0.2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472328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00000000000001" customHeight="1" x14ac:dyDescent="0.2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105156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00000000000001" customHeight="1" x14ac:dyDescent="0.2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363053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00000000000001" customHeight="1" x14ac:dyDescent="0.2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18452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00000000000001" customHeight="1" x14ac:dyDescent="0.2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1689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00000000000001" customHeight="1" x14ac:dyDescent="0.2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14770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00000000000001" customHeight="1" x14ac:dyDescent="0.2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40305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00000000000001" customHeight="1" x14ac:dyDescent="0.2">
      <c r="A18" s="279">
        <v>13</v>
      </c>
      <c r="B18" s="287" t="s">
        <v>976</v>
      </c>
      <c r="C18" s="287">
        <f>data!C68</f>
        <v>0</v>
      </c>
      <c r="D18" s="287">
        <f>data!D68</f>
        <v>0</v>
      </c>
      <c r="E18" s="287">
        <f>data!E68</f>
        <v>12591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00000000000001" customHeight="1" x14ac:dyDescent="0.2">
      <c r="A19" s="279">
        <v>14</v>
      </c>
      <c r="B19" s="287" t="s">
        <v>977</v>
      </c>
      <c r="C19" s="287">
        <f>data!C69</f>
        <v>0</v>
      </c>
      <c r="D19" s="287">
        <f>data!D69</f>
        <v>0</v>
      </c>
      <c r="E19" s="287">
        <f>data!E69</f>
        <v>29747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00000000000001" customHeight="1" x14ac:dyDescent="0.2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00000000000001" customHeight="1" x14ac:dyDescent="0.2">
      <c r="A21" s="279">
        <v>16</v>
      </c>
      <c r="B21" s="295" t="s">
        <v>978</v>
      </c>
      <c r="C21" s="287">
        <f>data!C85</f>
        <v>0</v>
      </c>
      <c r="D21" s="287">
        <f>data!D85</f>
        <v>0</v>
      </c>
      <c r="E21" s="287">
        <f>data!E85</f>
        <v>1058091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00000000000001" customHeight="1" x14ac:dyDescent="0.2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00000000000001" customHeight="1" x14ac:dyDescent="0.2">
      <c r="A23" s="279">
        <v>18</v>
      </c>
      <c r="B23" s="287" t="s">
        <v>979</v>
      </c>
      <c r="C23" s="295">
        <f>+data!M668</f>
        <v>0</v>
      </c>
      <c r="D23" s="295">
        <f>+data!M669</f>
        <v>0</v>
      </c>
      <c r="E23" s="295">
        <f>+data!M670</f>
        <v>635626</v>
      </c>
      <c r="F23" s="295">
        <f>+data!M671</f>
        <v>0</v>
      </c>
      <c r="G23" s="295">
        <f>+data!M672</f>
        <v>0</v>
      </c>
      <c r="H23" s="295">
        <f>+data!M673</f>
        <v>0</v>
      </c>
      <c r="I23" s="295">
        <f>+data!M674</f>
        <v>0</v>
      </c>
    </row>
    <row r="24" spans="1:9" ht="20.100000000000001" customHeight="1" x14ac:dyDescent="0.2">
      <c r="A24" s="279">
        <v>19</v>
      </c>
      <c r="B24" s="295" t="s">
        <v>980</v>
      </c>
      <c r="C24" s="287">
        <f>data!C87</f>
        <v>0</v>
      </c>
      <c r="D24" s="287">
        <f>data!D87</f>
        <v>0</v>
      </c>
      <c r="E24" s="287">
        <f>data!E87</f>
        <v>1302123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00000000000001" customHeight="1" x14ac:dyDescent="0.2">
      <c r="A25" s="279">
        <v>20</v>
      </c>
      <c r="B25" s="295" t="s">
        <v>981</v>
      </c>
      <c r="C25" s="287">
        <f>data!C88</f>
        <v>0</v>
      </c>
      <c r="D25" s="287">
        <f>data!D88</f>
        <v>0</v>
      </c>
      <c r="E25" s="287">
        <f>data!E88</f>
        <v>60314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2">
      <c r="A26" s="279">
        <v>21</v>
      </c>
      <c r="B26" s="295" t="s">
        <v>982</v>
      </c>
      <c r="C26" s="287">
        <f>data!C89</f>
        <v>0</v>
      </c>
      <c r="D26" s="287">
        <f>data!D89</f>
        <v>0</v>
      </c>
      <c r="E26" s="287">
        <f>data!E89</f>
        <v>1362437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00000000000001" customHeight="1" x14ac:dyDescent="0.2">
      <c r="A27" s="279" t="s">
        <v>983</v>
      </c>
      <c r="B27" s="287"/>
      <c r="C27" s="297"/>
      <c r="D27" s="297"/>
      <c r="E27" s="297"/>
      <c r="F27" s="297"/>
      <c r="G27" s="297"/>
      <c r="H27" s="297"/>
      <c r="I27" s="297"/>
    </row>
    <row r="28" spans="1:9" ht="20.100000000000001" customHeight="1" x14ac:dyDescent="0.2">
      <c r="A28" s="279">
        <v>22</v>
      </c>
      <c r="B28" s="287" t="s">
        <v>984</v>
      </c>
      <c r="C28" s="287">
        <f>data!C90</f>
        <v>0</v>
      </c>
      <c r="D28" s="287">
        <f>data!D90</f>
        <v>0</v>
      </c>
      <c r="E28" s="287">
        <f>data!E90</f>
        <v>3542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00000000000001" customHeight="1" x14ac:dyDescent="0.2">
      <c r="A29" s="279">
        <v>23</v>
      </c>
      <c r="B29" s="287" t="s">
        <v>985</v>
      </c>
      <c r="C29" s="287">
        <f>data!C91</f>
        <v>0</v>
      </c>
      <c r="D29" s="287">
        <f>data!D91</f>
        <v>0</v>
      </c>
      <c r="E29" s="287">
        <f>data!E91</f>
        <v>1330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00000000000001" customHeight="1" x14ac:dyDescent="0.2">
      <c r="A30" s="279">
        <v>24</v>
      </c>
      <c r="B30" s="287" t="s">
        <v>986</v>
      </c>
      <c r="C30" s="287">
        <f>data!C92</f>
        <v>0</v>
      </c>
      <c r="D30" s="287">
        <f>data!D92</f>
        <v>0</v>
      </c>
      <c r="E30" s="287">
        <f>data!E92</f>
        <v>1113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00000000000001" customHeight="1" x14ac:dyDescent="0.2">
      <c r="A31" s="279">
        <v>25</v>
      </c>
      <c r="B31" s="287" t="s">
        <v>987</v>
      </c>
      <c r="C31" s="287">
        <f>data!C93</f>
        <v>0</v>
      </c>
      <c r="D31" s="287">
        <f>data!D93</f>
        <v>0</v>
      </c>
      <c r="E31" s="287">
        <f>data!E93</f>
        <v>5460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00000000000001" customHeight="1" x14ac:dyDescent="0.2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5.17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00000000000001" customHeight="1" x14ac:dyDescent="0.2">
      <c r="A33" s="280" t="s">
        <v>969</v>
      </c>
      <c r="B33" s="281"/>
      <c r="C33" s="281"/>
      <c r="D33" s="281"/>
      <c r="E33" s="281"/>
      <c r="F33" s="281"/>
      <c r="G33" s="281"/>
      <c r="H33" s="281"/>
      <c r="I33" s="280"/>
    </row>
    <row r="34" spans="1:9" ht="20.100000000000001" customHeight="1" x14ac:dyDescent="0.2">
      <c r="A34" s="283"/>
      <c r="I34" s="284" t="s">
        <v>988</v>
      </c>
    </row>
    <row r="35" spans="1:9" ht="20.100000000000001" customHeight="1" x14ac:dyDescent="0.2">
      <c r="A35" s="283"/>
      <c r="I35" s="283"/>
    </row>
    <row r="36" spans="1:9" ht="20.100000000000001" customHeight="1" x14ac:dyDescent="0.2">
      <c r="A36" s="285" t="str">
        <f>"Hospital: "&amp;data!C98</f>
        <v>Hospital: Three Rivers Hospital</v>
      </c>
      <c r="G36" s="286"/>
      <c r="H36" s="285" t="str">
        <f>"FYE: "&amp;data!C96</f>
        <v>FYE: 12/31/2022</v>
      </c>
    </row>
    <row r="37" spans="1:9" ht="20.100000000000001" customHeight="1" x14ac:dyDescent="0.2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00000000000001" customHeight="1" x14ac:dyDescent="0.2">
      <c r="A38" s="290">
        <v>2</v>
      </c>
      <c r="B38" s="291" t="s">
        <v>971</v>
      </c>
      <c r="C38" s="293"/>
      <c r="D38" s="293" t="s">
        <v>111</v>
      </c>
      <c r="E38" s="293" t="s">
        <v>112</v>
      </c>
      <c r="F38" s="293" t="s">
        <v>989</v>
      </c>
      <c r="G38" s="293" t="s">
        <v>114</v>
      </c>
      <c r="H38" s="293" t="s">
        <v>990</v>
      </c>
      <c r="I38" s="293" t="s">
        <v>116</v>
      </c>
    </row>
    <row r="39" spans="1:9" ht="20.100000000000001" customHeight="1" x14ac:dyDescent="0.2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00000000000001" customHeight="1" x14ac:dyDescent="0.2">
      <c r="A40" s="279">
        <v>3</v>
      </c>
      <c r="B40" s="287" t="s">
        <v>975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00000000000001" customHeight="1" x14ac:dyDescent="0.2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585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15425</v>
      </c>
    </row>
    <row r="42" spans="1:9" ht="20.100000000000001" customHeight="1" x14ac:dyDescent="0.2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6.88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1.39</v>
      </c>
    </row>
    <row r="43" spans="1:9" ht="20.100000000000001" customHeight="1" x14ac:dyDescent="0.2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627982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104905</v>
      </c>
    </row>
    <row r="44" spans="1:9" ht="20.100000000000001" customHeight="1" x14ac:dyDescent="0.2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139810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23355</v>
      </c>
    </row>
    <row r="45" spans="1:9" ht="20.100000000000001" customHeight="1" x14ac:dyDescent="0.2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482696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227758</v>
      </c>
    </row>
    <row r="46" spans="1:9" ht="20.100000000000001" customHeight="1" x14ac:dyDescent="0.2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24533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485231</v>
      </c>
    </row>
    <row r="47" spans="1:9" ht="20.100000000000001" customHeight="1" x14ac:dyDescent="0.2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2246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00000000000001" customHeight="1" x14ac:dyDescent="0.2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19637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00000000000001" customHeight="1" x14ac:dyDescent="0.2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53584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40999</v>
      </c>
    </row>
    <row r="50" spans="1:11" ht="20.100000000000001" customHeight="1" x14ac:dyDescent="0.2">
      <c r="A50" s="279">
        <v>13</v>
      </c>
      <c r="B50" s="287" t="s">
        <v>976</v>
      </c>
      <c r="C50" s="287">
        <f>data!J68</f>
        <v>0</v>
      </c>
      <c r="D50" s="287">
        <f>data!K68</f>
        <v>0</v>
      </c>
      <c r="E50" s="287">
        <f>data!L68</f>
        <v>16741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49826</v>
      </c>
    </row>
    <row r="51" spans="1:11" ht="20.100000000000001" customHeight="1" x14ac:dyDescent="0.2">
      <c r="A51" s="279">
        <v>14</v>
      </c>
      <c r="B51" s="287" t="s">
        <v>977</v>
      </c>
      <c r="C51" s="287">
        <f>data!J69</f>
        <v>0</v>
      </c>
      <c r="D51" s="287">
        <f>data!K69</f>
        <v>0</v>
      </c>
      <c r="E51" s="287">
        <f>data!L69</f>
        <v>39550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6217</v>
      </c>
    </row>
    <row r="52" spans="1:11" ht="20.100000000000001" customHeight="1" x14ac:dyDescent="0.2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00000000000001" customHeight="1" x14ac:dyDescent="0.2">
      <c r="A53" s="279">
        <v>16</v>
      </c>
      <c r="B53" s="295" t="s">
        <v>978</v>
      </c>
      <c r="C53" s="287">
        <f>data!J85</f>
        <v>0</v>
      </c>
      <c r="D53" s="287">
        <f>data!K85</f>
        <v>0</v>
      </c>
      <c r="E53" s="287">
        <f>data!L85</f>
        <v>1406779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938291</v>
      </c>
    </row>
    <row r="54" spans="1:11" ht="20.100000000000001" customHeight="1" x14ac:dyDescent="0.2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00000000000001" customHeight="1" x14ac:dyDescent="0.2">
      <c r="A55" s="279">
        <v>18</v>
      </c>
      <c r="B55" s="287" t="s">
        <v>979</v>
      </c>
      <c r="C55" s="295">
        <f>+data!M675</f>
        <v>0</v>
      </c>
      <c r="D55" s="295">
        <f>+data!M676</f>
        <v>0</v>
      </c>
      <c r="E55" s="295">
        <f>+data!M677</f>
        <v>712926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526083</v>
      </c>
    </row>
    <row r="56" spans="1:11" ht="20.100000000000001" customHeight="1" x14ac:dyDescent="0.2">
      <c r="A56" s="279">
        <v>19</v>
      </c>
      <c r="B56" s="295" t="s">
        <v>980</v>
      </c>
      <c r="C56" s="287">
        <f>data!J87</f>
        <v>0</v>
      </c>
      <c r="D56" s="287">
        <f>data!K87</f>
        <v>0</v>
      </c>
      <c r="E56" s="287">
        <f>data!L87</f>
        <v>815616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140610</v>
      </c>
    </row>
    <row r="57" spans="1:11" ht="20.100000000000001" customHeight="1" x14ac:dyDescent="0.2">
      <c r="A57" s="279">
        <v>20</v>
      </c>
      <c r="B57" s="295" t="s">
        <v>981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1548883</v>
      </c>
    </row>
    <row r="58" spans="1:11" ht="20.100000000000001" customHeight="1" x14ac:dyDescent="0.2">
      <c r="A58" s="279">
        <v>21</v>
      </c>
      <c r="B58" s="295" t="s">
        <v>982</v>
      </c>
      <c r="C58" s="287">
        <f>data!J89</f>
        <v>0</v>
      </c>
      <c r="D58" s="287">
        <f>data!K89</f>
        <v>0</v>
      </c>
      <c r="E58" s="287">
        <f>data!L89</f>
        <v>815616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1689493</v>
      </c>
    </row>
    <row r="59" spans="1:11" ht="20.100000000000001" customHeight="1" x14ac:dyDescent="0.2">
      <c r="A59" s="279" t="s">
        <v>983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00000000000001" customHeight="1" x14ac:dyDescent="0.25">
      <c r="A60" s="279">
        <v>22</v>
      </c>
      <c r="B60" s="287" t="s">
        <v>984</v>
      </c>
      <c r="C60" s="287">
        <f>data!J90</f>
        <v>0</v>
      </c>
      <c r="D60" s="287">
        <f>data!K90</f>
        <v>0</v>
      </c>
      <c r="E60" s="287">
        <f>data!L90</f>
        <v>4709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3603</v>
      </c>
      <c r="K60" s="298"/>
    </row>
    <row r="61" spans="1:11" ht="20.100000000000001" customHeight="1" x14ac:dyDescent="0.2">
      <c r="A61" s="279">
        <v>23</v>
      </c>
      <c r="B61" s="287" t="s">
        <v>985</v>
      </c>
      <c r="C61" s="287">
        <f>data!J91</f>
        <v>0</v>
      </c>
      <c r="D61" s="287">
        <f>data!K91</f>
        <v>0</v>
      </c>
      <c r="E61" s="287">
        <f>data!L91</f>
        <v>1768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00000000000001" customHeight="1" x14ac:dyDescent="0.2">
      <c r="A62" s="279">
        <v>24</v>
      </c>
      <c r="B62" s="287" t="s">
        <v>986</v>
      </c>
      <c r="C62" s="287">
        <f>data!J92</f>
        <v>0</v>
      </c>
      <c r="D62" s="287">
        <f>data!K92</f>
        <v>0</v>
      </c>
      <c r="E62" s="287">
        <f>data!L92</f>
        <v>1480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312</v>
      </c>
    </row>
    <row r="63" spans="1:11" ht="20.100000000000001" customHeight="1" x14ac:dyDescent="0.2">
      <c r="A63" s="279">
        <v>25</v>
      </c>
      <c r="B63" s="287" t="s">
        <v>987</v>
      </c>
      <c r="C63" s="287">
        <f>data!J93</f>
        <v>0</v>
      </c>
      <c r="D63" s="287">
        <f>data!K93</f>
        <v>0</v>
      </c>
      <c r="E63" s="287">
        <f>data!L93</f>
        <v>7259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4198</v>
      </c>
    </row>
    <row r="64" spans="1:11" ht="20.100000000000001" customHeight="1" x14ac:dyDescent="0.2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6.88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2.89</v>
      </c>
    </row>
    <row r="65" spans="1:9" ht="20.100000000000001" customHeight="1" x14ac:dyDescent="0.2">
      <c r="A65" s="280" t="s">
        <v>969</v>
      </c>
      <c r="B65" s="281"/>
      <c r="C65" s="281"/>
      <c r="D65" s="281"/>
      <c r="E65" s="281"/>
      <c r="F65" s="281"/>
      <c r="G65" s="281"/>
      <c r="H65" s="281"/>
      <c r="I65" s="280"/>
    </row>
    <row r="66" spans="1:9" ht="20.100000000000001" customHeight="1" x14ac:dyDescent="0.2">
      <c r="D66" s="283"/>
      <c r="I66" s="284" t="s">
        <v>991</v>
      </c>
    </row>
    <row r="67" spans="1:9" ht="20.100000000000001" customHeight="1" x14ac:dyDescent="0.2">
      <c r="A67" s="283"/>
    </row>
    <row r="68" spans="1:9" ht="20.100000000000001" customHeight="1" x14ac:dyDescent="0.2">
      <c r="A68" s="285" t="str">
        <f>"Hospital: "&amp;data!C98</f>
        <v>Hospital: Three Rivers Hospital</v>
      </c>
      <c r="G68" s="286"/>
      <c r="H68" s="285" t="str">
        <f>"FYE: "&amp;data!C96</f>
        <v>FYE: 12/31/2022</v>
      </c>
    </row>
    <row r="69" spans="1:9" ht="20.100000000000001" customHeight="1" x14ac:dyDescent="0.2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00000000000001" customHeight="1" x14ac:dyDescent="0.2">
      <c r="A70" s="290">
        <v>2</v>
      </c>
      <c r="B70" s="291" t="s">
        <v>971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00000000000001" customHeight="1" x14ac:dyDescent="0.2">
      <c r="A71" s="290"/>
      <c r="B71" s="291"/>
      <c r="C71" s="293" t="s">
        <v>183</v>
      </c>
      <c r="D71" s="293" t="s">
        <v>992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00000000000001" customHeight="1" x14ac:dyDescent="0.2">
      <c r="A72" s="279">
        <v>3</v>
      </c>
      <c r="B72" s="287" t="s">
        <v>975</v>
      </c>
      <c r="C72" s="289" t="s">
        <v>993</v>
      </c>
      <c r="D72" s="288" t="s">
        <v>994</v>
      </c>
      <c r="E72" s="299"/>
      <c r="F72" s="299"/>
      <c r="G72" s="288" t="s">
        <v>995</v>
      </c>
      <c r="H72" s="288" t="s">
        <v>995</v>
      </c>
      <c r="I72" s="289" t="s">
        <v>235</v>
      </c>
    </row>
    <row r="73" spans="1:9" ht="20.100000000000001" customHeight="1" x14ac:dyDescent="0.2">
      <c r="A73" s="279">
        <v>4</v>
      </c>
      <c r="B73" s="287" t="s">
        <v>246</v>
      </c>
      <c r="C73" s="287">
        <f>data!Q59</f>
        <v>10314</v>
      </c>
      <c r="D73" s="295">
        <f>data!R59</f>
        <v>14759</v>
      </c>
      <c r="E73" s="299"/>
      <c r="F73" s="299"/>
      <c r="G73" s="287">
        <f>data!U59</f>
        <v>22964</v>
      </c>
      <c r="H73" s="287">
        <f>data!V59</f>
        <v>0</v>
      </c>
      <c r="I73" s="287">
        <f>data!W59</f>
        <v>109</v>
      </c>
    </row>
    <row r="74" spans="1:9" ht="20.100000000000001" customHeight="1" x14ac:dyDescent="0.2">
      <c r="A74" s="279">
        <v>5</v>
      </c>
      <c r="B74" s="287" t="s">
        <v>247</v>
      </c>
      <c r="C74" s="294">
        <f>data!Q60</f>
        <v>1.5</v>
      </c>
      <c r="D74" s="294">
        <f>data!R60</f>
        <v>0</v>
      </c>
      <c r="E74" s="294">
        <f>data!S60</f>
        <v>1.85</v>
      </c>
      <c r="F74" s="294">
        <f>data!T60</f>
        <v>0</v>
      </c>
      <c r="G74" s="294">
        <f>data!U60</f>
        <v>4.46</v>
      </c>
      <c r="H74" s="294">
        <f>data!V60</f>
        <v>0</v>
      </c>
      <c r="I74" s="294">
        <f>data!W60</f>
        <v>0.08</v>
      </c>
    </row>
    <row r="75" spans="1:9" ht="20.100000000000001" customHeight="1" x14ac:dyDescent="0.2">
      <c r="A75" s="279">
        <v>6</v>
      </c>
      <c r="B75" s="287" t="s">
        <v>248</v>
      </c>
      <c r="C75" s="287">
        <f>data!Q61</f>
        <v>114048</v>
      </c>
      <c r="D75" s="287">
        <f>data!R61</f>
        <v>0</v>
      </c>
      <c r="E75" s="287">
        <f>data!S61</f>
        <v>60378</v>
      </c>
      <c r="F75" s="287">
        <f>data!T61</f>
        <v>0</v>
      </c>
      <c r="G75" s="287">
        <f>data!U61</f>
        <v>314726</v>
      </c>
      <c r="H75" s="287">
        <f>data!V61</f>
        <v>0</v>
      </c>
      <c r="I75" s="287">
        <f>data!W61</f>
        <v>7261</v>
      </c>
    </row>
    <row r="76" spans="1:9" ht="20.100000000000001" customHeight="1" x14ac:dyDescent="0.2">
      <c r="A76" s="279">
        <v>7</v>
      </c>
      <c r="B76" s="287" t="s">
        <v>9</v>
      </c>
      <c r="C76" s="287">
        <f>data!Q62</f>
        <v>25391</v>
      </c>
      <c r="D76" s="287">
        <f>data!R62</f>
        <v>0</v>
      </c>
      <c r="E76" s="287">
        <f>data!S62</f>
        <v>13442</v>
      </c>
      <c r="F76" s="287">
        <f>data!T62</f>
        <v>0</v>
      </c>
      <c r="G76" s="287">
        <f>data!U62</f>
        <v>70069</v>
      </c>
      <c r="H76" s="287">
        <f>data!V62</f>
        <v>0</v>
      </c>
      <c r="I76" s="287">
        <f>data!W62</f>
        <v>1617</v>
      </c>
    </row>
    <row r="77" spans="1:9" ht="20.100000000000001" customHeight="1" x14ac:dyDescent="0.2">
      <c r="A77" s="279">
        <v>8</v>
      </c>
      <c r="B77" s="287" t="s">
        <v>249</v>
      </c>
      <c r="C77" s="287">
        <f>data!Q63</f>
        <v>0</v>
      </c>
      <c r="D77" s="287">
        <f>data!R63</f>
        <v>565966</v>
      </c>
      <c r="E77" s="287">
        <f>data!S63</f>
        <v>0</v>
      </c>
      <c r="F77" s="287">
        <f>data!T63</f>
        <v>0</v>
      </c>
      <c r="G77" s="287">
        <f>data!U63</f>
        <v>160642</v>
      </c>
      <c r="H77" s="287">
        <f>data!V63</f>
        <v>0</v>
      </c>
      <c r="I77" s="287">
        <f>data!W63</f>
        <v>5162</v>
      </c>
    </row>
    <row r="78" spans="1:9" ht="20.100000000000001" customHeight="1" x14ac:dyDescent="0.2">
      <c r="A78" s="279">
        <v>9</v>
      </c>
      <c r="B78" s="287" t="s">
        <v>250</v>
      </c>
      <c r="C78" s="287">
        <f>data!Q64</f>
        <v>1747</v>
      </c>
      <c r="D78" s="287">
        <f>data!R64</f>
        <v>7413</v>
      </c>
      <c r="E78" s="287">
        <f>data!S64</f>
        <v>9017</v>
      </c>
      <c r="F78" s="287">
        <f>data!T64</f>
        <v>0</v>
      </c>
      <c r="G78" s="287">
        <f>data!U64</f>
        <v>285930</v>
      </c>
      <c r="H78" s="287">
        <f>data!V64</f>
        <v>0</v>
      </c>
      <c r="I78" s="287">
        <f>data!W64</f>
        <v>189</v>
      </c>
    </row>
    <row r="79" spans="1:9" ht="20.100000000000001" customHeight="1" x14ac:dyDescent="0.2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51</v>
      </c>
    </row>
    <row r="80" spans="1:9" ht="20.100000000000001" customHeight="1" x14ac:dyDescent="0.2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89290</v>
      </c>
      <c r="H80" s="287">
        <f>data!V66</f>
        <v>0</v>
      </c>
      <c r="I80" s="287">
        <f>data!W66</f>
        <v>63095</v>
      </c>
    </row>
    <row r="81" spans="1:9" ht="20.100000000000001" customHeight="1" x14ac:dyDescent="0.2">
      <c r="A81" s="279">
        <v>12</v>
      </c>
      <c r="B81" s="287" t="s">
        <v>11</v>
      </c>
      <c r="C81" s="287">
        <f>data!Q67</f>
        <v>0</v>
      </c>
      <c r="D81" s="287">
        <f>data!R67</f>
        <v>307</v>
      </c>
      <c r="E81" s="287">
        <f>data!S67</f>
        <v>22804</v>
      </c>
      <c r="F81" s="287">
        <f>data!T67</f>
        <v>0</v>
      </c>
      <c r="G81" s="287">
        <f>data!U67</f>
        <v>14190</v>
      </c>
      <c r="H81" s="287">
        <f>data!V67</f>
        <v>0</v>
      </c>
      <c r="I81" s="287">
        <f>data!W67</f>
        <v>580</v>
      </c>
    </row>
    <row r="82" spans="1:9" ht="20.100000000000001" customHeight="1" x14ac:dyDescent="0.2">
      <c r="A82" s="279">
        <v>13</v>
      </c>
      <c r="B82" s="287" t="s">
        <v>976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00000000000001" customHeight="1" x14ac:dyDescent="0.2">
      <c r="A83" s="279">
        <v>14</v>
      </c>
      <c r="B83" s="287" t="s">
        <v>977</v>
      </c>
      <c r="C83" s="287">
        <f>data!Q69</f>
        <v>96</v>
      </c>
      <c r="D83" s="287">
        <f>data!R69</f>
        <v>9893</v>
      </c>
      <c r="E83" s="287">
        <f>data!S69</f>
        <v>4553</v>
      </c>
      <c r="F83" s="287">
        <f>data!T69</f>
        <v>0</v>
      </c>
      <c r="G83" s="287">
        <f>data!U69</f>
        <v>88015</v>
      </c>
      <c r="H83" s="287">
        <f>data!V69</f>
        <v>0</v>
      </c>
      <c r="I83" s="287">
        <f>data!W69</f>
        <v>0</v>
      </c>
    </row>
    <row r="84" spans="1:9" ht="20.100000000000001" customHeight="1" x14ac:dyDescent="0.2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10113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00000000000001" customHeight="1" x14ac:dyDescent="0.2">
      <c r="A85" s="279">
        <v>16</v>
      </c>
      <c r="B85" s="295" t="s">
        <v>978</v>
      </c>
      <c r="C85" s="287">
        <f>data!Q85</f>
        <v>141282</v>
      </c>
      <c r="D85" s="287">
        <f>data!R85</f>
        <v>583579</v>
      </c>
      <c r="E85" s="287">
        <f>data!S85</f>
        <v>100081</v>
      </c>
      <c r="F85" s="287">
        <f>data!T85</f>
        <v>0</v>
      </c>
      <c r="G85" s="287">
        <f>data!U85</f>
        <v>1022862</v>
      </c>
      <c r="H85" s="287">
        <f>data!V85</f>
        <v>0</v>
      </c>
      <c r="I85" s="287">
        <f>data!W85</f>
        <v>77955</v>
      </c>
    </row>
    <row r="86" spans="1:9" ht="20.100000000000001" customHeight="1" x14ac:dyDescent="0.2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00000000000001" customHeight="1" x14ac:dyDescent="0.2">
      <c r="A87" s="279">
        <v>18</v>
      </c>
      <c r="B87" s="287" t="s">
        <v>979</v>
      </c>
      <c r="C87" s="295">
        <f>+data!M682</f>
        <v>36714</v>
      </c>
      <c r="D87" s="295">
        <f>+data!M683</f>
        <v>161675</v>
      </c>
      <c r="E87" s="295">
        <f>+data!M684</f>
        <v>411072</v>
      </c>
      <c r="F87" s="295">
        <f>+data!M685</f>
        <v>0</v>
      </c>
      <c r="G87" s="295">
        <f>+data!M686</f>
        <v>497106</v>
      </c>
      <c r="H87" s="295">
        <f>+data!M687</f>
        <v>0</v>
      </c>
      <c r="I87" s="295">
        <f>+data!M688</f>
        <v>67105</v>
      </c>
    </row>
    <row r="88" spans="1:9" ht="20.100000000000001" customHeight="1" x14ac:dyDescent="0.2">
      <c r="A88" s="279">
        <v>19</v>
      </c>
      <c r="B88" s="295" t="s">
        <v>980</v>
      </c>
      <c r="C88" s="287">
        <f>data!Q87</f>
        <v>-319</v>
      </c>
      <c r="D88" s="287">
        <f>data!R87</f>
        <v>68060</v>
      </c>
      <c r="E88" s="287">
        <f>data!S87</f>
        <v>430419</v>
      </c>
      <c r="F88" s="287">
        <f>data!T87</f>
        <v>0</v>
      </c>
      <c r="G88" s="287">
        <f>data!U87</f>
        <v>132308</v>
      </c>
      <c r="H88" s="287">
        <f>data!V87</f>
        <v>0</v>
      </c>
      <c r="I88" s="287">
        <f>data!W87</f>
        <v>15086</v>
      </c>
    </row>
    <row r="89" spans="1:9" ht="20.100000000000001" customHeight="1" x14ac:dyDescent="0.2">
      <c r="A89" s="279">
        <v>20</v>
      </c>
      <c r="B89" s="295" t="s">
        <v>981</v>
      </c>
      <c r="C89" s="287">
        <f>data!Q88</f>
        <v>73431</v>
      </c>
      <c r="D89" s="287">
        <f>data!R88</f>
        <v>708151</v>
      </c>
      <c r="E89" s="287">
        <f>data!S88</f>
        <v>2015748</v>
      </c>
      <c r="F89" s="287">
        <f>data!T88</f>
        <v>0</v>
      </c>
      <c r="G89" s="287">
        <f>data!U88</f>
        <v>2103505</v>
      </c>
      <c r="H89" s="287">
        <f>data!V88</f>
        <v>0</v>
      </c>
      <c r="I89" s="287">
        <f>data!W88</f>
        <v>413136</v>
      </c>
    </row>
    <row r="90" spans="1:9" ht="20.100000000000001" customHeight="1" x14ac:dyDescent="0.2">
      <c r="A90" s="279">
        <v>21</v>
      </c>
      <c r="B90" s="295" t="s">
        <v>982</v>
      </c>
      <c r="C90" s="287">
        <f>data!Q89</f>
        <v>73112</v>
      </c>
      <c r="D90" s="287">
        <f>data!R89</f>
        <v>776211</v>
      </c>
      <c r="E90" s="287">
        <f>data!S89</f>
        <v>2446167</v>
      </c>
      <c r="F90" s="287">
        <f>data!T89</f>
        <v>0</v>
      </c>
      <c r="G90" s="287">
        <f>data!U89</f>
        <v>2235813</v>
      </c>
      <c r="H90" s="287">
        <f>data!V89</f>
        <v>0</v>
      </c>
      <c r="I90" s="287">
        <f>data!W89</f>
        <v>428222</v>
      </c>
    </row>
    <row r="91" spans="1:9" ht="20.100000000000001" customHeight="1" x14ac:dyDescent="0.2">
      <c r="A91" s="279" t="s">
        <v>983</v>
      </c>
      <c r="B91" s="287"/>
      <c r="C91" s="297"/>
      <c r="D91" s="297"/>
      <c r="E91" s="297"/>
      <c r="F91" s="297"/>
      <c r="G91" s="297"/>
      <c r="H91" s="297"/>
      <c r="I91" s="297"/>
    </row>
    <row r="92" spans="1:9" ht="20.100000000000001" customHeight="1" x14ac:dyDescent="0.2">
      <c r="A92" s="279">
        <v>22</v>
      </c>
      <c r="B92" s="287" t="s">
        <v>984</v>
      </c>
      <c r="C92" s="287">
        <f>data!Q90</f>
        <v>0</v>
      </c>
      <c r="D92" s="287">
        <f>data!R90</f>
        <v>27</v>
      </c>
      <c r="E92" s="287">
        <f>data!S90</f>
        <v>2004</v>
      </c>
      <c r="F92" s="287">
        <f>data!T90</f>
        <v>0</v>
      </c>
      <c r="G92" s="287">
        <f>data!U90</f>
        <v>1247</v>
      </c>
      <c r="H92" s="287">
        <f>data!V90</f>
        <v>0</v>
      </c>
      <c r="I92" s="287">
        <f>data!W90</f>
        <v>51</v>
      </c>
    </row>
    <row r="93" spans="1:9" ht="20.100000000000001" customHeight="1" x14ac:dyDescent="0.2">
      <c r="A93" s="279">
        <v>23</v>
      </c>
      <c r="B93" s="287" t="s">
        <v>985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00000000000001" customHeight="1" x14ac:dyDescent="0.2">
      <c r="A94" s="279">
        <v>24</v>
      </c>
      <c r="B94" s="287" t="s">
        <v>986</v>
      </c>
      <c r="C94" s="287">
        <f>data!Q92</f>
        <v>97</v>
      </c>
      <c r="D94" s="287">
        <f>data!R92</f>
        <v>0</v>
      </c>
      <c r="E94" s="287">
        <f>data!S92</f>
        <v>484</v>
      </c>
      <c r="F94" s="287">
        <f>data!T92</f>
        <v>0</v>
      </c>
      <c r="G94" s="287">
        <f>data!U92</f>
        <v>356</v>
      </c>
      <c r="H94" s="287">
        <f>data!V92</f>
        <v>0</v>
      </c>
      <c r="I94" s="287">
        <f>data!W92</f>
        <v>17</v>
      </c>
    </row>
    <row r="95" spans="1:9" ht="20.100000000000001" customHeight="1" x14ac:dyDescent="0.2">
      <c r="A95" s="279">
        <v>25</v>
      </c>
      <c r="B95" s="287" t="s">
        <v>987</v>
      </c>
      <c r="C95" s="287">
        <f>data!Q93</f>
        <v>0</v>
      </c>
      <c r="D95" s="287">
        <f>data!R93</f>
        <v>0</v>
      </c>
      <c r="E95" s="287">
        <f>data!S93</f>
        <v>355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122</v>
      </c>
    </row>
    <row r="96" spans="1:9" ht="20.100000000000001" customHeight="1" x14ac:dyDescent="0.2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00000000000001" customHeight="1" x14ac:dyDescent="0.2">
      <c r="A97" s="280" t="s">
        <v>969</v>
      </c>
      <c r="B97" s="281"/>
      <c r="C97" s="281"/>
      <c r="D97" s="281"/>
      <c r="E97" s="281"/>
      <c r="F97" s="281"/>
      <c r="G97" s="281"/>
      <c r="H97" s="281"/>
      <c r="I97" s="280"/>
    </row>
    <row r="98" spans="1:9" ht="20.100000000000001" customHeight="1" x14ac:dyDescent="0.2">
      <c r="D98" s="283"/>
      <c r="I98" s="284" t="s">
        <v>996</v>
      </c>
    </row>
    <row r="99" spans="1:9" ht="20.100000000000001" customHeight="1" x14ac:dyDescent="0.2">
      <c r="A99" s="283"/>
    </row>
    <row r="100" spans="1:9" ht="20.100000000000001" customHeight="1" x14ac:dyDescent="0.2">
      <c r="A100" s="285" t="str">
        <f>"Hospital: "&amp;data!C98</f>
        <v>Hospital: Three Rivers Hospital</v>
      </c>
      <c r="G100" s="286"/>
      <c r="H100" s="285" t="str">
        <f>"FYE: "&amp;data!C96</f>
        <v>FYE: 12/31/2022</v>
      </c>
    </row>
    <row r="101" spans="1:9" ht="20.100000000000001" customHeight="1" x14ac:dyDescent="0.2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00000000000001" customHeight="1" x14ac:dyDescent="0.2">
      <c r="A102" s="290">
        <v>2</v>
      </c>
      <c r="B102" s="291" t="s">
        <v>971</v>
      </c>
      <c r="C102" s="293" t="s">
        <v>997</v>
      </c>
      <c r="D102" s="293" t="s">
        <v>998</v>
      </c>
      <c r="E102" s="293" t="s">
        <v>998</v>
      </c>
      <c r="F102" s="293" t="s">
        <v>126</v>
      </c>
      <c r="G102" s="293"/>
      <c r="H102" s="293" t="s">
        <v>128</v>
      </c>
      <c r="I102" s="293"/>
    </row>
    <row r="103" spans="1:9" ht="20.100000000000001" customHeight="1" x14ac:dyDescent="0.2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00000000000001" customHeight="1" x14ac:dyDescent="0.2">
      <c r="A104" s="279">
        <v>3</v>
      </c>
      <c r="B104" s="287" t="s">
        <v>975</v>
      </c>
      <c r="C104" s="288" t="s">
        <v>236</v>
      </c>
      <c r="D104" s="289" t="s">
        <v>999</v>
      </c>
      <c r="E104" s="289" t="s">
        <v>999</v>
      </c>
      <c r="F104" s="289" t="s">
        <v>999</v>
      </c>
      <c r="G104" s="299"/>
      <c r="H104" s="289" t="s">
        <v>238</v>
      </c>
      <c r="I104" s="289" t="s">
        <v>239</v>
      </c>
    </row>
    <row r="105" spans="1:9" ht="20.100000000000001" customHeight="1" x14ac:dyDescent="0.2">
      <c r="A105" s="279">
        <v>4</v>
      </c>
      <c r="B105" s="287" t="s">
        <v>246</v>
      </c>
      <c r="C105" s="287">
        <f>data!X59</f>
        <v>1389</v>
      </c>
      <c r="D105" s="287">
        <f>data!Y59</f>
        <v>4132</v>
      </c>
      <c r="E105" s="287">
        <f>data!Z59</f>
        <v>0</v>
      </c>
      <c r="F105" s="287">
        <f>data!AA59</f>
        <v>0</v>
      </c>
      <c r="G105" s="299"/>
      <c r="H105" s="287">
        <f>data!AC59</f>
        <v>567</v>
      </c>
      <c r="I105" s="287">
        <f>data!AD59</f>
        <v>0</v>
      </c>
    </row>
    <row r="106" spans="1:9" ht="20.100000000000001" customHeight="1" x14ac:dyDescent="0.2">
      <c r="A106" s="279">
        <v>5</v>
      </c>
      <c r="B106" s="287" t="s">
        <v>247</v>
      </c>
      <c r="C106" s="294">
        <f>data!X60</f>
        <v>1.03</v>
      </c>
      <c r="D106" s="294">
        <f>data!Y60</f>
        <v>3.06</v>
      </c>
      <c r="E106" s="294">
        <f>data!Z60</f>
        <v>0</v>
      </c>
      <c r="F106" s="294">
        <f>data!AA60</f>
        <v>0</v>
      </c>
      <c r="G106" s="294">
        <f>data!AB60</f>
        <v>1.02</v>
      </c>
      <c r="H106" s="294">
        <f>data!AC60</f>
        <v>0</v>
      </c>
      <c r="I106" s="294">
        <f>data!AD60</f>
        <v>0</v>
      </c>
    </row>
    <row r="107" spans="1:9" ht="20.100000000000001" customHeight="1" x14ac:dyDescent="0.2">
      <c r="A107" s="279">
        <v>6</v>
      </c>
      <c r="B107" s="287" t="s">
        <v>248</v>
      </c>
      <c r="C107" s="287">
        <f>data!X61</f>
        <v>92526</v>
      </c>
      <c r="D107" s="287">
        <f>data!Y61</f>
        <v>275246</v>
      </c>
      <c r="E107" s="287">
        <f>data!Z61</f>
        <v>0</v>
      </c>
      <c r="F107" s="287">
        <f>data!AA61</f>
        <v>0</v>
      </c>
      <c r="G107" s="287">
        <f>data!AB61</f>
        <v>54930</v>
      </c>
      <c r="H107" s="287">
        <f>data!AC61</f>
        <v>0</v>
      </c>
      <c r="I107" s="287">
        <f>data!AD61</f>
        <v>0</v>
      </c>
    </row>
    <row r="108" spans="1:9" ht="20.100000000000001" customHeight="1" x14ac:dyDescent="0.2">
      <c r="A108" s="279">
        <v>7</v>
      </c>
      <c r="B108" s="287" t="s">
        <v>9</v>
      </c>
      <c r="C108" s="287">
        <f>data!X62</f>
        <v>20599</v>
      </c>
      <c r="D108" s="287">
        <f>data!Y62</f>
        <v>61279</v>
      </c>
      <c r="E108" s="287">
        <f>data!Z62</f>
        <v>0</v>
      </c>
      <c r="F108" s="287">
        <f>data!AA62</f>
        <v>0</v>
      </c>
      <c r="G108" s="287">
        <f>data!AB62</f>
        <v>12229</v>
      </c>
      <c r="H108" s="287">
        <f>data!AC62</f>
        <v>0</v>
      </c>
      <c r="I108" s="287">
        <f>data!AD62</f>
        <v>0</v>
      </c>
    </row>
    <row r="109" spans="1:9" ht="20.100000000000001" customHeight="1" x14ac:dyDescent="0.2">
      <c r="A109" s="279">
        <v>8</v>
      </c>
      <c r="B109" s="287" t="s">
        <v>249</v>
      </c>
      <c r="C109" s="287">
        <f>data!X63</f>
        <v>65786</v>
      </c>
      <c r="D109" s="287">
        <f>data!Y63</f>
        <v>195700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00000000000001" customHeight="1" x14ac:dyDescent="0.2">
      <c r="A110" s="279">
        <v>9</v>
      </c>
      <c r="B110" s="287" t="s">
        <v>250</v>
      </c>
      <c r="C110" s="287">
        <f>data!X64</f>
        <v>2422</v>
      </c>
      <c r="D110" s="287">
        <f>data!Y64</f>
        <v>7202</v>
      </c>
      <c r="E110" s="287">
        <f>data!Z64</f>
        <v>0</v>
      </c>
      <c r="F110" s="287">
        <f>data!AA64</f>
        <v>0</v>
      </c>
      <c r="G110" s="287">
        <f>data!AB64</f>
        <v>390531</v>
      </c>
      <c r="H110" s="287">
        <f>data!AC64</f>
        <v>39397</v>
      </c>
      <c r="I110" s="287">
        <f>data!AD64</f>
        <v>0</v>
      </c>
    </row>
    <row r="111" spans="1:9" ht="20.100000000000001" customHeight="1" x14ac:dyDescent="0.2">
      <c r="A111" s="279">
        <v>10</v>
      </c>
      <c r="B111" s="287" t="s">
        <v>497</v>
      </c>
      <c r="C111" s="287">
        <f>data!X65</f>
        <v>638</v>
      </c>
      <c r="D111" s="287">
        <f>data!Y65</f>
        <v>1902</v>
      </c>
      <c r="E111" s="287">
        <f>data!Z65</f>
        <v>0</v>
      </c>
      <c r="F111" s="287">
        <f>data!AA65</f>
        <v>0</v>
      </c>
      <c r="G111" s="287">
        <f>data!AB65</f>
        <v>62</v>
      </c>
      <c r="H111" s="287">
        <f>data!AC65</f>
        <v>0</v>
      </c>
      <c r="I111" s="287">
        <f>data!AD65</f>
        <v>0</v>
      </c>
    </row>
    <row r="112" spans="1:9" ht="20.100000000000001" customHeight="1" x14ac:dyDescent="0.2">
      <c r="A112" s="279">
        <v>11</v>
      </c>
      <c r="B112" s="287" t="s">
        <v>498</v>
      </c>
      <c r="C112" s="287">
        <f>data!X66</f>
        <v>0</v>
      </c>
      <c r="D112" s="287">
        <f>data!Y66</f>
        <v>12530</v>
      </c>
      <c r="E112" s="287">
        <f>data!Z66</f>
        <v>0</v>
      </c>
      <c r="F112" s="287">
        <f>data!AA66</f>
        <v>0</v>
      </c>
      <c r="G112" s="287">
        <f>data!AB66</f>
        <v>135999</v>
      </c>
      <c r="H112" s="287">
        <f>data!AC66</f>
        <v>0</v>
      </c>
      <c r="I112" s="287">
        <f>data!AD66</f>
        <v>0</v>
      </c>
    </row>
    <row r="113" spans="1:9" ht="20.100000000000001" customHeight="1" x14ac:dyDescent="0.2">
      <c r="A113" s="279">
        <v>12</v>
      </c>
      <c r="B113" s="287" t="s">
        <v>11</v>
      </c>
      <c r="C113" s="287">
        <f>data!X67</f>
        <v>7465</v>
      </c>
      <c r="D113" s="287">
        <f>data!Y67</f>
        <v>22212</v>
      </c>
      <c r="E113" s="287">
        <f>data!Z67</f>
        <v>0</v>
      </c>
      <c r="F113" s="287">
        <f>data!AA67</f>
        <v>0</v>
      </c>
      <c r="G113" s="287">
        <f>data!AB67</f>
        <v>11436</v>
      </c>
      <c r="H113" s="287">
        <f>data!AC67</f>
        <v>2845</v>
      </c>
      <c r="I113" s="287">
        <f>data!AD67</f>
        <v>0</v>
      </c>
    </row>
    <row r="114" spans="1:9" ht="20.100000000000001" customHeight="1" x14ac:dyDescent="0.2">
      <c r="A114" s="279">
        <v>13</v>
      </c>
      <c r="B114" s="287" t="s">
        <v>976</v>
      </c>
      <c r="C114" s="287">
        <f>data!X68</f>
        <v>0</v>
      </c>
      <c r="D114" s="287">
        <f>data!Y68</f>
        <v>343</v>
      </c>
      <c r="E114" s="287">
        <f>data!Z68</f>
        <v>0</v>
      </c>
      <c r="F114" s="287">
        <f>data!AA68</f>
        <v>0</v>
      </c>
      <c r="G114" s="287">
        <f>data!AB68</f>
        <v>164</v>
      </c>
      <c r="H114" s="287">
        <f>data!AC68</f>
        <v>6234</v>
      </c>
      <c r="I114" s="287">
        <f>data!AD68</f>
        <v>0</v>
      </c>
    </row>
    <row r="115" spans="1:9" ht="20.100000000000001" customHeight="1" x14ac:dyDescent="0.2">
      <c r="A115" s="279">
        <v>14</v>
      </c>
      <c r="B115" s="287" t="s">
        <v>977</v>
      </c>
      <c r="C115" s="287">
        <f>data!X69</f>
        <v>81034</v>
      </c>
      <c r="D115" s="287">
        <f>data!Y69</f>
        <v>119650</v>
      </c>
      <c r="E115" s="287">
        <f>data!Z69</f>
        <v>0</v>
      </c>
      <c r="F115" s="287">
        <f>data!AA69</f>
        <v>0</v>
      </c>
      <c r="G115" s="287">
        <f>data!AB69</f>
        <v>33397</v>
      </c>
      <c r="H115" s="287">
        <f>data!AC69</f>
        <v>0</v>
      </c>
      <c r="I115" s="287">
        <f>data!AD69</f>
        <v>0</v>
      </c>
    </row>
    <row r="116" spans="1:9" ht="20.100000000000001" customHeight="1" x14ac:dyDescent="0.2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-1902</v>
      </c>
      <c r="H116" s="287">
        <f>-data!AC84</f>
        <v>0</v>
      </c>
      <c r="I116" s="287">
        <f>-data!AD84</f>
        <v>0</v>
      </c>
    </row>
    <row r="117" spans="1:9" ht="20.100000000000001" customHeight="1" x14ac:dyDescent="0.2">
      <c r="A117" s="279">
        <v>16</v>
      </c>
      <c r="B117" s="295" t="s">
        <v>978</v>
      </c>
      <c r="C117" s="287">
        <f>data!X85</f>
        <v>270470</v>
      </c>
      <c r="D117" s="287">
        <f>data!Y85</f>
        <v>696064</v>
      </c>
      <c r="E117" s="287">
        <f>data!Z85</f>
        <v>0</v>
      </c>
      <c r="F117" s="287">
        <f>data!AA85</f>
        <v>0</v>
      </c>
      <c r="G117" s="287">
        <f>data!AB85</f>
        <v>636846</v>
      </c>
      <c r="H117" s="287">
        <f>data!AC85</f>
        <v>48476</v>
      </c>
      <c r="I117" s="287">
        <f>data!AD85</f>
        <v>0</v>
      </c>
    </row>
    <row r="118" spans="1:9" ht="20.100000000000001" customHeight="1" x14ac:dyDescent="0.2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00000000000001" customHeight="1" x14ac:dyDescent="0.2">
      <c r="A119" s="279">
        <v>18</v>
      </c>
      <c r="B119" s="287" t="s">
        <v>979</v>
      </c>
      <c r="C119" s="295">
        <f>+data!M689</f>
        <v>349841</v>
      </c>
      <c r="D119" s="295">
        <f>+data!M690</f>
        <v>599782</v>
      </c>
      <c r="E119" s="295">
        <f>+data!M691</f>
        <v>0</v>
      </c>
      <c r="F119" s="295">
        <f>+data!M692</f>
        <v>0</v>
      </c>
      <c r="G119" s="295">
        <f>+data!M693</f>
        <v>368905</v>
      </c>
      <c r="H119" s="295">
        <f>+data!M694</f>
        <v>44214</v>
      </c>
      <c r="I119" s="295">
        <f>+data!M695</f>
        <v>0</v>
      </c>
    </row>
    <row r="120" spans="1:9" ht="20.100000000000001" customHeight="1" x14ac:dyDescent="0.2">
      <c r="A120" s="279">
        <v>19</v>
      </c>
      <c r="B120" s="295" t="s">
        <v>980</v>
      </c>
      <c r="C120" s="287">
        <f>data!X87</f>
        <v>87881</v>
      </c>
      <c r="D120" s="287">
        <f>data!Y87</f>
        <v>29271</v>
      </c>
      <c r="E120" s="287">
        <f>data!Z87</f>
        <v>0</v>
      </c>
      <c r="F120" s="287">
        <f>data!AA87</f>
        <v>0</v>
      </c>
      <c r="G120" s="287">
        <f>data!AB87</f>
        <v>483895</v>
      </c>
      <c r="H120" s="287">
        <f>data!AC87</f>
        <v>3441</v>
      </c>
      <c r="I120" s="287">
        <f>data!AD87</f>
        <v>0</v>
      </c>
    </row>
    <row r="121" spans="1:9" ht="20.100000000000001" customHeight="1" x14ac:dyDescent="0.2">
      <c r="A121" s="279">
        <v>20</v>
      </c>
      <c r="B121" s="295" t="s">
        <v>981</v>
      </c>
      <c r="C121" s="287">
        <f>data!X88</f>
        <v>2098574</v>
      </c>
      <c r="D121" s="287">
        <f>data!Y88</f>
        <v>3235614</v>
      </c>
      <c r="E121" s="287">
        <f>data!Z88</f>
        <v>0</v>
      </c>
      <c r="F121" s="287">
        <f>data!AA88</f>
        <v>0</v>
      </c>
      <c r="G121" s="287">
        <f>data!AB88</f>
        <v>1122464</v>
      </c>
      <c r="H121" s="287">
        <f>data!AC88</f>
        <v>151130</v>
      </c>
      <c r="I121" s="287">
        <f>data!AD88</f>
        <v>0</v>
      </c>
    </row>
    <row r="122" spans="1:9" ht="20.100000000000001" customHeight="1" x14ac:dyDescent="0.2">
      <c r="A122" s="279">
        <v>21</v>
      </c>
      <c r="B122" s="295" t="s">
        <v>982</v>
      </c>
      <c r="C122" s="287">
        <f>data!X89</f>
        <v>2186455</v>
      </c>
      <c r="D122" s="287">
        <f>data!Y89</f>
        <v>3264885</v>
      </c>
      <c r="E122" s="287">
        <f>data!Z89</f>
        <v>0</v>
      </c>
      <c r="F122" s="287">
        <f>data!AA89</f>
        <v>0</v>
      </c>
      <c r="G122" s="287">
        <f>data!AB89</f>
        <v>1606359</v>
      </c>
      <c r="H122" s="287">
        <f>data!AC89</f>
        <v>154571</v>
      </c>
      <c r="I122" s="287">
        <f>data!AD89</f>
        <v>0</v>
      </c>
    </row>
    <row r="123" spans="1:9" ht="20.100000000000001" customHeight="1" x14ac:dyDescent="0.2">
      <c r="A123" s="279" t="s">
        <v>983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00000000000001" customHeight="1" x14ac:dyDescent="0.2">
      <c r="A124" s="279">
        <v>22</v>
      </c>
      <c r="B124" s="287" t="s">
        <v>984</v>
      </c>
      <c r="C124" s="287">
        <f>data!X90</f>
        <v>656</v>
      </c>
      <c r="D124" s="287">
        <f>data!Y90</f>
        <v>1952</v>
      </c>
      <c r="E124" s="287">
        <f>data!Z90</f>
        <v>0</v>
      </c>
      <c r="F124" s="287">
        <f>data!AA90</f>
        <v>0</v>
      </c>
      <c r="G124" s="287">
        <f>data!AB90</f>
        <v>1005</v>
      </c>
      <c r="H124" s="287">
        <f>data!AC90</f>
        <v>250</v>
      </c>
      <c r="I124" s="287">
        <f>data!AD90</f>
        <v>0</v>
      </c>
    </row>
    <row r="125" spans="1:9" ht="20.100000000000001" customHeight="1" x14ac:dyDescent="0.2">
      <c r="A125" s="279">
        <v>23</v>
      </c>
      <c r="B125" s="287" t="s">
        <v>985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00000000000001" customHeight="1" x14ac:dyDescent="0.2">
      <c r="A126" s="279">
        <v>24</v>
      </c>
      <c r="B126" s="287" t="s">
        <v>986</v>
      </c>
      <c r="C126" s="287">
        <f>data!X92</f>
        <v>211</v>
      </c>
      <c r="D126" s="287">
        <f>data!Y92</f>
        <v>629</v>
      </c>
      <c r="E126" s="287">
        <f>data!Z92</f>
        <v>0</v>
      </c>
      <c r="F126" s="287">
        <f>data!AA92</f>
        <v>0</v>
      </c>
      <c r="G126" s="287">
        <f>data!AB92</f>
        <v>144</v>
      </c>
      <c r="H126" s="287">
        <f>data!AC92</f>
        <v>234</v>
      </c>
      <c r="I126" s="287">
        <f>data!AD92</f>
        <v>0</v>
      </c>
    </row>
    <row r="127" spans="1:9" ht="20.100000000000001" customHeight="1" x14ac:dyDescent="0.2">
      <c r="A127" s="279">
        <v>25</v>
      </c>
      <c r="B127" s="287" t="s">
        <v>987</v>
      </c>
      <c r="C127" s="287">
        <f>data!X93</f>
        <v>1549</v>
      </c>
      <c r="D127" s="287">
        <f>data!Y93</f>
        <v>4608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00000000000001" customHeight="1" x14ac:dyDescent="0.2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1.02</v>
      </c>
      <c r="H128" s="294">
        <f>data!AC94</f>
        <v>0</v>
      </c>
      <c r="I128" s="294">
        <f>data!AD94</f>
        <v>0</v>
      </c>
    </row>
    <row r="129" spans="1:14" ht="20.100000000000001" customHeight="1" x14ac:dyDescent="0.2">
      <c r="A129" s="280" t="s">
        <v>969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00000000000001" customHeight="1" x14ac:dyDescent="0.2">
      <c r="D130" s="283"/>
      <c r="I130" s="284" t="s">
        <v>1000</v>
      </c>
    </row>
    <row r="131" spans="1:14" ht="20.100000000000001" customHeight="1" x14ac:dyDescent="0.2">
      <c r="A131" s="283"/>
    </row>
    <row r="132" spans="1:14" ht="20.100000000000001" customHeight="1" x14ac:dyDescent="0.2">
      <c r="A132" s="285" t="str">
        <f>"Hospital: "&amp;data!C98</f>
        <v>Hospital: Three Rivers Hospital</v>
      </c>
      <c r="G132" s="286"/>
      <c r="H132" s="285" t="str">
        <f>"FYE: "&amp;data!C96</f>
        <v>FYE: 12/31/2022</v>
      </c>
    </row>
    <row r="133" spans="1:14" ht="20.100000000000001" customHeight="1" x14ac:dyDescent="0.2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00000000000001" customHeight="1" x14ac:dyDescent="0.2">
      <c r="A134" s="290">
        <v>2</v>
      </c>
      <c r="B134" s="291" t="s">
        <v>971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1001</v>
      </c>
      <c r="H134" s="293"/>
      <c r="I134" s="293" t="s">
        <v>134</v>
      </c>
    </row>
    <row r="135" spans="1:14" ht="20.100000000000001" customHeight="1" x14ac:dyDescent="0.2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00000000000001" customHeight="1" x14ac:dyDescent="0.2">
      <c r="A136" s="279">
        <v>3</v>
      </c>
      <c r="B136" s="287" t="s">
        <v>975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1002</v>
      </c>
      <c r="H136" s="289" t="s">
        <v>240</v>
      </c>
      <c r="I136" s="289" t="s">
        <v>238</v>
      </c>
    </row>
    <row r="137" spans="1:14" ht="20.100000000000001" customHeight="1" x14ac:dyDescent="0.25">
      <c r="A137" s="279">
        <v>4</v>
      </c>
      <c r="B137" s="287" t="s">
        <v>246</v>
      </c>
      <c r="C137" s="287">
        <f>data!AE59</f>
        <v>830</v>
      </c>
      <c r="D137" s="287">
        <f>data!AF59</f>
        <v>0</v>
      </c>
      <c r="E137" s="287">
        <f>data!AG59</f>
        <v>7500</v>
      </c>
      <c r="F137" s="287">
        <f>data!AH59</f>
        <v>0</v>
      </c>
      <c r="G137" s="287">
        <f>data!AI59</f>
        <v>0</v>
      </c>
      <c r="H137" s="287">
        <f>data!AJ59</f>
        <v>4444</v>
      </c>
      <c r="I137" s="287">
        <f>data!AK59</f>
        <v>0</v>
      </c>
      <c r="K137" s="298"/>
      <c r="L137" s="300"/>
      <c r="M137" s="300"/>
      <c r="N137" s="300"/>
    </row>
    <row r="138" spans="1:14" ht="20.100000000000001" customHeight="1" x14ac:dyDescent="0.2">
      <c r="A138" s="279">
        <v>5</v>
      </c>
      <c r="B138" s="287" t="s">
        <v>247</v>
      </c>
      <c r="C138" s="294">
        <f>data!AE60</f>
        <v>0.71</v>
      </c>
      <c r="D138" s="294">
        <f>data!AF60</f>
        <v>0</v>
      </c>
      <c r="E138" s="294">
        <f>data!AG60</f>
        <v>4.88</v>
      </c>
      <c r="F138" s="294">
        <f>data!AH60</f>
        <v>0</v>
      </c>
      <c r="G138" s="294">
        <f>data!AI60</f>
        <v>0</v>
      </c>
      <c r="H138" s="294">
        <f>data!AJ60</f>
        <v>15.35</v>
      </c>
      <c r="I138" s="294">
        <f>data!AK60</f>
        <v>0</v>
      </c>
    </row>
    <row r="139" spans="1:14" ht="20.100000000000001" customHeight="1" x14ac:dyDescent="0.2">
      <c r="A139" s="279">
        <v>6</v>
      </c>
      <c r="B139" s="287" t="s">
        <v>248</v>
      </c>
      <c r="C139" s="287">
        <f>data!AE61</f>
        <v>43678</v>
      </c>
      <c r="D139" s="287">
        <f>data!AF61</f>
        <v>0</v>
      </c>
      <c r="E139" s="287">
        <f>data!AG61</f>
        <v>430431</v>
      </c>
      <c r="F139" s="287">
        <f>data!AH61</f>
        <v>0</v>
      </c>
      <c r="G139" s="287">
        <f>data!AI61</f>
        <v>0</v>
      </c>
      <c r="H139" s="287">
        <f>data!AJ61</f>
        <v>1098578</v>
      </c>
      <c r="I139" s="287">
        <f>data!AK61</f>
        <v>0</v>
      </c>
    </row>
    <row r="140" spans="1:14" ht="20.100000000000001" customHeight="1" x14ac:dyDescent="0.2">
      <c r="A140" s="279">
        <v>7</v>
      </c>
      <c r="B140" s="287" t="s">
        <v>9</v>
      </c>
      <c r="C140" s="287">
        <f>data!AE62</f>
        <v>9724</v>
      </c>
      <c r="D140" s="287">
        <f>data!AF62</f>
        <v>0</v>
      </c>
      <c r="E140" s="287">
        <f>data!AG62</f>
        <v>95829</v>
      </c>
      <c r="F140" s="287">
        <f>data!AH62</f>
        <v>0</v>
      </c>
      <c r="G140" s="287">
        <f>data!AI62</f>
        <v>0</v>
      </c>
      <c r="H140" s="287">
        <f>data!AJ62</f>
        <v>244581</v>
      </c>
      <c r="I140" s="287">
        <f>data!AK62</f>
        <v>0</v>
      </c>
    </row>
    <row r="141" spans="1:14" ht="20.100000000000001" customHeight="1" x14ac:dyDescent="0.2">
      <c r="A141" s="279">
        <v>8</v>
      </c>
      <c r="B141" s="287" t="s">
        <v>249</v>
      </c>
      <c r="C141" s="287">
        <f>data!AE63</f>
        <v>65016</v>
      </c>
      <c r="D141" s="287">
        <f>data!AF63</f>
        <v>0</v>
      </c>
      <c r="E141" s="287">
        <f>data!AG63</f>
        <v>1820696</v>
      </c>
      <c r="F141" s="287">
        <f>data!AH63</f>
        <v>0</v>
      </c>
      <c r="G141" s="287">
        <f>data!AI63</f>
        <v>0</v>
      </c>
      <c r="H141" s="287">
        <f>data!AJ63</f>
        <v>239675</v>
      </c>
      <c r="I141" s="287">
        <f>data!AK63</f>
        <v>0</v>
      </c>
    </row>
    <row r="142" spans="1:14" ht="20.100000000000001" customHeight="1" x14ac:dyDescent="0.2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79491</v>
      </c>
      <c r="F142" s="287">
        <f>data!AH64</f>
        <v>0</v>
      </c>
      <c r="G142" s="287">
        <f>data!AI64</f>
        <v>0</v>
      </c>
      <c r="H142" s="287">
        <f>data!AJ64</f>
        <v>106097</v>
      </c>
      <c r="I142" s="287">
        <f>data!AK64</f>
        <v>0</v>
      </c>
    </row>
    <row r="143" spans="1:14" ht="20.100000000000001" customHeight="1" x14ac:dyDescent="0.2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461</v>
      </c>
      <c r="I143" s="287">
        <f>data!AK65</f>
        <v>0</v>
      </c>
    </row>
    <row r="144" spans="1:14" ht="20.100000000000001" customHeight="1" x14ac:dyDescent="0.2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82581</v>
      </c>
      <c r="I144" s="287">
        <f>data!AK66</f>
        <v>0</v>
      </c>
    </row>
    <row r="145" spans="1:9" ht="20.100000000000001" customHeight="1" x14ac:dyDescent="0.2">
      <c r="A145" s="279">
        <v>12</v>
      </c>
      <c r="B145" s="287" t="s">
        <v>11</v>
      </c>
      <c r="C145" s="287">
        <f>data!AE67</f>
        <v>9217</v>
      </c>
      <c r="D145" s="287">
        <f>data!AF67</f>
        <v>0</v>
      </c>
      <c r="E145" s="287">
        <f>data!AG67</f>
        <v>56827</v>
      </c>
      <c r="F145" s="287">
        <f>data!AH67</f>
        <v>0</v>
      </c>
      <c r="G145" s="287">
        <f>data!AI67</f>
        <v>0</v>
      </c>
      <c r="H145" s="287">
        <f>data!AJ67</f>
        <v>67762</v>
      </c>
      <c r="I145" s="287">
        <f>data!AK67</f>
        <v>0</v>
      </c>
    </row>
    <row r="146" spans="1:9" ht="20.100000000000001" customHeight="1" x14ac:dyDescent="0.2">
      <c r="A146" s="279">
        <v>13</v>
      </c>
      <c r="B146" s="287" t="s">
        <v>976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3357</v>
      </c>
      <c r="I146" s="287">
        <f>data!AK68</f>
        <v>0</v>
      </c>
    </row>
    <row r="147" spans="1:9" ht="20.100000000000001" customHeight="1" x14ac:dyDescent="0.2">
      <c r="A147" s="279">
        <v>14</v>
      </c>
      <c r="B147" s="287" t="s">
        <v>977</v>
      </c>
      <c r="C147" s="287">
        <f>data!AE69</f>
        <v>96</v>
      </c>
      <c r="D147" s="287">
        <f>data!AF69</f>
        <v>0</v>
      </c>
      <c r="E147" s="287">
        <f>data!AG69</f>
        <v>62974</v>
      </c>
      <c r="F147" s="287">
        <f>data!AH69</f>
        <v>0</v>
      </c>
      <c r="G147" s="287">
        <f>data!AI69</f>
        <v>0</v>
      </c>
      <c r="H147" s="287">
        <f>data!AJ69</f>
        <v>13783</v>
      </c>
      <c r="I147" s="287">
        <f>data!AK69</f>
        <v>0</v>
      </c>
    </row>
    <row r="148" spans="1:9" ht="20.100000000000001" customHeight="1" x14ac:dyDescent="0.2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00000000000001" customHeight="1" x14ac:dyDescent="0.2">
      <c r="A149" s="279">
        <v>16</v>
      </c>
      <c r="B149" s="295" t="s">
        <v>978</v>
      </c>
      <c r="C149" s="287">
        <f>data!AE85</f>
        <v>127731</v>
      </c>
      <c r="D149" s="287">
        <f>data!AF85</f>
        <v>0</v>
      </c>
      <c r="E149" s="287">
        <f>data!AG85</f>
        <v>2546248</v>
      </c>
      <c r="F149" s="287">
        <f>data!AH85</f>
        <v>0</v>
      </c>
      <c r="G149" s="287">
        <f>data!AI85</f>
        <v>0</v>
      </c>
      <c r="H149" s="287">
        <f>data!AJ85</f>
        <v>1856875</v>
      </c>
      <c r="I149" s="287">
        <f>data!AK85</f>
        <v>0</v>
      </c>
    </row>
    <row r="150" spans="1:9" ht="20.100000000000001" customHeight="1" x14ac:dyDescent="0.2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00000000000001" customHeight="1" x14ac:dyDescent="0.2">
      <c r="A151" s="279">
        <v>18</v>
      </c>
      <c r="B151" s="287" t="s">
        <v>979</v>
      </c>
      <c r="C151" s="295">
        <f>+data!M696</f>
        <v>55714</v>
      </c>
      <c r="D151" s="295">
        <f>+data!M697</f>
        <v>0</v>
      </c>
      <c r="E151" s="295">
        <f>+data!M698</f>
        <v>1260598</v>
      </c>
      <c r="F151" s="295">
        <f>+data!M699</f>
        <v>0</v>
      </c>
      <c r="G151" s="295">
        <f>+data!M700</f>
        <v>0</v>
      </c>
      <c r="H151" s="295">
        <f>+data!M701</f>
        <v>559064</v>
      </c>
      <c r="I151" s="295">
        <f>+data!M702</f>
        <v>0</v>
      </c>
    </row>
    <row r="152" spans="1:9" ht="20.100000000000001" customHeight="1" x14ac:dyDescent="0.2">
      <c r="A152" s="279">
        <v>19</v>
      </c>
      <c r="B152" s="295" t="s">
        <v>980</v>
      </c>
      <c r="C152" s="287">
        <f>data!AE87</f>
        <v>115931</v>
      </c>
      <c r="D152" s="287">
        <f>data!AF87</f>
        <v>0</v>
      </c>
      <c r="E152" s="287">
        <f>data!AG87</f>
        <v>69762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00000000000001" customHeight="1" x14ac:dyDescent="0.2">
      <c r="A153" s="279">
        <v>20</v>
      </c>
      <c r="B153" s="295" t="s">
        <v>981</v>
      </c>
      <c r="C153" s="287">
        <f>data!AE88</f>
        <v>24701</v>
      </c>
      <c r="D153" s="287">
        <f>data!AF88</f>
        <v>0</v>
      </c>
      <c r="E153" s="287">
        <f>data!AG88</f>
        <v>4673385</v>
      </c>
      <c r="F153" s="287">
        <f>data!AH88</f>
        <v>0</v>
      </c>
      <c r="G153" s="287">
        <f>data!AI88</f>
        <v>0</v>
      </c>
      <c r="H153" s="287">
        <f>data!AJ88</f>
        <v>787243</v>
      </c>
      <c r="I153" s="287">
        <f>data!AK88</f>
        <v>0</v>
      </c>
    </row>
    <row r="154" spans="1:9" ht="20.100000000000001" customHeight="1" x14ac:dyDescent="0.2">
      <c r="A154" s="279">
        <v>21</v>
      </c>
      <c r="B154" s="295" t="s">
        <v>982</v>
      </c>
      <c r="C154" s="287">
        <f>data!AE89</f>
        <v>140632</v>
      </c>
      <c r="D154" s="287">
        <f>data!AF89</f>
        <v>0</v>
      </c>
      <c r="E154" s="287">
        <f>data!AG89</f>
        <v>4743147</v>
      </c>
      <c r="F154" s="287">
        <f>data!AH89</f>
        <v>0</v>
      </c>
      <c r="G154" s="287">
        <f>data!AI89</f>
        <v>0</v>
      </c>
      <c r="H154" s="287">
        <f>data!AJ89</f>
        <v>787243</v>
      </c>
      <c r="I154" s="287">
        <f>data!AK89</f>
        <v>0</v>
      </c>
    </row>
    <row r="155" spans="1:9" ht="20.100000000000001" customHeight="1" x14ac:dyDescent="0.2">
      <c r="A155" s="279" t="s">
        <v>983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00000000000001" customHeight="1" x14ac:dyDescent="0.2">
      <c r="A156" s="279">
        <v>22</v>
      </c>
      <c r="B156" s="287" t="s">
        <v>984</v>
      </c>
      <c r="C156" s="287">
        <f>data!AE90</f>
        <v>810</v>
      </c>
      <c r="D156" s="287">
        <f>data!AF90</f>
        <v>0</v>
      </c>
      <c r="E156" s="287">
        <f>data!AG90</f>
        <v>4994</v>
      </c>
      <c r="F156" s="287">
        <f>data!AH90</f>
        <v>0</v>
      </c>
      <c r="G156" s="287">
        <f>data!AI90</f>
        <v>0</v>
      </c>
      <c r="H156" s="287">
        <f>data!AJ90</f>
        <v>5955</v>
      </c>
      <c r="I156" s="287">
        <f>data!AK90</f>
        <v>0</v>
      </c>
    </row>
    <row r="157" spans="1:9" ht="20.100000000000001" customHeight="1" x14ac:dyDescent="0.2">
      <c r="A157" s="279">
        <v>23</v>
      </c>
      <c r="B157" s="287" t="s">
        <v>985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00000000000001" customHeight="1" x14ac:dyDescent="0.2">
      <c r="A158" s="279">
        <v>24</v>
      </c>
      <c r="B158" s="287" t="s">
        <v>986</v>
      </c>
      <c r="C158" s="287">
        <f>data!AE92</f>
        <v>58</v>
      </c>
      <c r="D158" s="287">
        <f>data!AF92</f>
        <v>0</v>
      </c>
      <c r="E158" s="287">
        <f>data!AG92</f>
        <v>2516</v>
      </c>
      <c r="F158" s="287">
        <f>data!AH92</f>
        <v>0</v>
      </c>
      <c r="G158" s="287">
        <f>data!AI92</f>
        <v>0</v>
      </c>
      <c r="H158" s="287">
        <f>data!AJ92</f>
        <v>896</v>
      </c>
      <c r="I158" s="287">
        <f>data!AK92</f>
        <v>0</v>
      </c>
    </row>
    <row r="159" spans="1:9" ht="20.100000000000001" customHeight="1" x14ac:dyDescent="0.2">
      <c r="A159" s="279">
        <v>25</v>
      </c>
      <c r="B159" s="287" t="s">
        <v>987</v>
      </c>
      <c r="C159" s="287">
        <f>data!AE93</f>
        <v>0</v>
      </c>
      <c r="D159" s="287">
        <f>data!AF93</f>
        <v>0</v>
      </c>
      <c r="E159" s="287">
        <f>data!AG93</f>
        <v>23732</v>
      </c>
      <c r="F159" s="287">
        <f>data!AH93</f>
        <v>0</v>
      </c>
      <c r="G159" s="287">
        <f>data!AI93</f>
        <v>0</v>
      </c>
      <c r="H159" s="287">
        <f>data!AJ93</f>
        <v>169</v>
      </c>
      <c r="I159" s="287">
        <f>data!AK93</f>
        <v>0</v>
      </c>
    </row>
    <row r="160" spans="1:9" ht="20.100000000000001" customHeight="1" x14ac:dyDescent="0.2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4.88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00000000000001" customHeight="1" x14ac:dyDescent="0.2">
      <c r="A161" s="280" t="s">
        <v>969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00000000000001" customHeight="1" x14ac:dyDescent="0.2">
      <c r="D162" s="283"/>
      <c r="I162" s="284" t="s">
        <v>1003</v>
      </c>
    </row>
    <row r="163" spans="1:9" ht="20.100000000000001" customHeight="1" x14ac:dyDescent="0.2">
      <c r="A163" s="283"/>
    </row>
    <row r="164" spans="1:9" ht="20.100000000000001" customHeight="1" x14ac:dyDescent="0.2">
      <c r="A164" s="285" t="str">
        <f>"Hospital: "&amp;data!C98</f>
        <v>Hospital: Three Rivers Hospital</v>
      </c>
      <c r="G164" s="286"/>
      <c r="H164" s="285" t="str">
        <f>"FYE: "&amp;data!C96</f>
        <v>FYE: 12/31/2022</v>
      </c>
    </row>
    <row r="165" spans="1:9" ht="20.100000000000001" customHeight="1" x14ac:dyDescent="0.2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00000000000001" customHeight="1" x14ac:dyDescent="0.2">
      <c r="A166" s="290">
        <v>2</v>
      </c>
      <c r="B166" s="291" t="s">
        <v>971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1004</v>
      </c>
      <c r="H166" s="293" t="s">
        <v>139</v>
      </c>
      <c r="I166" s="293" t="s">
        <v>140</v>
      </c>
    </row>
    <row r="167" spans="1:9" ht="20.100000000000001" customHeight="1" x14ac:dyDescent="0.2">
      <c r="A167" s="290"/>
      <c r="B167" s="291"/>
      <c r="C167" s="293" t="s">
        <v>184</v>
      </c>
      <c r="D167" s="293" t="s">
        <v>184</v>
      </c>
      <c r="E167" s="293" t="s">
        <v>1005</v>
      </c>
      <c r="F167" s="293" t="s">
        <v>194</v>
      </c>
      <c r="G167" s="293" t="s">
        <v>133</v>
      </c>
      <c r="H167" s="292" t="s">
        <v>1006</v>
      </c>
      <c r="I167" s="293" t="s">
        <v>181</v>
      </c>
    </row>
    <row r="168" spans="1:9" ht="20.100000000000001" customHeight="1" x14ac:dyDescent="0.2">
      <c r="A168" s="279">
        <v>3</v>
      </c>
      <c r="B168" s="287" t="s">
        <v>975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00000000000001" customHeight="1" x14ac:dyDescent="0.2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2544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00000000000001" customHeight="1" x14ac:dyDescent="0.2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1.25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00000000000001" customHeight="1" x14ac:dyDescent="0.2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113788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00000000000001" customHeight="1" x14ac:dyDescent="0.2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25333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00000000000001" customHeight="1" x14ac:dyDescent="0.2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87463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00000000000001" customHeight="1" x14ac:dyDescent="0.2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4445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00000000000001" customHeight="1" x14ac:dyDescent="0.2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407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00000000000001" customHeight="1" x14ac:dyDescent="0.2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3558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00000000000001" customHeight="1" x14ac:dyDescent="0.2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9706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00000000000001" customHeight="1" x14ac:dyDescent="0.2">
      <c r="A178" s="279">
        <v>13</v>
      </c>
      <c r="B178" s="287" t="s">
        <v>976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3033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00000000000001" customHeight="1" x14ac:dyDescent="0.2">
      <c r="A179" s="279">
        <v>14</v>
      </c>
      <c r="B179" s="287" t="s">
        <v>977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7166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00000000000001" customHeight="1" x14ac:dyDescent="0.2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00000000000001" customHeight="1" x14ac:dyDescent="0.2">
      <c r="A181" s="279">
        <v>16</v>
      </c>
      <c r="B181" s="295" t="s">
        <v>978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254899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00000000000001" customHeight="1" x14ac:dyDescent="0.2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00000000000001" customHeight="1" x14ac:dyDescent="0.2">
      <c r="A183" s="279">
        <v>18</v>
      </c>
      <c r="B183" s="287" t="s">
        <v>979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155665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00000000000001" customHeight="1" x14ac:dyDescent="0.2">
      <c r="A184" s="279">
        <v>19</v>
      </c>
      <c r="B184" s="295" t="s">
        <v>980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-16685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00000000000001" customHeight="1" x14ac:dyDescent="0.2">
      <c r="A185" s="279">
        <v>20</v>
      </c>
      <c r="B185" s="295" t="s">
        <v>981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363264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00000000000001" customHeight="1" x14ac:dyDescent="0.2">
      <c r="A186" s="279">
        <v>21</v>
      </c>
      <c r="B186" s="295" t="s">
        <v>982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346579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00000000000001" customHeight="1" x14ac:dyDescent="0.2">
      <c r="A187" s="279" t="s">
        <v>983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00000000000001" customHeight="1" x14ac:dyDescent="0.2">
      <c r="A188" s="279">
        <v>22</v>
      </c>
      <c r="B188" s="287" t="s">
        <v>984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853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00000000000001" customHeight="1" x14ac:dyDescent="0.2">
      <c r="A189" s="279">
        <v>23</v>
      </c>
      <c r="B189" s="287" t="s">
        <v>985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320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00000000000001" customHeight="1" x14ac:dyDescent="0.2">
      <c r="A190" s="279">
        <v>24</v>
      </c>
      <c r="B190" s="287" t="s">
        <v>986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269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00000000000001" customHeight="1" x14ac:dyDescent="0.2">
      <c r="A191" s="279">
        <v>25</v>
      </c>
      <c r="B191" s="287" t="s">
        <v>987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1316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00000000000001" customHeight="1" x14ac:dyDescent="0.2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1.25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00000000000001" customHeight="1" x14ac:dyDescent="0.2">
      <c r="A193" s="280" t="s">
        <v>969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00000000000001" customHeight="1" x14ac:dyDescent="0.2">
      <c r="D194" s="283"/>
      <c r="I194" s="284" t="s">
        <v>1007</v>
      </c>
    </row>
    <row r="195" spans="1:9" ht="20.100000000000001" customHeight="1" x14ac:dyDescent="0.2">
      <c r="A195" s="283"/>
    </row>
    <row r="196" spans="1:9" ht="20.100000000000001" customHeight="1" x14ac:dyDescent="0.2">
      <c r="A196" s="285" t="str">
        <f>"Hospital: "&amp;data!C98</f>
        <v>Hospital: Three Rivers Hospital</v>
      </c>
      <c r="G196" s="286"/>
      <c r="H196" s="285" t="str">
        <f>"FYE: "&amp;data!C96</f>
        <v>FYE: 12/31/2022</v>
      </c>
    </row>
    <row r="197" spans="1:9" ht="20.100000000000001" customHeight="1" x14ac:dyDescent="0.2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00000000000001" customHeight="1" x14ac:dyDescent="0.2">
      <c r="A198" s="290">
        <v>2</v>
      </c>
      <c r="B198" s="291" t="s">
        <v>971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1008</v>
      </c>
      <c r="H198" s="293" t="s">
        <v>146</v>
      </c>
      <c r="I198" s="293"/>
    </row>
    <row r="199" spans="1:9" ht="20.100000000000001" customHeight="1" x14ac:dyDescent="0.2">
      <c r="A199" s="290"/>
      <c r="B199" s="291"/>
      <c r="C199" s="293" t="s">
        <v>141</v>
      </c>
      <c r="D199" s="293" t="s">
        <v>243</v>
      </c>
      <c r="E199" s="293" t="s">
        <v>1009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00000000000001" customHeight="1" x14ac:dyDescent="0.2">
      <c r="A200" s="279">
        <v>3</v>
      </c>
      <c r="B200" s="287" t="s">
        <v>975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00000000000001" customHeight="1" x14ac:dyDescent="0.2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5163</v>
      </c>
    </row>
    <row r="202" spans="1:9" ht="20.100000000000001" customHeight="1" x14ac:dyDescent="0.2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4.22</v>
      </c>
    </row>
    <row r="203" spans="1:9" ht="20.100000000000001" customHeight="1" x14ac:dyDescent="0.2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181896</v>
      </c>
    </row>
    <row r="204" spans="1:9" ht="20.100000000000001" customHeight="1" x14ac:dyDescent="0.2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40496</v>
      </c>
    </row>
    <row r="205" spans="1:9" ht="20.100000000000001" customHeight="1" x14ac:dyDescent="0.2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00000000000001" customHeight="1" x14ac:dyDescent="0.2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58638</v>
      </c>
    </row>
    <row r="207" spans="1:9" ht="20.100000000000001" customHeight="1" x14ac:dyDescent="0.2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00000000000001" customHeight="1" x14ac:dyDescent="0.2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2175</v>
      </c>
    </row>
    <row r="209" spans="1:9" ht="20.100000000000001" customHeight="1" x14ac:dyDescent="0.2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30177</v>
      </c>
    </row>
    <row r="210" spans="1:9" ht="20.100000000000001" customHeight="1" x14ac:dyDescent="0.2">
      <c r="A210" s="279">
        <v>13</v>
      </c>
      <c r="B210" s="287" t="s">
        <v>976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00000000000001" customHeight="1" x14ac:dyDescent="0.2">
      <c r="A211" s="279">
        <v>14</v>
      </c>
      <c r="B211" s="287" t="s">
        <v>977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9465</v>
      </c>
    </row>
    <row r="212" spans="1:9" ht="20.100000000000001" customHeight="1" x14ac:dyDescent="0.2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-31459</v>
      </c>
    </row>
    <row r="213" spans="1:9" ht="20.100000000000001" customHeight="1" x14ac:dyDescent="0.2">
      <c r="A213" s="279">
        <v>16</v>
      </c>
      <c r="B213" s="295" t="s">
        <v>978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291388</v>
      </c>
    </row>
    <row r="214" spans="1:9" ht="20.100000000000001" customHeight="1" x14ac:dyDescent="0.2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00000000000001" customHeight="1" x14ac:dyDescent="0.2">
      <c r="A215" s="279">
        <v>18</v>
      </c>
      <c r="B215" s="287" t="s">
        <v>979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0</v>
      </c>
      <c r="G215" s="301"/>
      <c r="H215" s="287"/>
      <c r="I215" s="287"/>
    </row>
    <row r="216" spans="1:9" ht="20.100000000000001" customHeight="1" x14ac:dyDescent="0.2">
      <c r="A216" s="279">
        <v>19</v>
      </c>
      <c r="B216" s="295" t="s">
        <v>980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00000000000001" customHeight="1" x14ac:dyDescent="0.2">
      <c r="A217" s="279">
        <v>20</v>
      </c>
      <c r="B217" s="295" t="s">
        <v>981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00000000000001" customHeight="1" x14ac:dyDescent="0.2">
      <c r="A218" s="279">
        <v>21</v>
      </c>
      <c r="B218" s="295" t="s">
        <v>982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00000000000001" customHeight="1" x14ac:dyDescent="0.2">
      <c r="A219" s="279" t="s">
        <v>983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00000000000001" customHeight="1" x14ac:dyDescent="0.2">
      <c r="A220" s="279">
        <v>22</v>
      </c>
      <c r="B220" s="287" t="s">
        <v>984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2652</v>
      </c>
    </row>
    <row r="221" spans="1:9" ht="20.100000000000001" customHeight="1" x14ac:dyDescent="0.2">
      <c r="A221" s="279">
        <v>23</v>
      </c>
      <c r="B221" s="287" t="s">
        <v>985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00000000000001" customHeight="1" x14ac:dyDescent="0.2">
      <c r="A222" s="279">
        <v>24</v>
      </c>
      <c r="B222" s="287" t="s">
        <v>986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00000000000001" customHeight="1" x14ac:dyDescent="0.2">
      <c r="A223" s="279">
        <v>25</v>
      </c>
      <c r="B223" s="287" t="s">
        <v>987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00000000000001" customHeight="1" x14ac:dyDescent="0.2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00000000000001" customHeight="1" x14ac:dyDescent="0.2">
      <c r="A225" s="280" t="s">
        <v>969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00000000000001" customHeight="1" x14ac:dyDescent="0.2">
      <c r="D226" s="283"/>
      <c r="I226" s="284" t="s">
        <v>1010</v>
      </c>
    </row>
    <row r="227" spans="1:9" ht="20.100000000000001" customHeight="1" x14ac:dyDescent="0.2">
      <c r="A227" s="283"/>
    </row>
    <row r="228" spans="1:9" ht="20.100000000000001" customHeight="1" x14ac:dyDescent="0.2">
      <c r="A228" s="285" t="str">
        <f>"Hospital: "&amp;data!C98</f>
        <v>Hospital: Three Rivers Hospital</v>
      </c>
      <c r="G228" s="286"/>
      <c r="H228" s="285" t="str">
        <f>"FYE: "&amp;data!C96</f>
        <v>FYE: 12/31/2022</v>
      </c>
    </row>
    <row r="229" spans="1:9" ht="20.100000000000001" customHeight="1" x14ac:dyDescent="0.2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00000000000001" customHeight="1" x14ac:dyDescent="0.2">
      <c r="A230" s="290">
        <v>2</v>
      </c>
      <c r="B230" s="291" t="s">
        <v>971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00000000000001" customHeight="1" x14ac:dyDescent="0.2">
      <c r="A231" s="290"/>
      <c r="B231" s="291"/>
      <c r="C231" s="293" t="s">
        <v>148</v>
      </c>
      <c r="D231" s="293" t="s">
        <v>201</v>
      </c>
      <c r="E231" s="293" t="s">
        <v>1011</v>
      </c>
      <c r="F231" s="293" t="s">
        <v>1012</v>
      </c>
      <c r="G231" s="293" t="s">
        <v>151</v>
      </c>
      <c r="H231" s="293" t="s">
        <v>152</v>
      </c>
      <c r="I231" s="293" t="s">
        <v>153</v>
      </c>
    </row>
    <row r="232" spans="1:9" ht="20.100000000000001" customHeight="1" x14ac:dyDescent="0.2">
      <c r="A232" s="279">
        <v>3</v>
      </c>
      <c r="B232" s="287" t="s">
        <v>975</v>
      </c>
      <c r="C232" s="289" t="s">
        <v>1013</v>
      </c>
      <c r="D232" s="289" t="s">
        <v>1014</v>
      </c>
      <c r="E232" s="299"/>
      <c r="F232" s="299"/>
      <c r="G232" s="299"/>
      <c r="H232" s="289" t="s">
        <v>245</v>
      </c>
      <c r="I232" s="299"/>
    </row>
    <row r="233" spans="1:9" ht="20.100000000000001" customHeight="1" x14ac:dyDescent="0.2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55657</v>
      </c>
      <c r="I233" s="299"/>
    </row>
    <row r="234" spans="1:9" ht="20.100000000000001" customHeight="1" x14ac:dyDescent="0.2">
      <c r="A234" s="279">
        <v>5</v>
      </c>
      <c r="B234" s="287" t="s">
        <v>247</v>
      </c>
      <c r="C234" s="294">
        <f>data!AZ60</f>
        <v>0</v>
      </c>
      <c r="D234" s="294">
        <f>data!BA60</f>
        <v>0.77</v>
      </c>
      <c r="E234" s="294">
        <f>data!BB60</f>
        <v>0</v>
      </c>
      <c r="F234" s="294">
        <f>data!BC60</f>
        <v>0</v>
      </c>
      <c r="G234" s="294">
        <f>data!BD60</f>
        <v>0.65</v>
      </c>
      <c r="H234" s="294">
        <f>data!BE60</f>
        <v>4.07</v>
      </c>
      <c r="I234" s="294">
        <f>data!BF60</f>
        <v>5.1100000000000003</v>
      </c>
    </row>
    <row r="235" spans="1:9" ht="20.100000000000001" customHeight="1" x14ac:dyDescent="0.2">
      <c r="A235" s="279">
        <v>6</v>
      </c>
      <c r="B235" s="287" t="s">
        <v>248</v>
      </c>
      <c r="C235" s="287">
        <f>data!AZ61</f>
        <v>0</v>
      </c>
      <c r="D235" s="287">
        <f>data!BA61</f>
        <v>30673</v>
      </c>
      <c r="E235" s="287">
        <f>data!BB61</f>
        <v>0</v>
      </c>
      <c r="F235" s="287">
        <f>data!BC61</f>
        <v>0</v>
      </c>
      <c r="G235" s="287">
        <f>data!BD61</f>
        <v>48727</v>
      </c>
      <c r="H235" s="287">
        <f>data!BE61</f>
        <v>232719</v>
      </c>
      <c r="I235" s="287">
        <f>data!BF61</f>
        <v>215594</v>
      </c>
    </row>
    <row r="236" spans="1:9" ht="20.100000000000001" customHeight="1" x14ac:dyDescent="0.2">
      <c r="A236" s="279">
        <v>7</v>
      </c>
      <c r="B236" s="287" t="s">
        <v>9</v>
      </c>
      <c r="C236" s="287">
        <f>data!AZ62</f>
        <v>0</v>
      </c>
      <c r="D236" s="287">
        <f>data!BA62</f>
        <v>6829</v>
      </c>
      <c r="E236" s="287">
        <f>data!BB62</f>
        <v>0</v>
      </c>
      <c r="F236" s="287">
        <f>data!BC62</f>
        <v>0</v>
      </c>
      <c r="G236" s="287">
        <f>data!BD62</f>
        <v>10848</v>
      </c>
      <c r="H236" s="287">
        <f>data!BE62</f>
        <v>51811</v>
      </c>
      <c r="I236" s="287">
        <f>data!BF62</f>
        <v>47999</v>
      </c>
    </row>
    <row r="237" spans="1:9" ht="20.100000000000001" customHeight="1" x14ac:dyDescent="0.2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00000000000001" customHeight="1" x14ac:dyDescent="0.2">
      <c r="A238" s="279">
        <v>9</v>
      </c>
      <c r="B238" s="287" t="s">
        <v>250</v>
      </c>
      <c r="C238" s="287">
        <f>data!AZ64</f>
        <v>0</v>
      </c>
      <c r="D238" s="287">
        <f>data!BA64</f>
        <v>1446</v>
      </c>
      <c r="E238" s="287">
        <f>data!BB64</f>
        <v>0</v>
      </c>
      <c r="F238" s="287">
        <f>data!BC64</f>
        <v>0</v>
      </c>
      <c r="G238" s="287">
        <f>data!BD64</f>
        <v>74049</v>
      </c>
      <c r="H238" s="287">
        <f>data!BE64</f>
        <v>8574</v>
      </c>
      <c r="I238" s="287">
        <f>data!BF64</f>
        <v>24682</v>
      </c>
    </row>
    <row r="239" spans="1:9" ht="20.100000000000001" customHeight="1" x14ac:dyDescent="0.2">
      <c r="A239" s="279">
        <v>10</v>
      </c>
      <c r="B239" s="287" t="s">
        <v>497</v>
      </c>
      <c r="C239" s="287">
        <f>data!AZ65</f>
        <v>0</v>
      </c>
      <c r="D239" s="287">
        <f>data!BA65</f>
        <v>11982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176193</v>
      </c>
      <c r="I239" s="287">
        <f>data!BF65</f>
        <v>0</v>
      </c>
    </row>
    <row r="240" spans="1:9" ht="20.100000000000001" customHeight="1" x14ac:dyDescent="0.2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6571</v>
      </c>
      <c r="I240" s="287">
        <f>data!BF66</f>
        <v>0</v>
      </c>
    </row>
    <row r="241" spans="1:9" ht="20.100000000000001" customHeight="1" x14ac:dyDescent="0.2">
      <c r="A241" s="279">
        <v>12</v>
      </c>
      <c r="B241" s="287" t="s">
        <v>11</v>
      </c>
      <c r="C241" s="287">
        <f>data!AZ67</f>
        <v>0</v>
      </c>
      <c r="D241" s="287">
        <f>data!BA67</f>
        <v>17808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60525</v>
      </c>
      <c r="I241" s="287">
        <f>data!BF67</f>
        <v>4893</v>
      </c>
    </row>
    <row r="242" spans="1:9" ht="20.100000000000001" customHeight="1" x14ac:dyDescent="0.2">
      <c r="A242" s="279">
        <v>13</v>
      </c>
      <c r="B242" s="287" t="s">
        <v>976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1642</v>
      </c>
      <c r="I242" s="287">
        <f>data!BF68</f>
        <v>0</v>
      </c>
    </row>
    <row r="243" spans="1:9" ht="20.100000000000001" customHeight="1" x14ac:dyDescent="0.2">
      <c r="A243" s="279">
        <v>14</v>
      </c>
      <c r="B243" s="287" t="s">
        <v>977</v>
      </c>
      <c r="C243" s="287">
        <f>data!AZ69</f>
        <v>0</v>
      </c>
      <c r="D243" s="287">
        <f>data!BA69</f>
        <v>147</v>
      </c>
      <c r="E243" s="287">
        <f>data!BB69</f>
        <v>0</v>
      </c>
      <c r="F243" s="287">
        <f>data!BC69</f>
        <v>0</v>
      </c>
      <c r="G243" s="287">
        <f>data!BD69</f>
        <v>25004</v>
      </c>
      <c r="H243" s="287">
        <f>data!BE69</f>
        <v>60162</v>
      </c>
      <c r="I243" s="287">
        <f>data!BF69</f>
        <v>411</v>
      </c>
    </row>
    <row r="244" spans="1:9" ht="20.100000000000001" customHeight="1" x14ac:dyDescent="0.2">
      <c r="A244" s="279">
        <v>15</v>
      </c>
      <c r="B244" s="287" t="s">
        <v>269</v>
      </c>
      <c r="C244" s="287">
        <f>-data!AZ84</f>
        <v>0</v>
      </c>
      <c r="D244" s="287">
        <f>-data!BA84</f>
        <v>-1885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00000000000001" customHeight="1" x14ac:dyDescent="0.2">
      <c r="A245" s="279">
        <v>16</v>
      </c>
      <c r="B245" s="295" t="s">
        <v>978</v>
      </c>
      <c r="C245" s="287">
        <f>data!AZ85</f>
        <v>0</v>
      </c>
      <c r="D245" s="287">
        <f>data!BA85</f>
        <v>67000</v>
      </c>
      <c r="E245" s="287">
        <f>data!BB85</f>
        <v>0</v>
      </c>
      <c r="F245" s="287">
        <f>data!BC85</f>
        <v>0</v>
      </c>
      <c r="G245" s="287">
        <f>data!BD85</f>
        <v>158628</v>
      </c>
      <c r="H245" s="287">
        <f>data!BE85</f>
        <v>598197</v>
      </c>
      <c r="I245" s="287">
        <f>data!BF85</f>
        <v>293579</v>
      </c>
    </row>
    <row r="246" spans="1:9" ht="20.100000000000001" customHeight="1" x14ac:dyDescent="0.2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00000000000001" customHeight="1" x14ac:dyDescent="0.2">
      <c r="A247" s="279">
        <v>18</v>
      </c>
      <c r="B247" s="287" t="s">
        <v>979</v>
      </c>
      <c r="C247" s="287"/>
      <c r="D247" s="287"/>
      <c r="E247" s="287"/>
      <c r="F247" s="287"/>
      <c r="G247" s="287"/>
      <c r="H247" s="287"/>
      <c r="I247" s="287"/>
    </row>
    <row r="248" spans="1:9" ht="20.100000000000001" customHeight="1" x14ac:dyDescent="0.2">
      <c r="A248" s="279">
        <v>19</v>
      </c>
      <c r="B248" s="295" t="s">
        <v>980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00000000000001" customHeight="1" x14ac:dyDescent="0.2">
      <c r="A249" s="279">
        <v>20</v>
      </c>
      <c r="B249" s="295" t="s">
        <v>981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00000000000001" customHeight="1" x14ac:dyDescent="0.2">
      <c r="A250" s="279">
        <v>21</v>
      </c>
      <c r="B250" s="295" t="s">
        <v>982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00000000000001" customHeight="1" x14ac:dyDescent="0.2">
      <c r="A251" s="279" t="s">
        <v>983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00000000000001" customHeight="1" x14ac:dyDescent="0.2">
      <c r="A252" s="279">
        <v>22</v>
      </c>
      <c r="B252" s="287" t="s">
        <v>984</v>
      </c>
      <c r="C252" s="303">
        <f>data!AZ90</f>
        <v>0</v>
      </c>
      <c r="D252" s="303">
        <f>data!BA90</f>
        <v>1565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5319</v>
      </c>
      <c r="I252" s="303">
        <f>data!BF90</f>
        <v>430</v>
      </c>
    </row>
    <row r="253" spans="1:9" ht="20.100000000000001" customHeight="1" x14ac:dyDescent="0.2">
      <c r="A253" s="279">
        <v>23</v>
      </c>
      <c r="B253" s="287" t="s">
        <v>985</v>
      </c>
      <c r="C253" s="303">
        <f>data!AZ91</f>
        <v>1745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00000000000001" customHeight="1" x14ac:dyDescent="0.2">
      <c r="A254" s="279">
        <v>24</v>
      </c>
      <c r="B254" s="287" t="s">
        <v>986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00000000000001" customHeight="1" x14ac:dyDescent="0.2">
      <c r="A255" s="279">
        <v>25</v>
      </c>
      <c r="B255" s="287" t="s">
        <v>987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00000000000001" customHeight="1" x14ac:dyDescent="0.2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00000000000001" customHeight="1" x14ac:dyDescent="0.2">
      <c r="A257" s="280" t="s">
        <v>969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00000000000001" customHeight="1" x14ac:dyDescent="0.2">
      <c r="D258" s="283"/>
      <c r="I258" s="284" t="s">
        <v>1015</v>
      </c>
    </row>
    <row r="259" spans="1:9" ht="20.100000000000001" customHeight="1" x14ac:dyDescent="0.2">
      <c r="A259" s="283"/>
    </row>
    <row r="260" spans="1:9" ht="20.100000000000001" customHeight="1" x14ac:dyDescent="0.2">
      <c r="A260" s="285" t="str">
        <f>"Hospital: "&amp;data!C98</f>
        <v>Hospital: Three Rivers Hospital</v>
      </c>
      <c r="G260" s="286"/>
      <c r="H260" s="285" t="str">
        <f>"FYE: "&amp;data!C96</f>
        <v>FYE: 12/31/2022</v>
      </c>
    </row>
    <row r="261" spans="1:9" ht="20.100000000000001" customHeight="1" x14ac:dyDescent="0.2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00000000000001" customHeight="1" x14ac:dyDescent="0.2">
      <c r="A262" s="290">
        <v>2</v>
      </c>
      <c r="B262" s="291" t="s">
        <v>971</v>
      </c>
      <c r="C262" s="293" t="s">
        <v>1016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00000000000001" customHeight="1" x14ac:dyDescent="0.2">
      <c r="A263" s="290"/>
      <c r="B263" s="291"/>
      <c r="C263" s="293" t="s">
        <v>1017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1018</v>
      </c>
    </row>
    <row r="264" spans="1:9" ht="20.100000000000001" customHeight="1" x14ac:dyDescent="0.2">
      <c r="A264" s="279">
        <v>3</v>
      </c>
      <c r="B264" s="287" t="s">
        <v>975</v>
      </c>
      <c r="C264" s="299"/>
      <c r="D264" s="299"/>
      <c r="E264" s="299"/>
      <c r="F264" s="299"/>
      <c r="G264" s="299"/>
      <c r="H264" s="299"/>
      <c r="I264" s="299"/>
    </row>
    <row r="265" spans="1:9" ht="20.100000000000001" customHeight="1" x14ac:dyDescent="0.2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00000000000001" customHeight="1" x14ac:dyDescent="0.2">
      <c r="A266" s="279">
        <v>5</v>
      </c>
      <c r="B266" s="287" t="s">
        <v>247</v>
      </c>
      <c r="C266" s="294">
        <f>data!BG60</f>
        <v>0</v>
      </c>
      <c r="D266" s="294">
        <f>data!BH60</f>
        <v>1</v>
      </c>
      <c r="E266" s="294">
        <f>data!BI60</f>
        <v>0</v>
      </c>
      <c r="F266" s="294">
        <f>data!BJ60</f>
        <v>4.21</v>
      </c>
      <c r="G266" s="294">
        <f>data!BK60</f>
        <v>6.43</v>
      </c>
      <c r="H266" s="294">
        <f>data!BL60</f>
        <v>4.8</v>
      </c>
      <c r="I266" s="294">
        <f>data!BM60</f>
        <v>0</v>
      </c>
    </row>
    <row r="267" spans="1:9" ht="20.100000000000001" customHeight="1" x14ac:dyDescent="0.2">
      <c r="A267" s="279">
        <v>6</v>
      </c>
      <c r="B267" s="287" t="s">
        <v>248</v>
      </c>
      <c r="C267" s="287">
        <f>data!BG61</f>
        <v>0</v>
      </c>
      <c r="D267" s="287">
        <f>data!BH61</f>
        <v>58066</v>
      </c>
      <c r="E267" s="287">
        <f>data!BI61</f>
        <v>0</v>
      </c>
      <c r="F267" s="287">
        <f>data!BJ61</f>
        <v>394626</v>
      </c>
      <c r="G267" s="287">
        <f>data!BK61</f>
        <v>401224</v>
      </c>
      <c r="H267" s="287">
        <f>data!BL61</f>
        <v>180923</v>
      </c>
      <c r="I267" s="287">
        <f>data!BM61</f>
        <v>0</v>
      </c>
    </row>
    <row r="268" spans="1:9" ht="20.100000000000001" customHeight="1" x14ac:dyDescent="0.2">
      <c r="A268" s="279">
        <v>7</v>
      </c>
      <c r="B268" s="287" t="s">
        <v>9</v>
      </c>
      <c r="C268" s="287">
        <f>data!BG62</f>
        <v>0</v>
      </c>
      <c r="D268" s="287">
        <f>data!BH62</f>
        <v>12927</v>
      </c>
      <c r="E268" s="287">
        <f>data!BI62</f>
        <v>0</v>
      </c>
      <c r="F268" s="287">
        <f>data!BJ62</f>
        <v>87857</v>
      </c>
      <c r="G268" s="287">
        <f>data!BK62</f>
        <v>89326</v>
      </c>
      <c r="H268" s="287">
        <f>data!BL62</f>
        <v>40280</v>
      </c>
      <c r="I268" s="287">
        <f>data!BM62</f>
        <v>0</v>
      </c>
    </row>
    <row r="269" spans="1:9" ht="20.100000000000001" customHeight="1" x14ac:dyDescent="0.2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00000000000001" customHeight="1" x14ac:dyDescent="0.2">
      <c r="A270" s="279">
        <v>9</v>
      </c>
      <c r="B270" s="287" t="s">
        <v>250</v>
      </c>
      <c r="C270" s="287">
        <f>data!BG64</f>
        <v>0</v>
      </c>
      <c r="D270" s="287">
        <f>data!BH64</f>
        <v>13188</v>
      </c>
      <c r="E270" s="287">
        <f>data!BI64</f>
        <v>0</v>
      </c>
      <c r="F270" s="287">
        <f>data!BJ64</f>
        <v>3358</v>
      </c>
      <c r="G270" s="287">
        <f>data!BK64</f>
        <v>12528</v>
      </c>
      <c r="H270" s="287">
        <f>data!BL64</f>
        <v>3204</v>
      </c>
      <c r="I270" s="287">
        <f>data!BM64</f>
        <v>0</v>
      </c>
    </row>
    <row r="271" spans="1:9" ht="20.100000000000001" customHeight="1" x14ac:dyDescent="0.2">
      <c r="A271" s="279">
        <v>10</v>
      </c>
      <c r="B271" s="287" t="s">
        <v>497</v>
      </c>
      <c r="C271" s="287">
        <f>data!BG65</f>
        <v>0</v>
      </c>
      <c r="D271" s="287">
        <f>data!BH65</f>
        <v>1459</v>
      </c>
      <c r="E271" s="287">
        <f>data!BI65</f>
        <v>0</v>
      </c>
      <c r="F271" s="287">
        <f>data!BJ65</f>
        <v>0</v>
      </c>
      <c r="G271" s="287">
        <f>data!BK65</f>
        <v>116</v>
      </c>
      <c r="H271" s="287">
        <f>data!BL65</f>
        <v>0</v>
      </c>
      <c r="I271" s="287">
        <f>data!BM65</f>
        <v>0</v>
      </c>
    </row>
    <row r="272" spans="1:9" ht="20.100000000000001" customHeight="1" x14ac:dyDescent="0.2">
      <c r="A272" s="279">
        <v>11</v>
      </c>
      <c r="B272" s="287" t="s">
        <v>498</v>
      </c>
      <c r="C272" s="287">
        <f>data!BG66</f>
        <v>0</v>
      </c>
      <c r="D272" s="287">
        <f>data!BH66</f>
        <v>603592</v>
      </c>
      <c r="E272" s="287">
        <f>data!BI66</f>
        <v>0</v>
      </c>
      <c r="F272" s="287">
        <f>data!BJ66</f>
        <v>99184</v>
      </c>
      <c r="G272" s="287">
        <f>data!BK66</f>
        <v>346633</v>
      </c>
      <c r="H272" s="287">
        <f>data!BL66</f>
        <v>0</v>
      </c>
      <c r="I272" s="287">
        <f>data!BM66</f>
        <v>0</v>
      </c>
    </row>
    <row r="273" spans="1:9" ht="20.100000000000001" customHeight="1" x14ac:dyDescent="0.2">
      <c r="A273" s="279">
        <v>12</v>
      </c>
      <c r="B273" s="287" t="s">
        <v>11</v>
      </c>
      <c r="C273" s="287">
        <f>data!BG67</f>
        <v>0</v>
      </c>
      <c r="D273" s="287">
        <f>data!BH67</f>
        <v>8238</v>
      </c>
      <c r="E273" s="287">
        <f>data!BI67</f>
        <v>0</v>
      </c>
      <c r="F273" s="287">
        <f>data!BJ67</f>
        <v>0</v>
      </c>
      <c r="G273" s="287">
        <f>data!BK67</f>
        <v>11902</v>
      </c>
      <c r="H273" s="287">
        <f>data!BL67</f>
        <v>9501</v>
      </c>
      <c r="I273" s="287">
        <f>data!BM67</f>
        <v>0</v>
      </c>
    </row>
    <row r="274" spans="1:9" ht="20.100000000000001" customHeight="1" x14ac:dyDescent="0.2">
      <c r="A274" s="279">
        <v>13</v>
      </c>
      <c r="B274" s="287" t="s">
        <v>976</v>
      </c>
      <c r="C274" s="287">
        <f>data!BG68</f>
        <v>0</v>
      </c>
      <c r="D274" s="287">
        <f>data!BH68</f>
        <v>8312</v>
      </c>
      <c r="E274" s="287">
        <f>data!BI68</f>
        <v>0</v>
      </c>
      <c r="F274" s="287">
        <f>data!BJ68</f>
        <v>0</v>
      </c>
      <c r="G274" s="287">
        <f>data!BK68</f>
        <v>2663</v>
      </c>
      <c r="H274" s="287">
        <f>data!BL68</f>
        <v>914</v>
      </c>
      <c r="I274" s="287">
        <f>data!BM68</f>
        <v>0</v>
      </c>
    </row>
    <row r="275" spans="1:9" ht="20.100000000000001" customHeight="1" x14ac:dyDescent="0.2">
      <c r="A275" s="279">
        <v>14</v>
      </c>
      <c r="B275" s="287" t="s">
        <v>977</v>
      </c>
      <c r="C275" s="287">
        <f>data!BG69</f>
        <v>0</v>
      </c>
      <c r="D275" s="287">
        <f>data!BH69</f>
        <v>215604</v>
      </c>
      <c r="E275" s="287">
        <f>data!BI69</f>
        <v>0</v>
      </c>
      <c r="F275" s="287">
        <f>data!BJ69</f>
        <v>4849</v>
      </c>
      <c r="G275" s="287">
        <f>data!BK69</f>
        <v>5721</v>
      </c>
      <c r="H275" s="287">
        <f>data!BL69</f>
        <v>616</v>
      </c>
      <c r="I275" s="287">
        <f>data!BM69</f>
        <v>0</v>
      </c>
    </row>
    <row r="276" spans="1:9" ht="20.100000000000001" customHeight="1" x14ac:dyDescent="0.2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00000000000001" customHeight="1" x14ac:dyDescent="0.2">
      <c r="A277" s="279">
        <v>16</v>
      </c>
      <c r="B277" s="295" t="s">
        <v>978</v>
      </c>
      <c r="C277" s="287">
        <f>data!BG85</f>
        <v>0</v>
      </c>
      <c r="D277" s="287">
        <f>data!BH85</f>
        <v>921386</v>
      </c>
      <c r="E277" s="287">
        <f>data!BI85</f>
        <v>0</v>
      </c>
      <c r="F277" s="287">
        <f>data!BJ85</f>
        <v>589874</v>
      </c>
      <c r="G277" s="287">
        <f>data!BK85</f>
        <v>870113</v>
      </c>
      <c r="H277" s="287">
        <f>data!BL85</f>
        <v>235438</v>
      </c>
      <c r="I277" s="287">
        <f>data!BM85</f>
        <v>0</v>
      </c>
    </row>
    <row r="278" spans="1:9" ht="20.100000000000001" customHeight="1" x14ac:dyDescent="0.2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00000000000001" customHeight="1" x14ac:dyDescent="0.2">
      <c r="A279" s="279">
        <v>18</v>
      </c>
      <c r="B279" s="287" t="s">
        <v>979</v>
      </c>
      <c r="C279" s="287"/>
      <c r="D279" s="287"/>
      <c r="E279" s="287"/>
      <c r="F279" s="287"/>
      <c r="G279" s="287"/>
      <c r="H279" s="287"/>
      <c r="I279" s="287"/>
    </row>
    <row r="280" spans="1:9" ht="20.100000000000001" customHeight="1" x14ac:dyDescent="0.2">
      <c r="A280" s="279">
        <v>19</v>
      </c>
      <c r="B280" s="295" t="s">
        <v>980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00000000000001" customHeight="1" x14ac:dyDescent="0.2">
      <c r="A281" s="279">
        <v>20</v>
      </c>
      <c r="B281" s="295" t="s">
        <v>981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00000000000001" customHeight="1" x14ac:dyDescent="0.2">
      <c r="A282" s="279">
        <v>21</v>
      </c>
      <c r="B282" s="295" t="s">
        <v>982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00000000000001" customHeight="1" x14ac:dyDescent="0.2">
      <c r="A283" s="279" t="s">
        <v>983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00000000000001" customHeight="1" x14ac:dyDescent="0.2">
      <c r="A284" s="279">
        <v>22</v>
      </c>
      <c r="B284" s="287" t="s">
        <v>984</v>
      </c>
      <c r="C284" s="303">
        <f>data!BG90</f>
        <v>0</v>
      </c>
      <c r="D284" s="303">
        <f>data!BH90</f>
        <v>724</v>
      </c>
      <c r="E284" s="303">
        <f>data!BI90</f>
        <v>0</v>
      </c>
      <c r="F284" s="303">
        <f>data!BJ90</f>
        <v>0</v>
      </c>
      <c r="G284" s="303">
        <f>data!BK90</f>
        <v>1046</v>
      </c>
      <c r="H284" s="303">
        <f>data!BL90</f>
        <v>835</v>
      </c>
      <c r="I284" s="303">
        <f>data!BM90</f>
        <v>0</v>
      </c>
    </row>
    <row r="285" spans="1:9" ht="20.100000000000001" customHeight="1" x14ac:dyDescent="0.2">
      <c r="A285" s="279">
        <v>23</v>
      </c>
      <c r="B285" s="287" t="s">
        <v>985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00000000000001" customHeight="1" x14ac:dyDescent="0.2">
      <c r="A286" s="279">
        <v>24</v>
      </c>
      <c r="B286" s="287" t="s">
        <v>986</v>
      </c>
      <c r="C286" s="302" t="str">
        <f>IF(data!BG78&gt;0,data!BG78,"")</f>
        <v/>
      </c>
      <c r="D286" s="303">
        <f>data!BH92</f>
        <v>10</v>
      </c>
      <c r="E286" s="303">
        <f>data!BI92</f>
        <v>0</v>
      </c>
      <c r="F286" s="302" t="str">
        <f>IF(data!BJ78&gt;0,data!BJ78,"")</f>
        <v/>
      </c>
      <c r="G286" s="303">
        <f>data!BK92</f>
        <v>130</v>
      </c>
      <c r="H286" s="303">
        <f>data!BL92</f>
        <v>239</v>
      </c>
      <c r="I286" s="303">
        <f>data!BM92</f>
        <v>0</v>
      </c>
    </row>
    <row r="287" spans="1:9" ht="20.100000000000001" customHeight="1" x14ac:dyDescent="0.2">
      <c r="A287" s="279">
        <v>25</v>
      </c>
      <c r="B287" s="287" t="s">
        <v>987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00000000000001" customHeight="1" x14ac:dyDescent="0.2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00000000000001" customHeight="1" x14ac:dyDescent="0.2">
      <c r="A289" s="280" t="s">
        <v>969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00000000000001" customHeight="1" x14ac:dyDescent="0.2">
      <c r="D290" s="283"/>
      <c r="I290" s="284" t="s">
        <v>1019</v>
      </c>
    </row>
    <row r="291" spans="1:9" ht="20.100000000000001" customHeight="1" x14ac:dyDescent="0.2">
      <c r="A291" s="283"/>
    </row>
    <row r="292" spans="1:9" ht="20.100000000000001" customHeight="1" x14ac:dyDescent="0.2">
      <c r="A292" s="285" t="str">
        <f>"Hospital: "&amp;data!C98</f>
        <v>Hospital: Three Rivers Hospital</v>
      </c>
      <c r="G292" s="286"/>
      <c r="H292" s="285" t="str">
        <f>"FYE: "&amp;data!C96</f>
        <v>FYE: 12/31/2022</v>
      </c>
    </row>
    <row r="293" spans="1:9" ht="20.100000000000001" customHeight="1" x14ac:dyDescent="0.2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00000000000001" customHeight="1" x14ac:dyDescent="0.2">
      <c r="A294" s="290">
        <v>2</v>
      </c>
      <c r="B294" s="291" t="s">
        <v>971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00000000000001" customHeight="1" x14ac:dyDescent="0.2">
      <c r="A295" s="290"/>
      <c r="B295" s="291"/>
      <c r="C295" s="293" t="s">
        <v>1020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00000000000001" customHeight="1" x14ac:dyDescent="0.2">
      <c r="A296" s="279">
        <v>3</v>
      </c>
      <c r="B296" s="287" t="s">
        <v>975</v>
      </c>
      <c r="C296" s="299"/>
      <c r="D296" s="299"/>
      <c r="E296" s="299"/>
      <c r="F296" s="299"/>
      <c r="G296" s="299"/>
      <c r="H296" s="299"/>
      <c r="I296" s="299"/>
    </row>
    <row r="297" spans="1:9" ht="20.100000000000001" customHeight="1" x14ac:dyDescent="0.2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00000000000001" customHeight="1" x14ac:dyDescent="0.2">
      <c r="A298" s="279">
        <v>5</v>
      </c>
      <c r="B298" s="287" t="s">
        <v>247</v>
      </c>
      <c r="C298" s="294">
        <f>data!BN60</f>
        <v>2.2999999999999998</v>
      </c>
      <c r="D298" s="294">
        <f>data!BO60</f>
        <v>0</v>
      </c>
      <c r="E298" s="294">
        <f>data!BP60</f>
        <v>0.98</v>
      </c>
      <c r="F298" s="294">
        <f>data!BQ60</f>
        <v>0</v>
      </c>
      <c r="G298" s="294">
        <f>data!BR60</f>
        <v>1.82</v>
      </c>
      <c r="H298" s="294">
        <f>data!BS60</f>
        <v>0</v>
      </c>
      <c r="I298" s="294">
        <f>data!BT60</f>
        <v>0</v>
      </c>
    </row>
    <row r="299" spans="1:9" ht="20.100000000000001" customHeight="1" x14ac:dyDescent="0.2">
      <c r="A299" s="279">
        <v>6</v>
      </c>
      <c r="B299" s="287" t="s">
        <v>248</v>
      </c>
      <c r="C299" s="287">
        <f>data!BN61</f>
        <v>397273</v>
      </c>
      <c r="D299" s="287">
        <f>data!BO61</f>
        <v>0</v>
      </c>
      <c r="E299" s="287">
        <f>data!BP61</f>
        <v>81903</v>
      </c>
      <c r="F299" s="287">
        <f>data!BQ61</f>
        <v>0</v>
      </c>
      <c r="G299" s="287">
        <f>data!BR61</f>
        <v>161157</v>
      </c>
      <c r="H299" s="287">
        <f>data!BS61</f>
        <v>0</v>
      </c>
      <c r="I299" s="287">
        <f>data!BT61</f>
        <v>0</v>
      </c>
    </row>
    <row r="300" spans="1:9" ht="20.100000000000001" customHeight="1" x14ac:dyDescent="0.2">
      <c r="A300" s="279">
        <v>7</v>
      </c>
      <c r="B300" s="287" t="s">
        <v>9</v>
      </c>
      <c r="C300" s="287">
        <f>data!BN62</f>
        <v>88447</v>
      </c>
      <c r="D300" s="287">
        <f>data!BO62</f>
        <v>0</v>
      </c>
      <c r="E300" s="287">
        <f>data!BP62</f>
        <v>18234</v>
      </c>
      <c r="F300" s="287">
        <f>data!BQ62</f>
        <v>0</v>
      </c>
      <c r="G300" s="287">
        <f>data!BR62</f>
        <v>35879</v>
      </c>
      <c r="H300" s="287">
        <f>data!BS62</f>
        <v>0</v>
      </c>
      <c r="I300" s="287">
        <f>data!BT62</f>
        <v>0</v>
      </c>
    </row>
    <row r="301" spans="1:9" ht="20.100000000000001" customHeight="1" x14ac:dyDescent="0.2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00000000000001" customHeight="1" x14ac:dyDescent="0.2">
      <c r="A302" s="279">
        <v>9</v>
      </c>
      <c r="B302" s="287" t="s">
        <v>250</v>
      </c>
      <c r="C302" s="287">
        <f>data!BN64</f>
        <v>10478</v>
      </c>
      <c r="D302" s="287">
        <f>data!BO64</f>
        <v>1155</v>
      </c>
      <c r="E302" s="287">
        <f>data!BP64</f>
        <v>8477</v>
      </c>
      <c r="F302" s="287">
        <f>data!BQ64</f>
        <v>0</v>
      </c>
      <c r="G302" s="287">
        <f>data!BR64</f>
        <v>809</v>
      </c>
      <c r="H302" s="287">
        <f>data!BS64</f>
        <v>0</v>
      </c>
      <c r="I302" s="287">
        <f>data!BT64</f>
        <v>0</v>
      </c>
    </row>
    <row r="303" spans="1:9" ht="20.100000000000001" customHeight="1" x14ac:dyDescent="0.2">
      <c r="A303" s="279">
        <v>10</v>
      </c>
      <c r="B303" s="287" t="s">
        <v>497</v>
      </c>
      <c r="C303" s="287">
        <f>data!BN65</f>
        <v>25279</v>
      </c>
      <c r="D303" s="287">
        <f>data!BO65</f>
        <v>0</v>
      </c>
      <c r="E303" s="287">
        <f>data!BP65</f>
        <v>500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00000000000001" customHeight="1" x14ac:dyDescent="0.2">
      <c r="A304" s="279">
        <v>11</v>
      </c>
      <c r="B304" s="287" t="s">
        <v>498</v>
      </c>
      <c r="C304" s="287">
        <f>data!BN66</f>
        <v>81313</v>
      </c>
      <c r="D304" s="287">
        <f>data!BO66</f>
        <v>7467</v>
      </c>
      <c r="E304" s="287">
        <f>data!BP66</f>
        <v>639</v>
      </c>
      <c r="F304" s="287">
        <f>data!BQ66</f>
        <v>0</v>
      </c>
      <c r="G304" s="287">
        <f>data!BR66</f>
        <v>30801</v>
      </c>
      <c r="H304" s="287">
        <f>data!BS66</f>
        <v>0</v>
      </c>
      <c r="I304" s="287">
        <f>data!BT66</f>
        <v>0</v>
      </c>
    </row>
    <row r="305" spans="1:9" ht="20.100000000000001" customHeight="1" x14ac:dyDescent="0.2">
      <c r="A305" s="279">
        <v>12</v>
      </c>
      <c r="B305" s="287" t="s">
        <v>11</v>
      </c>
      <c r="C305" s="287">
        <f>data!BN67</f>
        <v>79505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20960</v>
      </c>
      <c r="H305" s="287">
        <f>data!BS67</f>
        <v>0</v>
      </c>
      <c r="I305" s="287">
        <f>data!BT67</f>
        <v>0</v>
      </c>
    </row>
    <row r="306" spans="1:9" ht="20.100000000000001" customHeight="1" x14ac:dyDescent="0.2">
      <c r="A306" s="279">
        <v>13</v>
      </c>
      <c r="B306" s="287" t="s">
        <v>976</v>
      </c>
      <c r="C306" s="287">
        <f>data!BN68</f>
        <v>11651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00000000000001" customHeight="1" x14ac:dyDescent="0.2">
      <c r="A307" s="279">
        <v>14</v>
      </c>
      <c r="B307" s="287" t="s">
        <v>977</v>
      </c>
      <c r="C307" s="287">
        <f>data!BN69</f>
        <v>31063</v>
      </c>
      <c r="D307" s="287">
        <f>data!BO69</f>
        <v>205</v>
      </c>
      <c r="E307" s="287">
        <f>data!BP69</f>
        <v>70560</v>
      </c>
      <c r="F307" s="287">
        <f>data!BQ69</f>
        <v>0</v>
      </c>
      <c r="G307" s="287">
        <f>data!BR69</f>
        <v>3615</v>
      </c>
      <c r="H307" s="287">
        <f>data!BS69</f>
        <v>0</v>
      </c>
      <c r="I307" s="287">
        <f>data!BT69</f>
        <v>0</v>
      </c>
    </row>
    <row r="308" spans="1:9" ht="20.100000000000001" customHeight="1" x14ac:dyDescent="0.2">
      <c r="A308" s="279">
        <v>15</v>
      </c>
      <c r="B308" s="287" t="s">
        <v>269</v>
      </c>
      <c r="C308" s="287">
        <f>-data!BN84</f>
        <v>-11636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00000000000001" customHeight="1" x14ac:dyDescent="0.2">
      <c r="A309" s="279">
        <v>16</v>
      </c>
      <c r="B309" s="295" t="s">
        <v>978</v>
      </c>
      <c r="C309" s="287">
        <f>data!BN85</f>
        <v>713373</v>
      </c>
      <c r="D309" s="287">
        <f>data!BO85</f>
        <v>8827</v>
      </c>
      <c r="E309" s="287">
        <f>data!BP85</f>
        <v>180313</v>
      </c>
      <c r="F309" s="287">
        <f>data!BQ85</f>
        <v>0</v>
      </c>
      <c r="G309" s="287">
        <f>data!BR85</f>
        <v>253221</v>
      </c>
      <c r="H309" s="287">
        <f>data!BS85</f>
        <v>0</v>
      </c>
      <c r="I309" s="287">
        <f>data!BT85</f>
        <v>0</v>
      </c>
    </row>
    <row r="310" spans="1:9" ht="20.100000000000001" customHeight="1" x14ac:dyDescent="0.2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00000000000001" customHeight="1" x14ac:dyDescent="0.2">
      <c r="A311" s="279">
        <v>18</v>
      </c>
      <c r="B311" s="287" t="s">
        <v>979</v>
      </c>
      <c r="C311" s="287"/>
      <c r="D311" s="287"/>
      <c r="E311" s="287"/>
      <c r="F311" s="287"/>
      <c r="G311" s="287"/>
      <c r="H311" s="287"/>
      <c r="I311" s="287"/>
    </row>
    <row r="312" spans="1:9" ht="20.100000000000001" customHeight="1" x14ac:dyDescent="0.2">
      <c r="A312" s="279">
        <v>19</v>
      </c>
      <c r="B312" s="295" t="s">
        <v>980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00000000000001" customHeight="1" x14ac:dyDescent="0.2">
      <c r="A313" s="279">
        <v>20</v>
      </c>
      <c r="B313" s="295" t="s">
        <v>981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00000000000001" customHeight="1" x14ac:dyDescent="0.2">
      <c r="A314" s="279">
        <v>21</v>
      </c>
      <c r="B314" s="295" t="s">
        <v>982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00000000000001" customHeight="1" x14ac:dyDescent="0.2">
      <c r="A315" s="279" t="s">
        <v>983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00000000000001" customHeight="1" x14ac:dyDescent="0.2">
      <c r="A316" s="279">
        <v>22</v>
      </c>
      <c r="B316" s="287" t="s">
        <v>984</v>
      </c>
      <c r="C316" s="303">
        <f>data!BN90</f>
        <v>6987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1842</v>
      </c>
      <c r="H316" s="303">
        <f>data!BS90</f>
        <v>0</v>
      </c>
      <c r="I316" s="303">
        <f>data!BT90</f>
        <v>0</v>
      </c>
    </row>
    <row r="317" spans="1:9" ht="20.100000000000001" customHeight="1" x14ac:dyDescent="0.2">
      <c r="A317" s="279">
        <v>23</v>
      </c>
      <c r="B317" s="287" t="s">
        <v>985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00000000000001" customHeight="1" x14ac:dyDescent="0.2">
      <c r="A318" s="279">
        <v>24</v>
      </c>
      <c r="B318" s="287" t="s">
        <v>986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00000000000001" customHeight="1" x14ac:dyDescent="0.2">
      <c r="A319" s="279">
        <v>25</v>
      </c>
      <c r="B319" s="287" t="s">
        <v>987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00000000000001" customHeight="1" x14ac:dyDescent="0.2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00000000000001" customHeight="1" x14ac:dyDescent="0.2">
      <c r="A321" s="280" t="s">
        <v>969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00000000000001" customHeight="1" x14ac:dyDescent="0.2">
      <c r="D322" s="283"/>
      <c r="I322" s="284" t="s">
        <v>1021</v>
      </c>
    </row>
    <row r="323" spans="1:9" ht="20.100000000000001" customHeight="1" x14ac:dyDescent="0.2">
      <c r="A323" s="283"/>
    </row>
    <row r="324" spans="1:9" ht="20.100000000000001" customHeight="1" x14ac:dyDescent="0.2">
      <c r="A324" s="285" t="str">
        <f>"Hospital: "&amp;data!C98</f>
        <v>Hospital: Three Rivers Hospital</v>
      </c>
      <c r="G324" s="286"/>
      <c r="H324" s="285" t="str">
        <f>"FYE: "&amp;data!C96</f>
        <v>FYE: 12/31/2022</v>
      </c>
    </row>
    <row r="325" spans="1:9" ht="20.100000000000001" customHeight="1" x14ac:dyDescent="0.2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00000000000001" customHeight="1" x14ac:dyDescent="0.2">
      <c r="A326" s="290">
        <v>2</v>
      </c>
      <c r="B326" s="291" t="s">
        <v>971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00000000000001" customHeight="1" x14ac:dyDescent="0.2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1020</v>
      </c>
      <c r="H327" s="293" t="s">
        <v>164</v>
      </c>
      <c r="I327" s="293" t="s">
        <v>213</v>
      </c>
    </row>
    <row r="328" spans="1:9" ht="20.100000000000001" customHeight="1" x14ac:dyDescent="0.2">
      <c r="A328" s="279">
        <v>3</v>
      </c>
      <c r="B328" s="287" t="s">
        <v>975</v>
      </c>
      <c r="C328" s="299"/>
      <c r="D328" s="299"/>
      <c r="E328" s="299"/>
      <c r="F328" s="299"/>
      <c r="G328" s="299"/>
      <c r="H328" s="299"/>
      <c r="I328" s="299"/>
    </row>
    <row r="329" spans="1:9" ht="20.100000000000001" customHeight="1" x14ac:dyDescent="0.2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00000000000001" customHeight="1" x14ac:dyDescent="0.2">
      <c r="A330" s="279">
        <v>5</v>
      </c>
      <c r="B330" s="287" t="s">
        <v>247</v>
      </c>
      <c r="C330" s="294">
        <f>data!BU60</f>
        <v>0</v>
      </c>
      <c r="D330" s="294">
        <f>data!BV60</f>
        <v>3.8</v>
      </c>
      <c r="E330" s="294">
        <f>data!BW60</f>
        <v>0</v>
      </c>
      <c r="F330" s="294">
        <f>data!BX60</f>
        <v>1.97</v>
      </c>
      <c r="G330" s="294">
        <f>data!BY60</f>
        <v>2.3199999999999998</v>
      </c>
      <c r="H330" s="294">
        <f>data!BZ60</f>
        <v>0</v>
      </c>
      <c r="I330" s="294">
        <f>data!CA60</f>
        <v>0</v>
      </c>
    </row>
    <row r="331" spans="1:9" ht="20.100000000000001" customHeight="1" x14ac:dyDescent="0.2">
      <c r="A331" s="279">
        <v>6</v>
      </c>
      <c r="B331" s="287" t="s">
        <v>248</v>
      </c>
      <c r="C331" s="306">
        <f>data!BU61</f>
        <v>0</v>
      </c>
      <c r="D331" s="306">
        <f>data!BV61</f>
        <v>177615</v>
      </c>
      <c r="E331" s="306">
        <f>data!BW61</f>
        <v>0</v>
      </c>
      <c r="F331" s="306">
        <f>data!BX61</f>
        <v>177039</v>
      </c>
      <c r="G331" s="306">
        <f>data!BY61</f>
        <v>194915</v>
      </c>
      <c r="H331" s="306">
        <f>data!BZ61</f>
        <v>0</v>
      </c>
      <c r="I331" s="306">
        <f>data!CA61</f>
        <v>0</v>
      </c>
    </row>
    <row r="332" spans="1:9" ht="20.100000000000001" customHeight="1" x14ac:dyDescent="0.2">
      <c r="A332" s="279">
        <v>7</v>
      </c>
      <c r="B332" s="287" t="s">
        <v>9</v>
      </c>
      <c r="C332" s="306">
        <f>data!BU62</f>
        <v>0</v>
      </c>
      <c r="D332" s="306">
        <f>data!BV62</f>
        <v>39543</v>
      </c>
      <c r="E332" s="306">
        <f>data!BW62</f>
        <v>0</v>
      </c>
      <c r="F332" s="306">
        <f>data!BX62</f>
        <v>39415</v>
      </c>
      <c r="G332" s="306">
        <f>data!BY62</f>
        <v>43395</v>
      </c>
      <c r="H332" s="306">
        <f>data!BZ62</f>
        <v>0</v>
      </c>
      <c r="I332" s="306">
        <f>data!CA62</f>
        <v>0</v>
      </c>
    </row>
    <row r="333" spans="1:9" ht="20.100000000000001" customHeight="1" x14ac:dyDescent="0.2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00000000000001" customHeight="1" x14ac:dyDescent="0.2">
      <c r="A334" s="279">
        <v>9</v>
      </c>
      <c r="B334" s="287" t="s">
        <v>250</v>
      </c>
      <c r="C334" s="306">
        <f>data!BU64</f>
        <v>0</v>
      </c>
      <c r="D334" s="306">
        <f>data!BV64</f>
        <v>7304</v>
      </c>
      <c r="E334" s="306">
        <f>data!BW64</f>
        <v>0</v>
      </c>
      <c r="F334" s="306">
        <f>data!BX64</f>
        <v>842</v>
      </c>
      <c r="G334" s="306">
        <f>data!BY64</f>
        <v>13822</v>
      </c>
      <c r="H334" s="306">
        <f>data!BZ64</f>
        <v>0</v>
      </c>
      <c r="I334" s="306">
        <f>data!CA64</f>
        <v>0</v>
      </c>
    </row>
    <row r="335" spans="1:9" ht="20.100000000000001" customHeight="1" x14ac:dyDescent="0.2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00000000000001" customHeight="1" x14ac:dyDescent="0.2">
      <c r="A336" s="279">
        <v>11</v>
      </c>
      <c r="B336" s="287" t="s">
        <v>498</v>
      </c>
      <c r="C336" s="306">
        <f>data!BU66</f>
        <v>0</v>
      </c>
      <c r="D336" s="306">
        <f>data!BV66</f>
        <v>16489</v>
      </c>
      <c r="E336" s="306">
        <f>data!BW66</f>
        <v>0</v>
      </c>
      <c r="F336" s="306">
        <f>data!BX66</f>
        <v>39106</v>
      </c>
      <c r="G336" s="306">
        <f>data!BY66</f>
        <v>19559</v>
      </c>
      <c r="H336" s="306">
        <f>data!BZ66</f>
        <v>0</v>
      </c>
      <c r="I336" s="306">
        <f>data!CA66</f>
        <v>0</v>
      </c>
    </row>
    <row r="337" spans="1:9" ht="20.100000000000001" customHeight="1" x14ac:dyDescent="0.2">
      <c r="A337" s="279">
        <v>12</v>
      </c>
      <c r="B337" s="287" t="s">
        <v>11</v>
      </c>
      <c r="C337" s="306">
        <f>data!BU67</f>
        <v>0</v>
      </c>
      <c r="D337" s="306">
        <f>data!BV67</f>
        <v>15840</v>
      </c>
      <c r="E337" s="306">
        <f>data!BW67</f>
        <v>0</v>
      </c>
      <c r="F337" s="306">
        <f>data!BX67</f>
        <v>0</v>
      </c>
      <c r="G337" s="306">
        <f>data!BY67</f>
        <v>13723</v>
      </c>
      <c r="H337" s="306">
        <f>data!BZ67</f>
        <v>0</v>
      </c>
      <c r="I337" s="306">
        <f>data!CA67</f>
        <v>0</v>
      </c>
    </row>
    <row r="338" spans="1:9" ht="20.100000000000001" customHeight="1" x14ac:dyDescent="0.2">
      <c r="A338" s="279">
        <v>13</v>
      </c>
      <c r="B338" s="287" t="s">
        <v>976</v>
      </c>
      <c r="C338" s="306">
        <f>data!BU68</f>
        <v>0</v>
      </c>
      <c r="D338" s="306">
        <f>data!BV68</f>
        <v>1996</v>
      </c>
      <c r="E338" s="306">
        <f>data!BW68</f>
        <v>0</v>
      </c>
      <c r="F338" s="306">
        <f>data!BX68</f>
        <v>0</v>
      </c>
      <c r="G338" s="306">
        <f>data!BY68</f>
        <v>317</v>
      </c>
      <c r="H338" s="306">
        <f>data!BZ68</f>
        <v>0</v>
      </c>
      <c r="I338" s="306">
        <f>data!CA68</f>
        <v>0</v>
      </c>
    </row>
    <row r="339" spans="1:9" ht="20.100000000000001" customHeight="1" x14ac:dyDescent="0.2">
      <c r="A339" s="279">
        <v>14</v>
      </c>
      <c r="B339" s="287" t="s">
        <v>977</v>
      </c>
      <c r="C339" s="306">
        <f>data!BU69</f>
        <v>0</v>
      </c>
      <c r="D339" s="306">
        <f>data!BV69</f>
        <v>17596</v>
      </c>
      <c r="E339" s="306">
        <f>data!BW69</f>
        <v>0</v>
      </c>
      <c r="F339" s="306">
        <f>data!BX69</f>
        <v>28339</v>
      </c>
      <c r="G339" s="306">
        <f>data!BY69</f>
        <v>941</v>
      </c>
      <c r="H339" s="306">
        <f>data!BZ69</f>
        <v>0</v>
      </c>
      <c r="I339" s="306">
        <f>data!CA69</f>
        <v>0</v>
      </c>
    </row>
    <row r="340" spans="1:9" ht="20.100000000000001" customHeight="1" x14ac:dyDescent="0.2">
      <c r="A340" s="279">
        <v>15</v>
      </c>
      <c r="B340" s="287" t="s">
        <v>269</v>
      </c>
      <c r="C340" s="287">
        <f>-data!BU84</f>
        <v>0</v>
      </c>
      <c r="D340" s="287">
        <f>-data!BV84</f>
        <v>-471</v>
      </c>
      <c r="E340" s="287">
        <f>-data!BW84</f>
        <v>0</v>
      </c>
      <c r="F340" s="287">
        <f>-data!BX84</f>
        <v>0</v>
      </c>
      <c r="G340" s="287">
        <f>-data!BY84</f>
        <v>-2080</v>
      </c>
      <c r="H340" s="287">
        <f>-data!BZ84</f>
        <v>0</v>
      </c>
      <c r="I340" s="287">
        <f>-data!CA84</f>
        <v>0</v>
      </c>
    </row>
    <row r="341" spans="1:9" ht="20.100000000000001" customHeight="1" x14ac:dyDescent="0.2">
      <c r="A341" s="279">
        <v>16</v>
      </c>
      <c r="B341" s="295" t="s">
        <v>978</v>
      </c>
      <c r="C341" s="287">
        <f>data!BU85</f>
        <v>0</v>
      </c>
      <c r="D341" s="287">
        <f>data!BV85</f>
        <v>275912</v>
      </c>
      <c r="E341" s="287">
        <f>data!BW85</f>
        <v>0</v>
      </c>
      <c r="F341" s="287">
        <f>data!BX85</f>
        <v>284741</v>
      </c>
      <c r="G341" s="287">
        <f>data!BY85</f>
        <v>284592</v>
      </c>
      <c r="H341" s="287">
        <f>data!BZ85</f>
        <v>0</v>
      </c>
      <c r="I341" s="287">
        <f>data!CA85</f>
        <v>0</v>
      </c>
    </row>
    <row r="342" spans="1:9" ht="20.100000000000001" customHeight="1" x14ac:dyDescent="0.2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00000000000001" customHeight="1" x14ac:dyDescent="0.2">
      <c r="A343" s="279">
        <v>18</v>
      </c>
      <c r="B343" s="287" t="s">
        <v>979</v>
      </c>
      <c r="C343" s="287"/>
      <c r="D343" s="287"/>
      <c r="E343" s="287"/>
      <c r="F343" s="287"/>
      <c r="G343" s="287"/>
      <c r="H343" s="287"/>
      <c r="I343" s="287"/>
    </row>
    <row r="344" spans="1:9" ht="20.100000000000001" customHeight="1" x14ac:dyDescent="0.2">
      <c r="A344" s="279">
        <v>19</v>
      </c>
      <c r="B344" s="295" t="s">
        <v>980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00000000000001" customHeight="1" x14ac:dyDescent="0.2">
      <c r="A345" s="279">
        <v>20</v>
      </c>
      <c r="B345" s="295" t="s">
        <v>981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00000000000001" customHeight="1" x14ac:dyDescent="0.2">
      <c r="A346" s="279">
        <v>21</v>
      </c>
      <c r="B346" s="295" t="s">
        <v>982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00000000000001" customHeight="1" x14ac:dyDescent="0.2">
      <c r="A347" s="279" t="s">
        <v>983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00000000000001" customHeight="1" x14ac:dyDescent="0.2">
      <c r="A348" s="279">
        <v>22</v>
      </c>
      <c r="B348" s="287" t="s">
        <v>984</v>
      </c>
      <c r="C348" s="303">
        <f>data!BU90</f>
        <v>0</v>
      </c>
      <c r="D348" s="303">
        <f>data!BV90</f>
        <v>1392</v>
      </c>
      <c r="E348" s="303">
        <f>data!BW90</f>
        <v>0</v>
      </c>
      <c r="F348" s="303">
        <f>data!BX90</f>
        <v>0</v>
      </c>
      <c r="G348" s="303">
        <f>data!BY90</f>
        <v>1206</v>
      </c>
      <c r="H348" s="303">
        <f>data!BZ90</f>
        <v>0</v>
      </c>
      <c r="I348" s="303">
        <f>data!CA90</f>
        <v>0</v>
      </c>
    </row>
    <row r="349" spans="1:9" ht="20.100000000000001" customHeight="1" x14ac:dyDescent="0.2">
      <c r="A349" s="279">
        <v>23</v>
      </c>
      <c r="B349" s="287" t="s">
        <v>985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00000000000001" customHeight="1" x14ac:dyDescent="0.2">
      <c r="A350" s="279">
        <v>24</v>
      </c>
      <c r="B350" s="287" t="s">
        <v>986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114</v>
      </c>
      <c r="G350" s="303">
        <f>data!BY92</f>
        <v>83</v>
      </c>
      <c r="H350" s="303">
        <f>data!BZ92</f>
        <v>0</v>
      </c>
      <c r="I350" s="303">
        <f>data!CA92</f>
        <v>0</v>
      </c>
    </row>
    <row r="351" spans="1:9" ht="20.100000000000001" customHeight="1" x14ac:dyDescent="0.2">
      <c r="A351" s="279">
        <v>25</v>
      </c>
      <c r="B351" s="287" t="s">
        <v>987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00000000000001" customHeight="1" x14ac:dyDescent="0.2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00000000000001" customHeight="1" x14ac:dyDescent="0.2">
      <c r="A353" s="280" t="s">
        <v>969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00000000000001" customHeight="1" x14ac:dyDescent="0.2">
      <c r="D354" s="283"/>
      <c r="I354" s="284" t="s">
        <v>1022</v>
      </c>
    </row>
    <row r="355" spans="1:9" ht="20.100000000000001" customHeight="1" x14ac:dyDescent="0.2">
      <c r="A355" s="283"/>
    </row>
    <row r="356" spans="1:9" ht="20.100000000000001" customHeight="1" x14ac:dyDescent="0.2">
      <c r="A356" s="285" t="str">
        <f>"Hospital: "&amp;data!C98</f>
        <v>Hospital: Three Rivers Hospital</v>
      </c>
      <c r="G356" s="286"/>
      <c r="H356" s="285" t="str">
        <f>"FYE: "&amp;data!C96</f>
        <v>FYE: 12/31/2022</v>
      </c>
    </row>
    <row r="357" spans="1:9" ht="20.100000000000001" customHeight="1" x14ac:dyDescent="0.2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00000000000001" customHeight="1" x14ac:dyDescent="0.2">
      <c r="A358" s="290">
        <v>2</v>
      </c>
      <c r="B358" s="291" t="s">
        <v>971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00000000000001" customHeight="1" x14ac:dyDescent="0.2">
      <c r="A359" s="290"/>
      <c r="B359" s="291"/>
      <c r="C359" s="293" t="s">
        <v>213</v>
      </c>
      <c r="D359" s="293" t="s">
        <v>1023</v>
      </c>
      <c r="E359" s="293" t="s">
        <v>225</v>
      </c>
      <c r="F359" s="308"/>
      <c r="G359" s="308"/>
      <c r="H359" s="308"/>
      <c r="I359" s="293" t="s">
        <v>215</v>
      </c>
    </row>
    <row r="360" spans="1:9" ht="20.100000000000001" customHeight="1" x14ac:dyDescent="0.2">
      <c r="A360" s="279">
        <v>3</v>
      </c>
      <c r="B360" s="287" t="s">
        <v>975</v>
      </c>
      <c r="C360" s="299"/>
      <c r="D360" s="299"/>
      <c r="E360" s="299"/>
      <c r="F360" s="299"/>
      <c r="G360" s="299"/>
      <c r="H360" s="299"/>
      <c r="I360" s="299"/>
    </row>
    <row r="361" spans="1:9" ht="20.100000000000001" customHeight="1" x14ac:dyDescent="0.2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00000000000001" customHeight="1" x14ac:dyDescent="0.2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93.079999999999984</v>
      </c>
    </row>
    <row r="363" spans="1:9" ht="20.100000000000001" customHeight="1" x14ac:dyDescent="0.2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6745155</v>
      </c>
    </row>
    <row r="364" spans="1:9" ht="20.100000000000001" customHeight="1" x14ac:dyDescent="0.2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1501700</v>
      </c>
    </row>
    <row r="365" spans="1:9" ht="20.100000000000001" customHeight="1" x14ac:dyDescent="0.2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4279613</v>
      </c>
    </row>
    <row r="366" spans="1:9" ht="20.100000000000001" customHeight="1" x14ac:dyDescent="0.2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1704651</v>
      </c>
    </row>
    <row r="367" spans="1:9" ht="20.100000000000001" customHeight="1" x14ac:dyDescent="0.2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222985</v>
      </c>
    </row>
    <row r="368" spans="1:9" ht="20.100000000000001" customHeight="1" x14ac:dyDescent="0.2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1674989</v>
      </c>
    </row>
    <row r="369" spans="1:9" ht="20.100000000000001" customHeight="1" x14ac:dyDescent="0.2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633311</v>
      </c>
    </row>
    <row r="370" spans="1:9" ht="20.100000000000001" customHeight="1" x14ac:dyDescent="0.2">
      <c r="A370" s="279">
        <v>13</v>
      </c>
      <c r="B370" s="287" t="s">
        <v>976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119784</v>
      </c>
    </row>
    <row r="371" spans="1:9" ht="20.100000000000001" customHeight="1" x14ac:dyDescent="0.2">
      <c r="A371" s="279">
        <v>14</v>
      </c>
      <c r="B371" s="287" t="s">
        <v>977</v>
      </c>
      <c r="C371" s="306">
        <f>data!CB69</f>
        <v>0</v>
      </c>
      <c r="D371" s="306">
        <f>data!CC69</f>
        <v>0</v>
      </c>
      <c r="E371" s="306">
        <f>data!CD69</f>
        <v>458796</v>
      </c>
      <c r="F371" s="311"/>
      <c r="G371" s="311"/>
      <c r="H371" s="311"/>
      <c r="I371" s="306">
        <f>data!CE69</f>
        <v>1429265</v>
      </c>
    </row>
    <row r="372" spans="1:9" ht="20.100000000000001" customHeight="1" x14ac:dyDescent="0.2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-43288</v>
      </c>
      <c r="F372" s="297"/>
      <c r="G372" s="297"/>
      <c r="H372" s="297"/>
      <c r="I372" s="287">
        <f>-data!CE84</f>
        <v>-102834</v>
      </c>
    </row>
    <row r="373" spans="1:9" ht="20.100000000000001" customHeight="1" x14ac:dyDescent="0.2">
      <c r="A373" s="279">
        <v>16</v>
      </c>
      <c r="B373" s="295" t="s">
        <v>978</v>
      </c>
      <c r="C373" s="306">
        <f>data!CB85</f>
        <v>0</v>
      </c>
      <c r="D373" s="306">
        <f>data!CC85</f>
        <v>0</v>
      </c>
      <c r="E373" s="306">
        <f>data!CD85</f>
        <v>415508</v>
      </c>
      <c r="F373" s="311"/>
      <c r="G373" s="311"/>
      <c r="H373" s="311"/>
      <c r="I373" s="287">
        <f>data!CE85</f>
        <v>18208619</v>
      </c>
    </row>
    <row r="374" spans="1:9" ht="20.100000000000001" customHeight="1" x14ac:dyDescent="0.2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2674934</v>
      </c>
    </row>
    <row r="375" spans="1:9" ht="20.100000000000001" customHeight="1" x14ac:dyDescent="0.2">
      <c r="A375" s="279">
        <v>18</v>
      </c>
      <c r="B375" s="287" t="s">
        <v>979</v>
      </c>
      <c r="C375" s="287"/>
      <c r="D375" s="287"/>
      <c r="E375" s="287"/>
      <c r="F375" s="287"/>
      <c r="G375" s="287"/>
      <c r="H375" s="287"/>
      <c r="I375" s="287"/>
    </row>
    <row r="376" spans="1:9" ht="20.100000000000001" customHeight="1" x14ac:dyDescent="0.2">
      <c r="A376" s="279">
        <v>19</v>
      </c>
      <c r="B376" s="295" t="s">
        <v>980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3677399</v>
      </c>
    </row>
    <row r="377" spans="1:9" ht="20.100000000000001" customHeight="1" x14ac:dyDescent="0.2">
      <c r="A377" s="279">
        <v>20</v>
      </c>
      <c r="B377" s="295" t="s">
        <v>981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19379543</v>
      </c>
    </row>
    <row r="378" spans="1:9" ht="20.100000000000001" customHeight="1" x14ac:dyDescent="0.2">
      <c r="A378" s="279">
        <v>21</v>
      </c>
      <c r="B378" s="295" t="s">
        <v>982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23056942</v>
      </c>
    </row>
    <row r="379" spans="1:9" ht="20.100000000000001" customHeight="1" x14ac:dyDescent="0.2">
      <c r="A379" s="279" t="s">
        <v>983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00000000000001" customHeight="1" x14ac:dyDescent="0.2">
      <c r="A380" s="279">
        <v>22</v>
      </c>
      <c r="B380" s="287" t="s">
        <v>984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55656</v>
      </c>
    </row>
    <row r="381" spans="1:9" ht="20.100000000000001" customHeight="1" x14ac:dyDescent="0.2">
      <c r="A381" s="279">
        <v>23</v>
      </c>
      <c r="B381" s="287" t="s">
        <v>985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5163</v>
      </c>
    </row>
    <row r="382" spans="1:9" ht="20.100000000000001" customHeight="1" x14ac:dyDescent="0.2">
      <c r="A382" s="279">
        <v>24</v>
      </c>
      <c r="B382" s="287" t="s">
        <v>986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9392</v>
      </c>
    </row>
    <row r="383" spans="1:9" ht="20.100000000000001" customHeight="1" x14ac:dyDescent="0.2">
      <c r="A383" s="279">
        <v>25</v>
      </c>
      <c r="B383" s="287" t="s">
        <v>987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48768</v>
      </c>
    </row>
    <row r="384" spans="1:9" ht="20.100000000000001" customHeight="1" x14ac:dyDescent="0.2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22.09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220" transitionEvaluation="1" transitionEntry="1" codeName="Sheet12">
    <tabColor rgb="FF92D050"/>
    <pageSetUpPr autoPageBreaks="0" fitToPage="1"/>
  </sheetPr>
  <dimension ref="A1:CF717"/>
  <sheetViews>
    <sheetView topLeftCell="A220" zoomScale="90" zoomScaleNormal="90" workbookViewId="0">
      <selection activeCell="A60" sqref="A60:XFD60"/>
    </sheetView>
  </sheetViews>
  <sheetFormatPr defaultColWidth="11.77734375" defaultRowHeight="15" x14ac:dyDescent="0.25"/>
  <cols>
    <col min="1" max="1" width="44.44140625" style="12" customWidth="1"/>
    <col min="2" max="84" width="13.5546875" style="12" customWidth="1"/>
    <col min="85" max="86" width="11.77734375" style="12" customWidth="1"/>
    <col min="87" max="16384" width="11.77734375" style="12"/>
  </cols>
  <sheetData>
    <row r="1" spans="1:3" x14ac:dyDescent="0.25">
      <c r="A1" s="70" t="s">
        <v>0</v>
      </c>
    </row>
    <row r="2" spans="1:3" x14ac:dyDescent="0.25">
      <c r="A2" s="12" t="s">
        <v>1</v>
      </c>
      <c r="C2" s="17"/>
    </row>
    <row r="3" spans="1:3" x14ac:dyDescent="0.25">
      <c r="A3" s="69" t="s">
        <v>2</v>
      </c>
      <c r="C3" s="17"/>
    </row>
    <row r="4" spans="1:3" x14ac:dyDescent="0.25">
      <c r="A4" s="12" t="s">
        <v>3</v>
      </c>
      <c r="C4" s="17"/>
    </row>
    <row r="5" spans="1:3" x14ac:dyDescent="0.25">
      <c r="C5" s="17"/>
    </row>
    <row r="6" spans="1:3" x14ac:dyDescent="0.25">
      <c r="A6" s="12" t="s">
        <v>1329</v>
      </c>
    </row>
    <row r="7" spans="1:3" x14ac:dyDescent="0.25">
      <c r="A7" s="12" t="s">
        <v>4</v>
      </c>
    </row>
    <row r="8" spans="1:3" x14ac:dyDescent="0.25">
      <c r="A8" s="12" t="s">
        <v>1331</v>
      </c>
    </row>
    <row r="9" spans="1:3" x14ac:dyDescent="0.25">
      <c r="C9" s="17"/>
    </row>
    <row r="10" spans="1:3" x14ac:dyDescent="0.25">
      <c r="A10" s="69" t="s">
        <v>5</v>
      </c>
      <c r="C10" s="17"/>
    </row>
    <row r="11" spans="1:3" x14ac:dyDescent="0.25">
      <c r="A11" s="12" t="s">
        <v>1330</v>
      </c>
      <c r="C11" s="17"/>
    </row>
    <row r="12" spans="1:3" x14ac:dyDescent="0.25">
      <c r="A12" s="18" t="s">
        <v>6</v>
      </c>
      <c r="C12" s="17"/>
    </row>
    <row r="13" spans="1:3" x14ac:dyDescent="0.25">
      <c r="A13" s="16" t="s">
        <v>7</v>
      </c>
      <c r="C13" s="17"/>
    </row>
    <row r="14" spans="1:3" x14ac:dyDescent="0.25">
      <c r="A14" s="12" t="s">
        <v>8</v>
      </c>
      <c r="C14" s="17"/>
    </row>
    <row r="15" spans="1:3" x14ac:dyDescent="0.25">
      <c r="C15" s="17"/>
    </row>
    <row r="16" spans="1:3" x14ac:dyDescent="0.25">
      <c r="A16" s="73" t="s">
        <v>9</v>
      </c>
    </row>
    <row r="17" spans="1:10" x14ac:dyDescent="0.25">
      <c r="A17" s="16" t="s">
        <v>10</v>
      </c>
    </row>
    <row r="18" spans="1:10" ht="14.45" customHeight="1" x14ac:dyDescent="0.25">
      <c r="A18" s="18" t="s">
        <v>1332</v>
      </c>
    </row>
    <row r="19" spans="1:10" ht="14.45" customHeight="1" x14ac:dyDescent="0.25">
      <c r="A19" s="18" t="s">
        <v>1333</v>
      </c>
    </row>
    <row r="20" spans="1:10" ht="14.45" customHeight="1" x14ac:dyDescent="0.25">
      <c r="A20" s="18" t="s">
        <v>1334</v>
      </c>
    </row>
    <row r="21" spans="1:10" ht="14.45" customHeight="1" x14ac:dyDescent="0.25">
      <c r="A21" s="16"/>
      <c r="E21" s="72"/>
      <c r="F21" s="72"/>
      <c r="G21" s="72"/>
      <c r="I21" s="72"/>
      <c r="J21" s="72"/>
    </row>
    <row r="22" spans="1:10" ht="16.5" x14ac:dyDescent="0.25">
      <c r="A22" s="74" t="s">
        <v>11</v>
      </c>
      <c r="E22" s="72"/>
      <c r="F22" s="72"/>
      <c r="G22" s="72"/>
      <c r="I22" s="71"/>
      <c r="J22" s="71"/>
    </row>
    <row r="23" spans="1:10" ht="16.5" x14ac:dyDescent="0.25">
      <c r="A23" s="18" t="s">
        <v>12</v>
      </c>
      <c r="E23" s="71"/>
      <c r="F23" s="71"/>
      <c r="G23" s="71"/>
      <c r="I23" s="71"/>
      <c r="J23" s="71"/>
    </row>
    <row r="24" spans="1:10" ht="16.5" x14ac:dyDescent="0.25">
      <c r="A24" s="18" t="s">
        <v>1335</v>
      </c>
      <c r="E24" s="71"/>
      <c r="F24" s="71"/>
      <c r="G24" s="71"/>
    </row>
    <row r="25" spans="1:10" x14ac:dyDescent="0.25">
      <c r="A25" s="18" t="s">
        <v>1336</v>
      </c>
    </row>
    <row r="26" spans="1:10" x14ac:dyDescent="0.25">
      <c r="A26" s="18" t="s">
        <v>1337</v>
      </c>
    </row>
    <row r="27" spans="1:10" x14ac:dyDescent="0.25">
      <c r="A27" s="18"/>
    </row>
    <row r="28" spans="1:10" x14ac:dyDescent="0.25">
      <c r="A28" s="16" t="s">
        <v>13</v>
      </c>
      <c r="C28" s="17"/>
    </row>
    <row r="29" spans="1:10" x14ac:dyDescent="0.25">
      <c r="A29" s="18" t="s">
        <v>1338</v>
      </c>
      <c r="C29" s="17"/>
    </row>
    <row r="30" spans="1:10" x14ac:dyDescent="0.25">
      <c r="C30" s="17"/>
    </row>
    <row r="31" spans="1:10" x14ac:dyDescent="0.25">
      <c r="A31" s="12" t="s">
        <v>1348</v>
      </c>
      <c r="C31" s="332" t="s">
        <v>1349</v>
      </c>
      <c r="F31" s="19"/>
    </row>
    <row r="32" spans="1:10" x14ac:dyDescent="0.25">
      <c r="C32" s="17"/>
    </row>
    <row r="33" spans="1:83" x14ac:dyDescent="0.25">
      <c r="A33" s="69" t="s">
        <v>15</v>
      </c>
      <c r="B33" s="72"/>
      <c r="C33" s="72"/>
      <c r="D33" s="72"/>
    </row>
    <row r="34" spans="1:83" x14ac:dyDescent="0.25">
      <c r="A34" s="18" t="s">
        <v>16</v>
      </c>
      <c r="B34" s="72"/>
      <c r="C34" s="72"/>
      <c r="D34" s="72"/>
    </row>
    <row r="35" spans="1:83" ht="16.5" x14ac:dyDescent="0.25">
      <c r="A35" s="18" t="s">
        <v>17</v>
      </c>
      <c r="B35" s="71"/>
      <c r="C35" s="71"/>
      <c r="D35" s="71"/>
    </row>
    <row r="36" spans="1:83" ht="16.5" x14ac:dyDescent="0.25">
      <c r="B36" s="71"/>
      <c r="C36" s="71"/>
      <c r="D36" s="71"/>
    </row>
    <row r="37" spans="1:83" x14ac:dyDescent="0.25">
      <c r="A37" s="333" t="s">
        <v>18</v>
      </c>
      <c r="B37" s="334"/>
      <c r="C37" s="335"/>
      <c r="D37" s="334"/>
      <c r="E37" s="334"/>
      <c r="F37" s="334"/>
      <c r="G37" s="334"/>
    </row>
    <row r="38" spans="1:83" x14ac:dyDescent="0.25">
      <c r="A38" s="336" t="s">
        <v>1341</v>
      </c>
      <c r="B38" s="337"/>
      <c r="C38" s="335"/>
      <c r="D38" s="334"/>
      <c r="E38" s="334"/>
      <c r="F38" s="334"/>
      <c r="G38" s="334"/>
    </row>
    <row r="39" spans="1:83" x14ac:dyDescent="0.25">
      <c r="A39" s="338" t="s">
        <v>1339</v>
      </c>
      <c r="B39" s="337"/>
      <c r="C39" s="335"/>
      <c r="D39" s="334"/>
      <c r="E39" s="334"/>
      <c r="F39" s="334"/>
      <c r="G39" s="334"/>
    </row>
    <row r="40" spans="1:83" x14ac:dyDescent="0.25">
      <c r="A40" s="339" t="s">
        <v>1342</v>
      </c>
      <c r="B40" s="334"/>
      <c r="C40" s="335"/>
      <c r="D40" s="334"/>
      <c r="E40" s="334"/>
      <c r="F40" s="334"/>
      <c r="G40" s="334"/>
    </row>
    <row r="41" spans="1:83" x14ac:dyDescent="0.25">
      <c r="A41" s="338" t="s">
        <v>1340</v>
      </c>
      <c r="B41" s="334"/>
      <c r="C41" s="335"/>
      <c r="D41" s="334"/>
      <c r="E41" s="334"/>
      <c r="F41" s="334"/>
      <c r="G41" s="334"/>
    </row>
    <row r="42" spans="1:83" x14ac:dyDescent="0.25">
      <c r="C42" s="17"/>
    </row>
    <row r="43" spans="1:83" x14ac:dyDescent="0.25">
      <c r="A43" s="12" t="s">
        <v>19</v>
      </c>
      <c r="C43" s="17"/>
      <c r="G43" s="19" t="s">
        <v>14</v>
      </c>
    </row>
    <row r="44" spans="1:83" x14ac:dyDescent="0.25">
      <c r="A44" s="19" t="s">
        <v>20</v>
      </c>
      <c r="C44" s="17"/>
    </row>
    <row r="45" spans="1:83" x14ac:dyDescent="0.2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2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2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2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25">
      <c r="A49" s="32" t="s">
        <v>217</v>
      </c>
      <c r="B49" s="215">
        <v>1465825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92523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129448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33467</v>
      </c>
      <c r="Q49" s="270">
        <f t="shared" si="0"/>
        <v>20399</v>
      </c>
      <c r="R49" s="270">
        <f t="shared" si="0"/>
        <v>0</v>
      </c>
      <c r="S49" s="270">
        <f t="shared" si="0"/>
        <v>10717</v>
      </c>
      <c r="T49" s="270">
        <f t="shared" si="0"/>
        <v>0</v>
      </c>
      <c r="U49" s="270">
        <f t="shared" si="0"/>
        <v>78721</v>
      </c>
      <c r="V49" s="270">
        <f t="shared" si="0"/>
        <v>0</v>
      </c>
      <c r="W49" s="270">
        <f t="shared" si="0"/>
        <v>1691</v>
      </c>
      <c r="X49" s="270">
        <f t="shared" si="0"/>
        <v>18852</v>
      </c>
      <c r="Y49" s="270">
        <f t="shared" si="0"/>
        <v>61135</v>
      </c>
      <c r="Z49" s="270">
        <f t="shared" si="0"/>
        <v>0</v>
      </c>
      <c r="AA49" s="270">
        <f t="shared" si="0"/>
        <v>0</v>
      </c>
      <c r="AB49" s="270">
        <f t="shared" si="0"/>
        <v>11097</v>
      </c>
      <c r="AC49" s="270">
        <f t="shared" si="0"/>
        <v>0</v>
      </c>
      <c r="AD49" s="270">
        <f t="shared" si="0"/>
        <v>0</v>
      </c>
      <c r="AE49" s="270">
        <f t="shared" si="0"/>
        <v>20078</v>
      </c>
      <c r="AF49" s="270">
        <f t="shared" si="0"/>
        <v>0</v>
      </c>
      <c r="AG49" s="270">
        <f t="shared" si="0"/>
        <v>66838</v>
      </c>
      <c r="AH49" s="270">
        <f t="shared" si="0"/>
        <v>0</v>
      </c>
      <c r="AI49" s="270">
        <f t="shared" si="0"/>
        <v>0</v>
      </c>
      <c r="AJ49" s="270">
        <f t="shared" si="0"/>
        <v>303713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23555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0</v>
      </c>
      <c r="AW49" s="270">
        <f t="shared" si="0"/>
        <v>0</v>
      </c>
      <c r="AX49" s="270">
        <f t="shared" si="0"/>
        <v>0</v>
      </c>
      <c r="AY49" s="270">
        <f t="shared" si="0"/>
        <v>33442</v>
      </c>
      <c r="AZ49" s="270">
        <f t="shared" si="0"/>
        <v>0</v>
      </c>
      <c r="BA49" s="270">
        <f t="shared" si="0"/>
        <v>6158</v>
      </c>
      <c r="BB49" s="270">
        <f t="shared" si="0"/>
        <v>0</v>
      </c>
      <c r="BC49" s="270">
        <f t="shared" si="0"/>
        <v>0</v>
      </c>
      <c r="BD49" s="270">
        <f t="shared" si="0"/>
        <v>11493</v>
      </c>
      <c r="BE49" s="270">
        <f t="shared" si="0"/>
        <v>42418</v>
      </c>
      <c r="BF49" s="270">
        <f t="shared" si="0"/>
        <v>41775</v>
      </c>
      <c r="BG49" s="270">
        <f t="shared" si="0"/>
        <v>0</v>
      </c>
      <c r="BH49" s="270">
        <f t="shared" si="0"/>
        <v>43889</v>
      </c>
      <c r="BI49" s="270">
        <f t="shared" si="0"/>
        <v>0</v>
      </c>
      <c r="BJ49" s="270">
        <f t="shared" si="0"/>
        <v>73124</v>
      </c>
      <c r="BK49" s="270">
        <f t="shared" si="0"/>
        <v>45531</v>
      </c>
      <c r="BL49" s="270">
        <f t="shared" si="0"/>
        <v>43231</v>
      </c>
      <c r="BM49" s="270">
        <f t="shared" si="0"/>
        <v>0</v>
      </c>
      <c r="BN49" s="270">
        <f t="shared" si="0"/>
        <v>63255</v>
      </c>
      <c r="BO49" s="270">
        <f t="shared" si="0"/>
        <v>9316</v>
      </c>
      <c r="BP49" s="270">
        <f t="shared" ref="BP49:CD49" si="1">IF($B$49,(ROUND((($B$49/$CE$62)*BP62),0)))</f>
        <v>15213</v>
      </c>
      <c r="BQ49" s="270">
        <f t="shared" si="1"/>
        <v>0</v>
      </c>
      <c r="BR49" s="270">
        <f t="shared" si="1"/>
        <v>34945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38217</v>
      </c>
      <c r="BW49" s="270">
        <f t="shared" si="1"/>
        <v>0</v>
      </c>
      <c r="BX49" s="270">
        <f t="shared" si="1"/>
        <v>18459</v>
      </c>
      <c r="BY49" s="270">
        <f t="shared" si="1"/>
        <v>73124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0</v>
      </c>
      <c r="CD49" s="270">
        <f t="shared" si="1"/>
        <v>0</v>
      </c>
      <c r="CE49" s="32">
        <f>SUM(C49:CD49)</f>
        <v>1465824</v>
      </c>
    </row>
    <row r="50" spans="1:83" x14ac:dyDescent="0.25">
      <c r="A50" s="20" t="s">
        <v>218</v>
      </c>
      <c r="B50" s="270">
        <f>B48+B49</f>
        <v>1465825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2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2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25">
      <c r="A53" s="39" t="s">
        <v>220</v>
      </c>
      <c r="B53" s="271">
        <v>598772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36159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50584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30749</v>
      </c>
      <c r="Q53" s="270">
        <f t="shared" si="2"/>
        <v>3342</v>
      </c>
      <c r="R53" s="270">
        <f t="shared" si="2"/>
        <v>282</v>
      </c>
      <c r="S53" s="270">
        <f t="shared" si="2"/>
        <v>20931</v>
      </c>
      <c r="T53" s="270">
        <f t="shared" si="2"/>
        <v>0</v>
      </c>
      <c r="U53" s="270">
        <f t="shared" si="2"/>
        <v>10006</v>
      </c>
      <c r="V53" s="270">
        <f t="shared" si="2"/>
        <v>0</v>
      </c>
      <c r="W53" s="270">
        <f t="shared" si="2"/>
        <v>574</v>
      </c>
      <c r="X53" s="270">
        <f t="shared" si="2"/>
        <v>6413</v>
      </c>
      <c r="Y53" s="270">
        <f t="shared" si="2"/>
        <v>20795</v>
      </c>
      <c r="Z53" s="270">
        <f t="shared" si="2"/>
        <v>0</v>
      </c>
      <c r="AA53" s="270">
        <f t="shared" si="2"/>
        <v>0</v>
      </c>
      <c r="AB53" s="270">
        <f t="shared" si="2"/>
        <v>10497</v>
      </c>
      <c r="AC53" s="270">
        <f t="shared" si="2"/>
        <v>11479</v>
      </c>
      <c r="AD53" s="270">
        <f t="shared" si="2"/>
        <v>0</v>
      </c>
      <c r="AE53" s="270">
        <f t="shared" si="2"/>
        <v>7666</v>
      </c>
      <c r="AF53" s="270">
        <f t="shared" si="2"/>
        <v>0</v>
      </c>
      <c r="AG53" s="270">
        <f t="shared" si="2"/>
        <v>59430</v>
      </c>
      <c r="AH53" s="270">
        <f t="shared" si="2"/>
        <v>0</v>
      </c>
      <c r="AI53" s="270">
        <f t="shared" si="2"/>
        <v>0</v>
      </c>
      <c r="AJ53" s="270">
        <f t="shared" si="2"/>
        <v>63775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9202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27699</v>
      </c>
      <c r="AZ53" s="270">
        <f t="shared" si="2"/>
        <v>0</v>
      </c>
      <c r="BA53" s="270">
        <f t="shared" si="2"/>
        <v>16346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64475</v>
      </c>
      <c r="BF53" s="270">
        <f t="shared" si="2"/>
        <v>4491</v>
      </c>
      <c r="BG53" s="270">
        <f t="shared" si="2"/>
        <v>0</v>
      </c>
      <c r="BH53" s="270">
        <f t="shared" si="2"/>
        <v>7562</v>
      </c>
      <c r="BI53" s="270">
        <f t="shared" si="2"/>
        <v>0</v>
      </c>
      <c r="BJ53" s="270">
        <f t="shared" si="2"/>
        <v>0</v>
      </c>
      <c r="BK53" s="270">
        <f t="shared" si="2"/>
        <v>9421</v>
      </c>
      <c r="BL53" s="270">
        <f t="shared" si="2"/>
        <v>10988</v>
      </c>
      <c r="BM53" s="270">
        <f t="shared" si="2"/>
        <v>0</v>
      </c>
      <c r="BN53" s="270">
        <f t="shared" si="2"/>
        <v>81186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19239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10110</v>
      </c>
      <c r="BW53" s="270">
        <f t="shared" si="3"/>
        <v>0</v>
      </c>
      <c r="BX53" s="270">
        <f t="shared" si="3"/>
        <v>0</v>
      </c>
      <c r="BY53" s="270">
        <f t="shared" si="3"/>
        <v>5369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598770</v>
      </c>
    </row>
    <row r="54" spans="1:83" x14ac:dyDescent="0.25">
      <c r="A54" s="20" t="s">
        <v>218</v>
      </c>
      <c r="B54" s="270">
        <f>B52+B53</f>
        <v>598772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2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2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2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2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2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25">
      <c r="A60" s="39" t="s">
        <v>246</v>
      </c>
      <c r="B60" s="32"/>
      <c r="C60" s="213"/>
      <c r="D60" s="213"/>
      <c r="E60" s="213">
        <v>436</v>
      </c>
      <c r="F60" s="213"/>
      <c r="G60" s="213"/>
      <c r="H60" s="213"/>
      <c r="I60" s="213"/>
      <c r="J60" s="213">
        <v>0</v>
      </c>
      <c r="K60" s="213"/>
      <c r="L60" s="213">
        <v>610</v>
      </c>
      <c r="M60" s="213"/>
      <c r="N60" s="213"/>
      <c r="O60" s="213">
        <v>0</v>
      </c>
      <c r="P60" s="214">
        <v>16092</v>
      </c>
      <c r="Q60" s="214">
        <v>11206</v>
      </c>
      <c r="R60" s="214">
        <v>15984</v>
      </c>
      <c r="S60" s="263"/>
      <c r="T60" s="263"/>
      <c r="U60" s="227">
        <v>24582</v>
      </c>
      <c r="V60" s="214"/>
      <c r="W60" s="214">
        <v>137</v>
      </c>
      <c r="X60" s="214">
        <v>1527</v>
      </c>
      <c r="Y60" s="214">
        <v>4952</v>
      </c>
      <c r="Z60" s="214"/>
      <c r="AA60" s="214"/>
      <c r="AB60" s="263"/>
      <c r="AC60" s="214">
        <v>500</v>
      </c>
      <c r="AD60" s="214"/>
      <c r="AE60" s="214">
        <v>1318</v>
      </c>
      <c r="AF60" s="214"/>
      <c r="AG60" s="214">
        <v>8287</v>
      </c>
      <c r="AH60" s="214"/>
      <c r="AI60" s="214"/>
      <c r="AJ60" s="214">
        <v>4583</v>
      </c>
      <c r="AK60" s="214"/>
      <c r="AL60" s="214"/>
      <c r="AM60" s="214"/>
      <c r="AN60" s="214"/>
      <c r="AO60" s="214">
        <v>2664</v>
      </c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4185</v>
      </c>
      <c r="AZ60" s="214"/>
      <c r="BA60" s="263"/>
      <c r="BB60" s="263"/>
      <c r="BC60" s="263"/>
      <c r="BD60" s="263"/>
      <c r="BE60" s="214">
        <v>57328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25">
      <c r="A61" s="241" t="s">
        <v>247</v>
      </c>
      <c r="B61" s="242"/>
      <c r="C61" s="243"/>
      <c r="D61" s="243"/>
      <c r="E61" s="243">
        <v>5.37</v>
      </c>
      <c r="F61" s="243"/>
      <c r="G61" s="243"/>
      <c r="H61" s="243"/>
      <c r="I61" s="243"/>
      <c r="J61" s="243">
        <v>0</v>
      </c>
      <c r="K61" s="243"/>
      <c r="L61" s="243">
        <v>7.51</v>
      </c>
      <c r="M61" s="243"/>
      <c r="N61" s="243"/>
      <c r="O61" s="243">
        <v>0</v>
      </c>
      <c r="P61" s="244">
        <v>1.98</v>
      </c>
      <c r="Q61" s="244">
        <v>1.2</v>
      </c>
      <c r="R61" s="244">
        <v>0</v>
      </c>
      <c r="S61" s="245">
        <v>1.3</v>
      </c>
      <c r="T61" s="245"/>
      <c r="U61" s="246">
        <v>4.84</v>
      </c>
      <c r="V61" s="244"/>
      <c r="W61" s="244">
        <v>0.09</v>
      </c>
      <c r="X61" s="244">
        <v>1.05</v>
      </c>
      <c r="Y61" s="244">
        <v>3.41</v>
      </c>
      <c r="Z61" s="244"/>
      <c r="AA61" s="244"/>
      <c r="AB61" s="245">
        <v>0.99</v>
      </c>
      <c r="AC61" s="244">
        <v>0</v>
      </c>
      <c r="AD61" s="244"/>
      <c r="AE61" s="244">
        <v>1.03</v>
      </c>
      <c r="AF61" s="244"/>
      <c r="AG61" s="244">
        <v>4.88</v>
      </c>
      <c r="AH61" s="244"/>
      <c r="AI61" s="244"/>
      <c r="AJ61" s="244">
        <v>13.54</v>
      </c>
      <c r="AK61" s="244"/>
      <c r="AL61" s="244"/>
      <c r="AM61" s="244"/>
      <c r="AN61" s="244"/>
      <c r="AO61" s="244">
        <v>1.37</v>
      </c>
      <c r="AP61" s="244"/>
      <c r="AQ61" s="244"/>
      <c r="AR61" s="244"/>
      <c r="AS61" s="244"/>
      <c r="AT61" s="244"/>
      <c r="AU61" s="244"/>
      <c r="AV61" s="245"/>
      <c r="AW61" s="245"/>
      <c r="AX61" s="245"/>
      <c r="AY61" s="244">
        <v>3.69</v>
      </c>
      <c r="AZ61" s="244"/>
      <c r="BA61" s="245">
        <v>0.71</v>
      </c>
      <c r="BB61" s="245"/>
      <c r="BC61" s="245"/>
      <c r="BD61" s="245">
        <v>0.86</v>
      </c>
      <c r="BE61" s="244">
        <v>3.2210000000000001</v>
      </c>
      <c r="BF61" s="245">
        <v>4.8099999999999996</v>
      </c>
      <c r="BG61" s="245"/>
      <c r="BH61" s="245">
        <v>1.1499999999999999</v>
      </c>
      <c r="BI61" s="245"/>
      <c r="BJ61" s="245">
        <v>3.29</v>
      </c>
      <c r="BK61" s="245">
        <v>4.0999999999999996</v>
      </c>
      <c r="BL61" s="245">
        <v>5.21</v>
      </c>
      <c r="BM61" s="245"/>
      <c r="BN61" s="245">
        <v>2.46</v>
      </c>
      <c r="BO61" s="245">
        <v>0.49</v>
      </c>
      <c r="BP61" s="245">
        <v>0.88</v>
      </c>
      <c r="BQ61" s="245"/>
      <c r="BR61" s="245">
        <v>1.93</v>
      </c>
      <c r="BS61" s="245"/>
      <c r="BT61" s="245"/>
      <c r="BU61" s="245"/>
      <c r="BV61" s="245">
        <v>3.55</v>
      </c>
      <c r="BW61" s="245"/>
      <c r="BX61" s="245">
        <v>1.23</v>
      </c>
      <c r="BY61" s="245">
        <v>3.93</v>
      </c>
      <c r="BZ61" s="245"/>
      <c r="CA61" s="245"/>
      <c r="CB61" s="245"/>
      <c r="CC61" s="245"/>
      <c r="CD61" s="247" t="s">
        <v>233</v>
      </c>
      <c r="CE61" s="268">
        <f t="shared" ref="CE61:CE69" si="4">SUM(C61:CD61)</f>
        <v>90.070999999999984</v>
      </c>
    </row>
    <row r="62" spans="1:83" x14ac:dyDescent="0.25">
      <c r="A62" s="39" t="s">
        <v>248</v>
      </c>
      <c r="B62" s="20"/>
      <c r="C62" s="213"/>
      <c r="D62" s="213"/>
      <c r="E62" s="213">
        <v>442671</v>
      </c>
      <c r="F62" s="213"/>
      <c r="G62" s="213"/>
      <c r="H62" s="213"/>
      <c r="I62" s="213"/>
      <c r="J62" s="213"/>
      <c r="K62" s="213"/>
      <c r="L62" s="213">
        <v>619333</v>
      </c>
      <c r="M62" s="213"/>
      <c r="N62" s="213"/>
      <c r="O62" s="213">
        <v>0</v>
      </c>
      <c r="P62" s="214">
        <v>160118</v>
      </c>
      <c r="Q62" s="214">
        <v>97598</v>
      </c>
      <c r="R62" s="214"/>
      <c r="S62" s="228">
        <v>51273</v>
      </c>
      <c r="T62" s="228"/>
      <c r="U62" s="227">
        <v>376636</v>
      </c>
      <c r="V62" s="214"/>
      <c r="W62" s="214">
        <v>8092</v>
      </c>
      <c r="X62" s="214">
        <v>90194</v>
      </c>
      <c r="Y62" s="214">
        <v>292495</v>
      </c>
      <c r="Z62" s="214"/>
      <c r="AA62" s="214"/>
      <c r="AB62" s="240">
        <v>53094</v>
      </c>
      <c r="AC62" s="214"/>
      <c r="AD62" s="214"/>
      <c r="AE62" s="214">
        <v>96063</v>
      </c>
      <c r="AF62" s="214"/>
      <c r="AG62" s="214">
        <v>319782</v>
      </c>
      <c r="AH62" s="214"/>
      <c r="AI62" s="214"/>
      <c r="AJ62" s="214">
        <v>1453088</v>
      </c>
      <c r="AK62" s="214"/>
      <c r="AL62" s="214"/>
      <c r="AM62" s="214"/>
      <c r="AN62" s="214"/>
      <c r="AO62" s="214">
        <v>112699</v>
      </c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159999</v>
      </c>
      <c r="AZ62" s="214"/>
      <c r="BA62" s="228">
        <v>29462</v>
      </c>
      <c r="BB62" s="228"/>
      <c r="BC62" s="228"/>
      <c r="BD62" s="228">
        <v>54986</v>
      </c>
      <c r="BE62" s="214">
        <v>202945</v>
      </c>
      <c r="BF62" s="228">
        <v>199870</v>
      </c>
      <c r="BG62" s="228"/>
      <c r="BH62" s="228">
        <v>209984</v>
      </c>
      <c r="BI62" s="228"/>
      <c r="BJ62" s="228">
        <v>349854</v>
      </c>
      <c r="BK62" s="228">
        <v>217838</v>
      </c>
      <c r="BL62" s="228">
        <v>206834</v>
      </c>
      <c r="BM62" s="228"/>
      <c r="BN62" s="228">
        <v>302639</v>
      </c>
      <c r="BO62" s="228">
        <v>44572</v>
      </c>
      <c r="BP62" s="228">
        <v>72787</v>
      </c>
      <c r="BQ62" s="228"/>
      <c r="BR62" s="228">
        <v>167193</v>
      </c>
      <c r="BS62" s="228"/>
      <c r="BT62" s="228"/>
      <c r="BU62" s="228"/>
      <c r="BV62" s="228">
        <v>182847</v>
      </c>
      <c r="BW62" s="228"/>
      <c r="BX62" s="228">
        <v>88315</v>
      </c>
      <c r="BY62" s="228">
        <v>349858</v>
      </c>
      <c r="BZ62" s="228"/>
      <c r="CA62" s="228"/>
      <c r="CB62" s="228"/>
      <c r="CC62" s="228"/>
      <c r="CD62" s="29" t="s">
        <v>233</v>
      </c>
      <c r="CE62" s="32">
        <f t="shared" si="4"/>
        <v>7013119</v>
      </c>
    </row>
    <row r="63" spans="1:83" x14ac:dyDescent="0.2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92523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129448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33467</v>
      </c>
      <c r="Q63" s="269">
        <f t="shared" si="5"/>
        <v>20399</v>
      </c>
      <c r="R63" s="269">
        <f t="shared" si="5"/>
        <v>0</v>
      </c>
      <c r="S63" s="269">
        <f t="shared" si="5"/>
        <v>10717</v>
      </c>
      <c r="T63" s="269">
        <f t="shared" si="5"/>
        <v>0</v>
      </c>
      <c r="U63" s="269">
        <f t="shared" si="5"/>
        <v>78721</v>
      </c>
      <c r="V63" s="269">
        <f t="shared" si="5"/>
        <v>0</v>
      </c>
      <c r="W63" s="269">
        <f t="shared" si="5"/>
        <v>1691</v>
      </c>
      <c r="X63" s="269">
        <f t="shared" si="5"/>
        <v>18852</v>
      </c>
      <c r="Y63" s="269">
        <f t="shared" si="5"/>
        <v>61135</v>
      </c>
      <c r="Z63" s="269">
        <f t="shared" si="5"/>
        <v>0</v>
      </c>
      <c r="AA63" s="269">
        <f t="shared" si="5"/>
        <v>0</v>
      </c>
      <c r="AB63" s="269">
        <f t="shared" si="5"/>
        <v>11097</v>
      </c>
      <c r="AC63" s="269">
        <f t="shared" si="5"/>
        <v>0</v>
      </c>
      <c r="AD63" s="269">
        <f t="shared" si="5"/>
        <v>0</v>
      </c>
      <c r="AE63" s="269">
        <f t="shared" si="5"/>
        <v>20078</v>
      </c>
      <c r="AF63" s="269">
        <f t="shared" si="5"/>
        <v>0</v>
      </c>
      <c r="AG63" s="269">
        <f t="shared" si="5"/>
        <v>66838</v>
      </c>
      <c r="AH63" s="269">
        <f t="shared" si="5"/>
        <v>0</v>
      </c>
      <c r="AI63" s="269">
        <f t="shared" si="5"/>
        <v>0</v>
      </c>
      <c r="AJ63" s="269">
        <f t="shared" si="5"/>
        <v>303713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23555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33442</v>
      </c>
      <c r="AZ63" s="269">
        <f t="shared" si="5"/>
        <v>0</v>
      </c>
      <c r="BA63" s="269">
        <f t="shared" si="5"/>
        <v>6158</v>
      </c>
      <c r="BB63" s="269">
        <f t="shared" si="5"/>
        <v>0</v>
      </c>
      <c r="BC63" s="269">
        <f t="shared" si="5"/>
        <v>0</v>
      </c>
      <c r="BD63" s="269">
        <f t="shared" si="5"/>
        <v>11493</v>
      </c>
      <c r="BE63" s="269">
        <f t="shared" si="5"/>
        <v>42418</v>
      </c>
      <c r="BF63" s="269">
        <f t="shared" si="5"/>
        <v>41775</v>
      </c>
      <c r="BG63" s="269">
        <f t="shared" si="5"/>
        <v>0</v>
      </c>
      <c r="BH63" s="269">
        <f t="shared" si="5"/>
        <v>43889</v>
      </c>
      <c r="BI63" s="269">
        <f t="shared" si="5"/>
        <v>0</v>
      </c>
      <c r="BJ63" s="269">
        <f t="shared" si="5"/>
        <v>73124</v>
      </c>
      <c r="BK63" s="269">
        <f t="shared" si="5"/>
        <v>45531</v>
      </c>
      <c r="BL63" s="269">
        <f t="shared" si="5"/>
        <v>43231</v>
      </c>
      <c r="BM63" s="269">
        <f t="shared" si="5"/>
        <v>0</v>
      </c>
      <c r="BN63" s="269">
        <f t="shared" si="5"/>
        <v>63255</v>
      </c>
      <c r="BO63" s="269">
        <f t="shared" si="5"/>
        <v>9316</v>
      </c>
      <c r="BP63" s="269">
        <f t="shared" ref="BP63:CC63" si="6">ROUND(BP48+BP49,0)</f>
        <v>15213</v>
      </c>
      <c r="BQ63" s="269">
        <f t="shared" si="6"/>
        <v>0</v>
      </c>
      <c r="BR63" s="269">
        <f t="shared" si="6"/>
        <v>34945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38217</v>
      </c>
      <c r="BW63" s="269">
        <f t="shared" si="6"/>
        <v>0</v>
      </c>
      <c r="BX63" s="269">
        <f t="shared" si="6"/>
        <v>18459</v>
      </c>
      <c r="BY63" s="269">
        <f t="shared" si="6"/>
        <v>73124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1465824</v>
      </c>
    </row>
    <row r="64" spans="1:83" x14ac:dyDescent="0.25">
      <c r="A64" s="39" t="s">
        <v>249</v>
      </c>
      <c r="B64" s="20"/>
      <c r="C64" s="213"/>
      <c r="D64" s="213"/>
      <c r="E64" s="213">
        <v>126535</v>
      </c>
      <c r="F64" s="213"/>
      <c r="G64" s="213"/>
      <c r="H64" s="213"/>
      <c r="I64" s="213"/>
      <c r="J64" s="213"/>
      <c r="K64" s="213"/>
      <c r="L64" s="213">
        <v>177033</v>
      </c>
      <c r="M64" s="213"/>
      <c r="N64" s="213"/>
      <c r="O64" s="213">
        <v>0</v>
      </c>
      <c r="P64" s="214">
        <v>163112</v>
      </c>
      <c r="Q64" s="214"/>
      <c r="R64" s="214">
        <v>566121</v>
      </c>
      <c r="S64" s="228"/>
      <c r="T64" s="228"/>
      <c r="U64" s="227">
        <v>38729</v>
      </c>
      <c r="V64" s="214"/>
      <c r="W64" s="214">
        <v>4235</v>
      </c>
      <c r="X64" s="214">
        <v>47199</v>
      </c>
      <c r="Y64" s="214">
        <v>153065</v>
      </c>
      <c r="Z64" s="214"/>
      <c r="AA64" s="214"/>
      <c r="AB64" s="240"/>
      <c r="AC64" s="214"/>
      <c r="AD64" s="214"/>
      <c r="AE64" s="214">
        <v>27072</v>
      </c>
      <c r="AF64" s="214"/>
      <c r="AG64" s="214">
        <v>1673288</v>
      </c>
      <c r="AH64" s="214"/>
      <c r="AI64" s="214"/>
      <c r="AJ64" s="214">
        <v>166794</v>
      </c>
      <c r="AK64" s="214"/>
      <c r="AL64" s="214"/>
      <c r="AM64" s="214"/>
      <c r="AN64" s="214"/>
      <c r="AO64" s="214">
        <v>32215</v>
      </c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3175398</v>
      </c>
    </row>
    <row r="65" spans="1:83" x14ac:dyDescent="0.25">
      <c r="A65" s="39" t="s">
        <v>250</v>
      </c>
      <c r="B65" s="20"/>
      <c r="C65" s="213"/>
      <c r="D65" s="213"/>
      <c r="E65" s="213">
        <v>12244</v>
      </c>
      <c r="F65" s="213"/>
      <c r="G65" s="213"/>
      <c r="H65" s="213"/>
      <c r="I65" s="213"/>
      <c r="J65" s="213"/>
      <c r="K65" s="213"/>
      <c r="L65" s="213">
        <v>17131</v>
      </c>
      <c r="M65" s="213"/>
      <c r="N65" s="213"/>
      <c r="O65" s="213">
        <v>0</v>
      </c>
      <c r="P65" s="214">
        <v>340221</v>
      </c>
      <c r="Q65" s="214">
        <v>1569</v>
      </c>
      <c r="R65" s="214">
        <v>4387</v>
      </c>
      <c r="S65" s="228">
        <v>14699</v>
      </c>
      <c r="T65" s="228"/>
      <c r="U65" s="227">
        <v>282399</v>
      </c>
      <c r="V65" s="214"/>
      <c r="W65" s="214">
        <v>156</v>
      </c>
      <c r="X65" s="214">
        <v>1755</v>
      </c>
      <c r="Y65" s="214">
        <v>5689</v>
      </c>
      <c r="Z65" s="214"/>
      <c r="AA65" s="214"/>
      <c r="AB65" s="240">
        <v>451358</v>
      </c>
      <c r="AC65" s="214">
        <v>41695</v>
      </c>
      <c r="AD65" s="214"/>
      <c r="AE65" s="214">
        <v>3296</v>
      </c>
      <c r="AF65" s="214"/>
      <c r="AG65" s="214">
        <v>58403</v>
      </c>
      <c r="AH65" s="214"/>
      <c r="AI65" s="214"/>
      <c r="AJ65" s="214">
        <v>72367</v>
      </c>
      <c r="AK65" s="214"/>
      <c r="AL65" s="214"/>
      <c r="AM65" s="214"/>
      <c r="AN65" s="214"/>
      <c r="AO65" s="214">
        <v>3117</v>
      </c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43748</v>
      </c>
      <c r="AZ65" s="214"/>
      <c r="BA65" s="228">
        <v>3145</v>
      </c>
      <c r="BB65" s="228"/>
      <c r="BC65" s="228"/>
      <c r="BD65" s="228">
        <v>75137</v>
      </c>
      <c r="BE65" s="214">
        <v>9551</v>
      </c>
      <c r="BF65" s="228">
        <v>17650</v>
      </c>
      <c r="BG65" s="228"/>
      <c r="BH65" s="228">
        <v>1716</v>
      </c>
      <c r="BI65" s="228"/>
      <c r="BJ65" s="228">
        <v>1982</v>
      </c>
      <c r="BK65" s="228">
        <v>6883</v>
      </c>
      <c r="BL65" s="228">
        <v>2000</v>
      </c>
      <c r="BM65" s="228"/>
      <c r="BN65" s="228">
        <v>15357</v>
      </c>
      <c r="BO65" s="228">
        <v>1320</v>
      </c>
      <c r="BP65" s="228">
        <v>3530</v>
      </c>
      <c r="BQ65" s="228"/>
      <c r="BR65" s="228">
        <v>3600</v>
      </c>
      <c r="BS65" s="228"/>
      <c r="BT65" s="228"/>
      <c r="BU65" s="228"/>
      <c r="BV65" s="228">
        <v>1167</v>
      </c>
      <c r="BW65" s="228"/>
      <c r="BX65" s="228">
        <v>365</v>
      </c>
      <c r="BY65" s="228">
        <v>80170</v>
      </c>
      <c r="BZ65" s="228"/>
      <c r="CA65" s="228"/>
      <c r="CB65" s="228"/>
      <c r="CC65" s="228"/>
      <c r="CD65" s="29" t="s">
        <v>233</v>
      </c>
      <c r="CE65" s="32">
        <f t="shared" si="4"/>
        <v>1577807</v>
      </c>
    </row>
    <row r="66" spans="1:83" x14ac:dyDescent="0.25">
      <c r="A66" s="39" t="s">
        <v>251</v>
      </c>
      <c r="B66" s="20"/>
      <c r="C66" s="213"/>
      <c r="D66" s="213"/>
      <c r="E66" s="213">
        <v>1340</v>
      </c>
      <c r="F66" s="213"/>
      <c r="G66" s="213"/>
      <c r="H66" s="213"/>
      <c r="I66" s="213"/>
      <c r="J66" s="213"/>
      <c r="K66" s="213"/>
      <c r="L66" s="213">
        <v>1874</v>
      </c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>
        <v>35</v>
      </c>
      <c r="X66" s="214">
        <v>382</v>
      </c>
      <c r="Y66" s="214">
        <v>1241</v>
      </c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>
        <v>544</v>
      </c>
      <c r="AK66" s="214"/>
      <c r="AL66" s="214"/>
      <c r="AM66" s="214"/>
      <c r="AN66" s="214"/>
      <c r="AO66" s="214">
        <v>341</v>
      </c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>
        <v>10194</v>
      </c>
      <c r="BB66" s="228"/>
      <c r="BC66" s="228"/>
      <c r="BD66" s="228"/>
      <c r="BE66" s="214">
        <v>161598</v>
      </c>
      <c r="BF66" s="228"/>
      <c r="BG66" s="228"/>
      <c r="BH66" s="228">
        <v>8113</v>
      </c>
      <c r="BI66" s="228"/>
      <c r="BJ66" s="228"/>
      <c r="BK66" s="228"/>
      <c r="BL66" s="228"/>
      <c r="BM66" s="228"/>
      <c r="BN66" s="228">
        <v>23509</v>
      </c>
      <c r="BO66" s="228"/>
      <c r="BP66" s="228">
        <v>308</v>
      </c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209479</v>
      </c>
    </row>
    <row r="67" spans="1:83" x14ac:dyDescent="0.25">
      <c r="A67" s="39" t="s">
        <v>252</v>
      </c>
      <c r="B67" s="20"/>
      <c r="C67" s="213"/>
      <c r="D67" s="213"/>
      <c r="E67" s="213">
        <v>7895</v>
      </c>
      <c r="F67" s="213"/>
      <c r="G67" s="213"/>
      <c r="H67" s="213"/>
      <c r="I67" s="213"/>
      <c r="J67" s="213"/>
      <c r="K67" s="213"/>
      <c r="L67" s="213">
        <v>11046</v>
      </c>
      <c r="M67" s="213"/>
      <c r="N67" s="213"/>
      <c r="O67" s="213"/>
      <c r="P67" s="214"/>
      <c r="Q67" s="214"/>
      <c r="R67" s="214"/>
      <c r="S67" s="228"/>
      <c r="T67" s="228"/>
      <c r="U67" s="227">
        <v>192142</v>
      </c>
      <c r="V67" s="214"/>
      <c r="W67" s="214">
        <v>73659</v>
      </c>
      <c r="X67" s="214"/>
      <c r="Y67" s="214">
        <v>22757</v>
      </c>
      <c r="Z67" s="214"/>
      <c r="AA67" s="214"/>
      <c r="AB67" s="240">
        <v>178676</v>
      </c>
      <c r="AC67" s="214"/>
      <c r="AD67" s="214"/>
      <c r="AE67" s="214">
        <v>2986</v>
      </c>
      <c r="AF67" s="214"/>
      <c r="AG67" s="214"/>
      <c r="AH67" s="214"/>
      <c r="AI67" s="214"/>
      <c r="AJ67" s="214">
        <v>43252</v>
      </c>
      <c r="AK67" s="214"/>
      <c r="AL67" s="214"/>
      <c r="AM67" s="214"/>
      <c r="AN67" s="214"/>
      <c r="AO67" s="214">
        <v>2010</v>
      </c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1260</v>
      </c>
      <c r="AZ67" s="214"/>
      <c r="BA67" s="228"/>
      <c r="BB67" s="228"/>
      <c r="BC67" s="228"/>
      <c r="BD67" s="228"/>
      <c r="BE67" s="214">
        <v>10043</v>
      </c>
      <c r="BF67" s="228"/>
      <c r="BG67" s="228"/>
      <c r="BH67" s="228">
        <v>270574</v>
      </c>
      <c r="BI67" s="228"/>
      <c r="BJ67" s="228">
        <v>100843</v>
      </c>
      <c r="BK67" s="228">
        <v>391495</v>
      </c>
      <c r="BL67" s="228"/>
      <c r="BM67" s="228"/>
      <c r="BN67" s="228">
        <v>67939</v>
      </c>
      <c r="BO67" s="228">
        <v>2403</v>
      </c>
      <c r="BP67" s="228">
        <v>2113</v>
      </c>
      <c r="BQ67" s="228"/>
      <c r="BR67" s="228">
        <v>11764</v>
      </c>
      <c r="BS67" s="228"/>
      <c r="BT67" s="228"/>
      <c r="BU67" s="228"/>
      <c r="BV67" s="228">
        <v>6587</v>
      </c>
      <c r="BW67" s="228"/>
      <c r="BX67" s="228">
        <v>87471</v>
      </c>
      <c r="BY67" s="228">
        <v>18121</v>
      </c>
      <c r="BZ67" s="228"/>
      <c r="CA67" s="228"/>
      <c r="CB67" s="228"/>
      <c r="CC67" s="228"/>
      <c r="CD67" s="29" t="s">
        <v>233</v>
      </c>
      <c r="CE67" s="32">
        <f t="shared" si="4"/>
        <v>1505036</v>
      </c>
    </row>
    <row r="68" spans="1:83" x14ac:dyDescent="0.2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36159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50584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30749</v>
      </c>
      <c r="Q68" s="32">
        <f t="shared" si="7"/>
        <v>3342</v>
      </c>
      <c r="R68" s="32">
        <f t="shared" si="7"/>
        <v>282</v>
      </c>
      <c r="S68" s="32">
        <f t="shared" si="7"/>
        <v>20931</v>
      </c>
      <c r="T68" s="32">
        <f t="shared" si="7"/>
        <v>0</v>
      </c>
      <c r="U68" s="32">
        <f t="shared" si="7"/>
        <v>10006</v>
      </c>
      <c r="V68" s="32">
        <f t="shared" si="7"/>
        <v>0</v>
      </c>
      <c r="W68" s="32">
        <f t="shared" si="7"/>
        <v>574</v>
      </c>
      <c r="X68" s="32">
        <f t="shared" si="7"/>
        <v>6413</v>
      </c>
      <c r="Y68" s="32">
        <f t="shared" si="7"/>
        <v>20795</v>
      </c>
      <c r="Z68" s="32">
        <f t="shared" si="7"/>
        <v>0</v>
      </c>
      <c r="AA68" s="32">
        <f t="shared" si="7"/>
        <v>0</v>
      </c>
      <c r="AB68" s="32">
        <f t="shared" si="7"/>
        <v>10497</v>
      </c>
      <c r="AC68" s="32">
        <f t="shared" si="7"/>
        <v>11479</v>
      </c>
      <c r="AD68" s="32">
        <f t="shared" si="7"/>
        <v>0</v>
      </c>
      <c r="AE68" s="32">
        <f t="shared" si="7"/>
        <v>7666</v>
      </c>
      <c r="AF68" s="32">
        <f t="shared" si="7"/>
        <v>0</v>
      </c>
      <c r="AG68" s="32">
        <f t="shared" si="7"/>
        <v>59430</v>
      </c>
      <c r="AH68" s="32">
        <f t="shared" si="7"/>
        <v>0</v>
      </c>
      <c r="AI68" s="32">
        <f t="shared" si="7"/>
        <v>0</v>
      </c>
      <c r="AJ68" s="32">
        <f t="shared" si="7"/>
        <v>63775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9202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27699</v>
      </c>
      <c r="AZ68" s="32">
        <f t="shared" si="7"/>
        <v>0</v>
      </c>
      <c r="BA68" s="32">
        <f t="shared" si="7"/>
        <v>16346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64475</v>
      </c>
      <c r="BF68" s="32">
        <f t="shared" si="7"/>
        <v>4491</v>
      </c>
      <c r="BG68" s="32">
        <f t="shared" si="7"/>
        <v>0</v>
      </c>
      <c r="BH68" s="32">
        <f t="shared" si="7"/>
        <v>7562</v>
      </c>
      <c r="BI68" s="32">
        <f t="shared" si="7"/>
        <v>0</v>
      </c>
      <c r="BJ68" s="32">
        <f t="shared" si="7"/>
        <v>0</v>
      </c>
      <c r="BK68" s="32">
        <f t="shared" si="7"/>
        <v>9421</v>
      </c>
      <c r="BL68" s="32">
        <f t="shared" si="7"/>
        <v>10988</v>
      </c>
      <c r="BM68" s="32">
        <f t="shared" si="7"/>
        <v>0</v>
      </c>
      <c r="BN68" s="32">
        <f t="shared" si="7"/>
        <v>81186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19239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10110</v>
      </c>
      <c r="BW68" s="32">
        <f t="shared" si="8"/>
        <v>0</v>
      </c>
      <c r="BX68" s="32">
        <f t="shared" si="8"/>
        <v>0</v>
      </c>
      <c r="BY68" s="32">
        <f t="shared" si="8"/>
        <v>5369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598770</v>
      </c>
    </row>
    <row r="69" spans="1:83" x14ac:dyDescent="0.25">
      <c r="A69" s="39" t="s">
        <v>253</v>
      </c>
      <c r="B69" s="32"/>
      <c r="C69" s="213"/>
      <c r="D69" s="213"/>
      <c r="E69" s="213">
        <v>11639</v>
      </c>
      <c r="F69" s="213"/>
      <c r="G69" s="213"/>
      <c r="H69" s="213"/>
      <c r="I69" s="213"/>
      <c r="J69" s="213"/>
      <c r="K69" s="213"/>
      <c r="L69" s="213">
        <v>16283</v>
      </c>
      <c r="M69" s="213"/>
      <c r="N69" s="213"/>
      <c r="O69" s="213"/>
      <c r="P69" s="214">
        <v>44721</v>
      </c>
      <c r="Q69" s="214"/>
      <c r="R69" s="214"/>
      <c r="S69" s="228">
        <v>58</v>
      </c>
      <c r="T69" s="228"/>
      <c r="U69" s="227">
        <v>3327</v>
      </c>
      <c r="V69" s="214"/>
      <c r="W69" s="214"/>
      <c r="X69" s="214"/>
      <c r="Y69" s="214"/>
      <c r="Z69" s="214"/>
      <c r="AA69" s="214"/>
      <c r="AB69" s="240">
        <v>55973</v>
      </c>
      <c r="AC69" s="214">
        <v>3226</v>
      </c>
      <c r="AD69" s="214"/>
      <c r="AE69" s="214"/>
      <c r="AF69" s="214"/>
      <c r="AG69" s="214"/>
      <c r="AH69" s="214"/>
      <c r="AI69" s="214"/>
      <c r="AJ69" s="214">
        <v>2173</v>
      </c>
      <c r="AK69" s="214"/>
      <c r="AL69" s="214"/>
      <c r="AM69" s="214"/>
      <c r="AN69" s="214"/>
      <c r="AO69" s="214">
        <v>2963</v>
      </c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2428</v>
      </c>
      <c r="BF69" s="228"/>
      <c r="BG69" s="228"/>
      <c r="BH69" s="228">
        <v>7948</v>
      </c>
      <c r="BI69" s="228"/>
      <c r="BJ69" s="228"/>
      <c r="BK69" s="228">
        <v>2645</v>
      </c>
      <c r="BL69" s="228">
        <v>0</v>
      </c>
      <c r="BM69" s="228"/>
      <c r="BN69" s="228">
        <v>15127</v>
      </c>
      <c r="BO69" s="228"/>
      <c r="BP69" s="228"/>
      <c r="BQ69" s="228"/>
      <c r="BR69" s="228"/>
      <c r="BS69" s="228"/>
      <c r="BT69" s="228"/>
      <c r="BU69" s="228"/>
      <c r="BV69" s="228">
        <v>2402</v>
      </c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170913</v>
      </c>
    </row>
    <row r="70" spans="1:83" x14ac:dyDescent="0.2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23778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33267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22627</v>
      </c>
      <c r="Q70" s="32">
        <f t="shared" si="9"/>
        <v>132</v>
      </c>
      <c r="R70" s="32">
        <f t="shared" si="9"/>
        <v>0</v>
      </c>
      <c r="S70" s="32">
        <f t="shared" si="9"/>
        <v>3048</v>
      </c>
      <c r="T70" s="32">
        <f t="shared" si="9"/>
        <v>0</v>
      </c>
      <c r="U70" s="32">
        <f t="shared" si="9"/>
        <v>48795</v>
      </c>
      <c r="V70" s="32">
        <f t="shared" si="9"/>
        <v>0</v>
      </c>
      <c r="W70" s="32">
        <f t="shared" si="9"/>
        <v>0</v>
      </c>
      <c r="X70" s="32">
        <f t="shared" si="9"/>
        <v>79284</v>
      </c>
      <c r="Y70" s="32">
        <f t="shared" si="9"/>
        <v>95066</v>
      </c>
      <c r="Z70" s="32">
        <f t="shared" si="9"/>
        <v>0</v>
      </c>
      <c r="AA70" s="32">
        <f t="shared" si="9"/>
        <v>0</v>
      </c>
      <c r="AB70" s="32">
        <f t="shared" si="9"/>
        <v>31007</v>
      </c>
      <c r="AC70" s="32">
        <f t="shared" si="9"/>
        <v>0</v>
      </c>
      <c r="AD70" s="32">
        <f t="shared" si="9"/>
        <v>0</v>
      </c>
      <c r="AE70" s="32">
        <f t="shared" si="9"/>
        <v>8491</v>
      </c>
      <c r="AF70" s="32">
        <f t="shared" si="9"/>
        <v>0</v>
      </c>
      <c r="AG70" s="32">
        <f t="shared" si="9"/>
        <v>36830</v>
      </c>
      <c r="AH70" s="32">
        <f t="shared" si="9"/>
        <v>0</v>
      </c>
      <c r="AI70" s="32">
        <f t="shared" si="9"/>
        <v>0</v>
      </c>
      <c r="AJ70" s="32">
        <f t="shared" si="9"/>
        <v>18949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6053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5775</v>
      </c>
      <c r="AZ70" s="32">
        <f t="shared" si="9"/>
        <v>0</v>
      </c>
      <c r="BA70" s="32">
        <f t="shared" si="9"/>
        <v>319</v>
      </c>
      <c r="BB70" s="32">
        <f t="shared" si="9"/>
        <v>0</v>
      </c>
      <c r="BC70" s="32">
        <f t="shared" si="9"/>
        <v>0</v>
      </c>
      <c r="BD70" s="32">
        <f t="shared" si="9"/>
        <v>24026</v>
      </c>
      <c r="BE70" s="32">
        <f t="shared" si="9"/>
        <v>78402</v>
      </c>
      <c r="BF70" s="32">
        <f t="shared" si="9"/>
        <v>68</v>
      </c>
      <c r="BG70" s="32">
        <f t="shared" si="9"/>
        <v>0</v>
      </c>
      <c r="BH70" s="32">
        <f t="shared" si="9"/>
        <v>192304</v>
      </c>
      <c r="BI70" s="32">
        <f t="shared" si="9"/>
        <v>0</v>
      </c>
      <c r="BJ70" s="32">
        <f t="shared" si="9"/>
        <v>4605</v>
      </c>
      <c r="BK70" s="32">
        <f t="shared" si="9"/>
        <v>3753</v>
      </c>
      <c r="BL70" s="32">
        <f t="shared" si="9"/>
        <v>256</v>
      </c>
      <c r="BM70" s="32">
        <f t="shared" si="9"/>
        <v>0</v>
      </c>
      <c r="BN70" s="32">
        <f t="shared" si="9"/>
        <v>136354</v>
      </c>
      <c r="BO70" s="32">
        <f t="shared" ref="BO70:CD70" si="10">SUM(BO71:BO84)</f>
        <v>424</v>
      </c>
      <c r="BP70" s="32">
        <f t="shared" si="10"/>
        <v>65123</v>
      </c>
      <c r="BQ70" s="32">
        <f t="shared" si="10"/>
        <v>0</v>
      </c>
      <c r="BR70" s="32">
        <f t="shared" si="10"/>
        <v>4909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19990</v>
      </c>
      <c r="BW70" s="32">
        <f t="shared" si="10"/>
        <v>0</v>
      </c>
      <c r="BX70" s="32">
        <f t="shared" si="10"/>
        <v>43292</v>
      </c>
      <c r="BY70" s="32">
        <f t="shared" si="10"/>
        <v>6504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370029</v>
      </c>
      <c r="CE70" s="32">
        <f>SUM(CE71:CE85)</f>
        <v>1576708</v>
      </c>
    </row>
    <row r="71" spans="1:83" x14ac:dyDescent="0.2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2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2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2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2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2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2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2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2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2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2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2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2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25">
      <c r="A84" s="33" t="s">
        <v>268</v>
      </c>
      <c r="B84" s="20"/>
      <c r="C84" s="24"/>
      <c r="D84" s="24"/>
      <c r="E84" s="30">
        <v>23778</v>
      </c>
      <c r="F84" s="30"/>
      <c r="G84" s="24"/>
      <c r="H84" s="24"/>
      <c r="I84" s="30"/>
      <c r="J84" s="30"/>
      <c r="K84" s="30"/>
      <c r="L84" s="30">
        <v>33267</v>
      </c>
      <c r="M84" s="24"/>
      <c r="N84" s="24"/>
      <c r="O84" s="24"/>
      <c r="P84" s="30">
        <v>22627</v>
      </c>
      <c r="Q84" s="30">
        <v>132</v>
      </c>
      <c r="R84" s="31"/>
      <c r="S84" s="30">
        <v>3048</v>
      </c>
      <c r="T84" s="24"/>
      <c r="U84" s="30">
        <v>48795</v>
      </c>
      <c r="V84" s="30"/>
      <c r="W84" s="24"/>
      <c r="X84" s="30">
        <v>79284</v>
      </c>
      <c r="Y84" s="30">
        <v>95066</v>
      </c>
      <c r="Z84" s="30"/>
      <c r="AA84" s="30"/>
      <c r="AB84" s="30">
        <v>31007</v>
      </c>
      <c r="AC84" s="30"/>
      <c r="AD84" s="30"/>
      <c r="AE84" s="30">
        <v>8491</v>
      </c>
      <c r="AF84" s="30"/>
      <c r="AG84" s="30">
        <v>36830</v>
      </c>
      <c r="AH84" s="30"/>
      <c r="AI84" s="30"/>
      <c r="AJ84" s="30">
        <v>18949</v>
      </c>
      <c r="AK84" s="30"/>
      <c r="AL84" s="30"/>
      <c r="AM84" s="30"/>
      <c r="AN84" s="30"/>
      <c r="AO84" s="24">
        <v>6053</v>
      </c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5775</v>
      </c>
      <c r="AZ84" s="30"/>
      <c r="BA84" s="30">
        <v>319</v>
      </c>
      <c r="BB84" s="30"/>
      <c r="BC84" s="30"/>
      <c r="BD84" s="30">
        <v>24026</v>
      </c>
      <c r="BE84" s="30">
        <v>78402</v>
      </c>
      <c r="BF84" s="30">
        <v>68</v>
      </c>
      <c r="BG84" s="30"/>
      <c r="BH84" s="31">
        <v>192304</v>
      </c>
      <c r="BI84" s="30"/>
      <c r="BJ84" s="30">
        <v>4605</v>
      </c>
      <c r="BK84" s="30">
        <v>3753</v>
      </c>
      <c r="BL84" s="30">
        <v>256</v>
      </c>
      <c r="BM84" s="30"/>
      <c r="BN84" s="30">
        <v>136354</v>
      </c>
      <c r="BO84" s="30">
        <v>424</v>
      </c>
      <c r="BP84" s="30">
        <v>65123</v>
      </c>
      <c r="BQ84" s="30"/>
      <c r="BR84" s="30">
        <v>4909</v>
      </c>
      <c r="BS84" s="30"/>
      <c r="BT84" s="30"/>
      <c r="BU84" s="30"/>
      <c r="BV84" s="30">
        <v>19990</v>
      </c>
      <c r="BW84" s="30"/>
      <c r="BX84" s="30">
        <v>43292</v>
      </c>
      <c r="BY84" s="30">
        <v>6504</v>
      </c>
      <c r="BZ84" s="30"/>
      <c r="CA84" s="30"/>
      <c r="CB84" s="30"/>
      <c r="CC84" s="30"/>
      <c r="CD84" s="35">
        <v>370029</v>
      </c>
      <c r="CE84" s="32">
        <f t="shared" si="11"/>
        <v>1363460</v>
      </c>
    </row>
    <row r="85" spans="1:84" x14ac:dyDescent="0.2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213248</v>
      </c>
      <c r="CE85" s="32">
        <f t="shared" si="11"/>
        <v>213248</v>
      </c>
    </row>
    <row r="86" spans="1:84" x14ac:dyDescent="0.2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754784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1055999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795015</v>
      </c>
      <c r="Q86" s="32">
        <f t="shared" si="12"/>
        <v>123040</v>
      </c>
      <c r="R86" s="32">
        <f t="shared" si="12"/>
        <v>570790</v>
      </c>
      <c r="S86" s="32">
        <f t="shared" si="12"/>
        <v>100726</v>
      </c>
      <c r="T86" s="32">
        <f t="shared" si="12"/>
        <v>0</v>
      </c>
      <c r="U86" s="32">
        <f t="shared" si="12"/>
        <v>1030755</v>
      </c>
      <c r="V86" s="32">
        <f t="shared" si="12"/>
        <v>0</v>
      </c>
      <c r="W86" s="32">
        <f t="shared" si="12"/>
        <v>88442</v>
      </c>
      <c r="X86" s="32">
        <f t="shared" si="12"/>
        <v>244079</v>
      </c>
      <c r="Y86" s="32">
        <f t="shared" si="12"/>
        <v>652243</v>
      </c>
      <c r="Z86" s="32">
        <f t="shared" si="12"/>
        <v>0</v>
      </c>
      <c r="AA86" s="32">
        <f t="shared" si="12"/>
        <v>0</v>
      </c>
      <c r="AB86" s="32">
        <f t="shared" si="12"/>
        <v>791702</v>
      </c>
      <c r="AC86" s="32">
        <f t="shared" si="12"/>
        <v>56400</v>
      </c>
      <c r="AD86" s="32">
        <f t="shared" si="12"/>
        <v>0</v>
      </c>
      <c r="AE86" s="32">
        <f t="shared" si="12"/>
        <v>165652</v>
      </c>
      <c r="AF86" s="32">
        <f t="shared" si="12"/>
        <v>0</v>
      </c>
      <c r="AG86" s="32">
        <f t="shared" si="12"/>
        <v>2214571</v>
      </c>
      <c r="AH86" s="32">
        <f t="shared" si="12"/>
        <v>0</v>
      </c>
      <c r="AI86" s="32">
        <f t="shared" si="12"/>
        <v>0</v>
      </c>
      <c r="AJ86" s="32">
        <f t="shared" si="12"/>
        <v>2124655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192155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271923</v>
      </c>
      <c r="AZ86" s="32">
        <f t="shared" si="12"/>
        <v>0</v>
      </c>
      <c r="BA86" s="32">
        <f t="shared" si="12"/>
        <v>65624</v>
      </c>
      <c r="BB86" s="32">
        <f t="shared" si="12"/>
        <v>0</v>
      </c>
      <c r="BC86" s="32">
        <f t="shared" si="12"/>
        <v>0</v>
      </c>
      <c r="BD86" s="32">
        <f t="shared" si="12"/>
        <v>165642</v>
      </c>
      <c r="BE86" s="32">
        <f t="shared" si="12"/>
        <v>571860</v>
      </c>
      <c r="BF86" s="32">
        <f t="shared" si="12"/>
        <v>263854</v>
      </c>
      <c r="BG86" s="32">
        <f t="shared" si="12"/>
        <v>0</v>
      </c>
      <c r="BH86" s="32">
        <f t="shared" si="12"/>
        <v>742090</v>
      </c>
      <c r="BI86" s="32">
        <f t="shared" si="12"/>
        <v>0</v>
      </c>
      <c r="BJ86" s="32">
        <f t="shared" si="12"/>
        <v>530408</v>
      </c>
      <c r="BK86" s="32">
        <f t="shared" si="12"/>
        <v>677566</v>
      </c>
      <c r="BL86" s="32">
        <f t="shared" si="12"/>
        <v>263309</v>
      </c>
      <c r="BM86" s="32">
        <f t="shared" si="12"/>
        <v>0</v>
      </c>
      <c r="BN86" s="32">
        <f t="shared" si="12"/>
        <v>705366</v>
      </c>
      <c r="BO86" s="32">
        <f t="shared" si="12"/>
        <v>58035</v>
      </c>
      <c r="BP86" s="32">
        <f t="shared" ref="BP86:CD86" si="13">SUM(BP62:BP70)-BP85</f>
        <v>159074</v>
      </c>
      <c r="BQ86" s="32">
        <f t="shared" si="13"/>
        <v>0</v>
      </c>
      <c r="BR86" s="32">
        <f t="shared" si="13"/>
        <v>241650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261320</v>
      </c>
      <c r="BW86" s="32">
        <f t="shared" si="13"/>
        <v>0</v>
      </c>
      <c r="BX86" s="32">
        <f t="shared" si="13"/>
        <v>237902</v>
      </c>
      <c r="BY86" s="32">
        <f t="shared" si="13"/>
        <v>533146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156781</v>
      </c>
      <c r="CE86" s="32">
        <f t="shared" si="11"/>
        <v>16866558</v>
      </c>
    </row>
    <row r="87" spans="1:84" x14ac:dyDescent="0.2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2553629</v>
      </c>
    </row>
    <row r="88" spans="1:84" x14ac:dyDescent="0.25">
      <c r="A88" s="26" t="s">
        <v>272</v>
      </c>
      <c r="B88" s="20"/>
      <c r="C88" s="213"/>
      <c r="D88" s="213"/>
      <c r="E88" s="213">
        <v>1342110</v>
      </c>
      <c r="F88" s="213"/>
      <c r="G88" s="213"/>
      <c r="H88" s="213"/>
      <c r="I88" s="213"/>
      <c r="J88" s="213"/>
      <c r="K88" s="213"/>
      <c r="L88" s="213">
        <v>932352</v>
      </c>
      <c r="M88" s="213"/>
      <c r="N88" s="213"/>
      <c r="O88" s="213"/>
      <c r="P88" s="213">
        <v>49646</v>
      </c>
      <c r="Q88" s="213">
        <v>0</v>
      </c>
      <c r="R88" s="213">
        <v>22575</v>
      </c>
      <c r="S88" s="213">
        <v>234598</v>
      </c>
      <c r="T88" s="213"/>
      <c r="U88" s="213">
        <v>114537</v>
      </c>
      <c r="V88" s="213"/>
      <c r="W88" s="213">
        <v>25786</v>
      </c>
      <c r="X88" s="213">
        <v>93794</v>
      </c>
      <c r="Y88" s="213">
        <v>12936</v>
      </c>
      <c r="Z88" s="213"/>
      <c r="AA88" s="213"/>
      <c r="AB88" s="213">
        <v>603260</v>
      </c>
      <c r="AC88" s="213">
        <v>2670</v>
      </c>
      <c r="AD88" s="213"/>
      <c r="AE88" s="213">
        <v>175918</v>
      </c>
      <c r="AF88" s="213"/>
      <c r="AG88" s="213">
        <v>67706</v>
      </c>
      <c r="AH88" s="213"/>
      <c r="AI88" s="213"/>
      <c r="AJ88" s="213">
        <v>16242</v>
      </c>
      <c r="AK88" s="213"/>
      <c r="AL88" s="213"/>
      <c r="AM88" s="213"/>
      <c r="AN88" s="213"/>
      <c r="AO88" s="213">
        <v>-8587</v>
      </c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3685543</v>
      </c>
    </row>
    <row r="89" spans="1:84" x14ac:dyDescent="0.25">
      <c r="A89" s="26" t="s">
        <v>273</v>
      </c>
      <c r="B89" s="20"/>
      <c r="C89" s="213"/>
      <c r="D89" s="213"/>
      <c r="E89" s="213">
        <v>43924</v>
      </c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>
        <v>1393981</v>
      </c>
      <c r="Q89" s="213">
        <v>88212</v>
      </c>
      <c r="R89" s="213">
        <v>863154</v>
      </c>
      <c r="S89" s="213">
        <v>1709013</v>
      </c>
      <c r="T89" s="213"/>
      <c r="U89" s="213">
        <v>2316060</v>
      </c>
      <c r="V89" s="213"/>
      <c r="W89" s="213">
        <v>536268</v>
      </c>
      <c r="X89" s="213">
        <v>2432772</v>
      </c>
      <c r="Y89" s="213">
        <v>2530170</v>
      </c>
      <c r="Z89" s="213"/>
      <c r="AA89" s="213"/>
      <c r="AB89" s="213">
        <v>1391434</v>
      </c>
      <c r="AC89" s="213">
        <v>141645</v>
      </c>
      <c r="AD89" s="213"/>
      <c r="AE89" s="213">
        <v>16548</v>
      </c>
      <c r="AF89" s="213"/>
      <c r="AG89" s="213">
        <v>4915774</v>
      </c>
      <c r="AH89" s="213"/>
      <c r="AI89" s="213"/>
      <c r="AJ89" s="213">
        <v>1384736</v>
      </c>
      <c r="AK89" s="213"/>
      <c r="AL89" s="213"/>
      <c r="AM89" s="213"/>
      <c r="AN89" s="213"/>
      <c r="AO89" s="213">
        <v>401482</v>
      </c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20165173</v>
      </c>
    </row>
    <row r="90" spans="1:84" x14ac:dyDescent="0.2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1386034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932352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1443627</v>
      </c>
      <c r="Q90" s="32">
        <f t="shared" si="15"/>
        <v>88212</v>
      </c>
      <c r="R90" s="32">
        <f t="shared" si="15"/>
        <v>885729</v>
      </c>
      <c r="S90" s="32">
        <f t="shared" si="15"/>
        <v>1943611</v>
      </c>
      <c r="T90" s="32">
        <f t="shared" si="15"/>
        <v>0</v>
      </c>
      <c r="U90" s="32">
        <f t="shared" si="15"/>
        <v>2430597</v>
      </c>
      <c r="V90" s="32">
        <f t="shared" si="15"/>
        <v>0</v>
      </c>
      <c r="W90" s="32">
        <f t="shared" si="15"/>
        <v>562054</v>
      </c>
      <c r="X90" s="32">
        <f t="shared" si="15"/>
        <v>2526566</v>
      </c>
      <c r="Y90" s="32">
        <f t="shared" si="15"/>
        <v>2543106</v>
      </c>
      <c r="Z90" s="32">
        <f t="shared" si="15"/>
        <v>0</v>
      </c>
      <c r="AA90" s="32">
        <f t="shared" si="15"/>
        <v>0</v>
      </c>
      <c r="AB90" s="32">
        <f t="shared" si="15"/>
        <v>1994694</v>
      </c>
      <c r="AC90" s="32">
        <f t="shared" si="15"/>
        <v>144315</v>
      </c>
      <c r="AD90" s="32">
        <f t="shared" si="15"/>
        <v>0</v>
      </c>
      <c r="AE90" s="32">
        <f t="shared" si="15"/>
        <v>192466</v>
      </c>
      <c r="AF90" s="32">
        <f t="shared" si="15"/>
        <v>0</v>
      </c>
      <c r="AG90" s="32">
        <f t="shared" si="15"/>
        <v>4983480</v>
      </c>
      <c r="AH90" s="32">
        <f t="shared" si="15"/>
        <v>0</v>
      </c>
      <c r="AI90" s="32">
        <f t="shared" si="15"/>
        <v>0</v>
      </c>
      <c r="AJ90" s="32">
        <f t="shared" si="15"/>
        <v>1400978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392895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23850716</v>
      </c>
    </row>
    <row r="91" spans="1:84" x14ac:dyDescent="0.25">
      <c r="A91" s="39" t="s">
        <v>275</v>
      </c>
      <c r="B91" s="32"/>
      <c r="C91" s="213"/>
      <c r="D91" s="213"/>
      <c r="E91" s="213">
        <v>3462</v>
      </c>
      <c r="F91" s="213"/>
      <c r="G91" s="213"/>
      <c r="H91" s="213"/>
      <c r="I91" s="213"/>
      <c r="J91" s="213">
        <v>0</v>
      </c>
      <c r="K91" s="213"/>
      <c r="L91" s="213">
        <v>4843</v>
      </c>
      <c r="M91" s="213"/>
      <c r="N91" s="213"/>
      <c r="O91" s="213">
        <v>0</v>
      </c>
      <c r="P91" s="213">
        <v>2944</v>
      </c>
      <c r="Q91" s="213">
        <v>320</v>
      </c>
      <c r="R91" s="213">
        <v>27</v>
      </c>
      <c r="S91" s="213">
        <v>2004</v>
      </c>
      <c r="T91" s="213"/>
      <c r="U91" s="213">
        <v>958</v>
      </c>
      <c r="V91" s="213"/>
      <c r="W91" s="213">
        <v>55</v>
      </c>
      <c r="X91" s="213">
        <v>614</v>
      </c>
      <c r="Y91" s="213">
        <v>1991</v>
      </c>
      <c r="Z91" s="213"/>
      <c r="AA91" s="213"/>
      <c r="AB91" s="213">
        <v>1005</v>
      </c>
      <c r="AC91" s="213">
        <v>1099</v>
      </c>
      <c r="AD91" s="213"/>
      <c r="AE91" s="213">
        <v>734</v>
      </c>
      <c r="AF91" s="213"/>
      <c r="AG91" s="213">
        <v>5690</v>
      </c>
      <c r="AH91" s="213"/>
      <c r="AI91" s="213"/>
      <c r="AJ91" s="213">
        <v>6106</v>
      </c>
      <c r="AK91" s="213"/>
      <c r="AL91" s="213"/>
      <c r="AM91" s="213"/>
      <c r="AN91" s="213"/>
      <c r="AO91" s="213">
        <v>881</v>
      </c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2652</v>
      </c>
      <c r="AZ91" s="213"/>
      <c r="BA91" s="213">
        <v>1565</v>
      </c>
      <c r="BB91" s="213"/>
      <c r="BC91" s="213"/>
      <c r="BD91" s="213"/>
      <c r="BE91" s="213">
        <v>6173</v>
      </c>
      <c r="BF91" s="213">
        <v>430</v>
      </c>
      <c r="BG91" s="213"/>
      <c r="BH91" s="213">
        <v>724</v>
      </c>
      <c r="BI91" s="213"/>
      <c r="BJ91" s="213"/>
      <c r="BK91" s="213">
        <v>902</v>
      </c>
      <c r="BL91" s="213">
        <v>1052</v>
      </c>
      <c r="BM91" s="213"/>
      <c r="BN91" s="213">
        <v>7773</v>
      </c>
      <c r="BO91" s="213"/>
      <c r="BP91" s="213"/>
      <c r="BQ91" s="213"/>
      <c r="BR91" s="213">
        <v>1842</v>
      </c>
      <c r="BS91" s="213"/>
      <c r="BT91" s="213"/>
      <c r="BU91" s="213"/>
      <c r="BV91" s="213">
        <v>968</v>
      </c>
      <c r="BW91" s="213"/>
      <c r="BX91" s="213"/>
      <c r="BY91" s="213">
        <v>514</v>
      </c>
      <c r="BZ91" s="213"/>
      <c r="CA91" s="213"/>
      <c r="CB91" s="213"/>
      <c r="CC91" s="213"/>
      <c r="CD91" s="233" t="s">
        <v>233</v>
      </c>
      <c r="CE91" s="32">
        <f t="shared" si="14"/>
        <v>57328</v>
      </c>
      <c r="CF91" s="32">
        <f>BE60-CE91</f>
        <v>0</v>
      </c>
    </row>
    <row r="92" spans="1:84" x14ac:dyDescent="0.25">
      <c r="A92" s="26" t="s">
        <v>276</v>
      </c>
      <c r="B92" s="20"/>
      <c r="C92" s="213"/>
      <c r="D92" s="213"/>
      <c r="E92" s="213">
        <v>1343</v>
      </c>
      <c r="F92" s="213"/>
      <c r="G92" s="213"/>
      <c r="H92" s="213"/>
      <c r="I92" s="213"/>
      <c r="J92" s="213"/>
      <c r="K92" s="213"/>
      <c r="L92" s="213">
        <v>1880</v>
      </c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>
        <v>342</v>
      </c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>
        <v>620</v>
      </c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4185</v>
      </c>
      <c r="CF92" s="32">
        <f>AY60-CE92</f>
        <v>0</v>
      </c>
    </row>
    <row r="93" spans="1:84" x14ac:dyDescent="0.25">
      <c r="A93" s="26" t="s">
        <v>277</v>
      </c>
      <c r="B93" s="20"/>
      <c r="C93" s="213"/>
      <c r="D93" s="213"/>
      <c r="E93" s="213">
        <v>1075</v>
      </c>
      <c r="F93" s="213"/>
      <c r="G93" s="213"/>
      <c r="H93" s="213"/>
      <c r="I93" s="213"/>
      <c r="J93" s="213"/>
      <c r="K93" s="213"/>
      <c r="L93" s="213">
        <v>1504</v>
      </c>
      <c r="M93" s="213"/>
      <c r="N93" s="213"/>
      <c r="O93" s="213">
        <v>0</v>
      </c>
      <c r="P93" s="213">
        <v>365</v>
      </c>
      <c r="Q93" s="213">
        <v>115</v>
      </c>
      <c r="R93" s="213"/>
      <c r="S93" s="213">
        <v>496</v>
      </c>
      <c r="T93" s="213"/>
      <c r="U93" s="213">
        <v>369</v>
      </c>
      <c r="V93" s="213"/>
      <c r="W93" s="213">
        <v>17</v>
      </c>
      <c r="X93" s="213">
        <v>184</v>
      </c>
      <c r="Y93" s="213">
        <v>597</v>
      </c>
      <c r="Z93" s="213"/>
      <c r="AA93" s="213"/>
      <c r="AB93" s="213">
        <v>89</v>
      </c>
      <c r="AC93" s="213">
        <v>99</v>
      </c>
      <c r="AD93" s="213"/>
      <c r="AE93" s="213">
        <v>141</v>
      </c>
      <c r="AF93" s="213"/>
      <c r="AG93" s="213">
        <v>2370</v>
      </c>
      <c r="AH93" s="213"/>
      <c r="AI93" s="213"/>
      <c r="AJ93" s="213">
        <v>1337</v>
      </c>
      <c r="AK93" s="213"/>
      <c r="AL93" s="213"/>
      <c r="AM93" s="213"/>
      <c r="AN93" s="213"/>
      <c r="AO93" s="213">
        <v>273</v>
      </c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18</v>
      </c>
      <c r="BI93" s="213"/>
      <c r="BJ93" s="229" t="s">
        <v>233</v>
      </c>
      <c r="BK93" s="213">
        <v>101</v>
      </c>
      <c r="BL93" s="213">
        <v>292</v>
      </c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>
        <v>89</v>
      </c>
      <c r="BY93" s="213">
        <v>103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9634</v>
      </c>
      <c r="CF93" s="20"/>
    </row>
    <row r="94" spans="1:84" x14ac:dyDescent="0.25">
      <c r="A94" s="26" t="s">
        <v>278</v>
      </c>
      <c r="B94" s="20"/>
      <c r="C94" s="213"/>
      <c r="D94" s="213"/>
      <c r="E94" s="213">
        <v>3607</v>
      </c>
      <c r="F94" s="213"/>
      <c r="G94" s="213"/>
      <c r="H94" s="213"/>
      <c r="I94" s="213"/>
      <c r="J94" s="213"/>
      <c r="K94" s="213"/>
      <c r="L94" s="213">
        <v>5047</v>
      </c>
      <c r="M94" s="213"/>
      <c r="N94" s="213"/>
      <c r="O94" s="213"/>
      <c r="P94" s="213">
        <v>1656</v>
      </c>
      <c r="Q94" s="213"/>
      <c r="R94" s="213"/>
      <c r="S94" s="213">
        <v>217</v>
      </c>
      <c r="T94" s="213"/>
      <c r="U94" s="213"/>
      <c r="V94" s="213"/>
      <c r="W94" s="213">
        <v>93</v>
      </c>
      <c r="X94" s="213">
        <v>1031</v>
      </c>
      <c r="Y94" s="213">
        <v>3344</v>
      </c>
      <c r="Z94" s="213"/>
      <c r="AA94" s="213"/>
      <c r="AB94" s="213"/>
      <c r="AC94" s="213"/>
      <c r="AD94" s="213"/>
      <c r="AE94" s="213"/>
      <c r="AF94" s="213"/>
      <c r="AG94" s="213">
        <v>16096</v>
      </c>
      <c r="AH94" s="213"/>
      <c r="AI94" s="213"/>
      <c r="AJ94" s="213"/>
      <c r="AK94" s="213"/>
      <c r="AL94" s="213"/>
      <c r="AM94" s="213"/>
      <c r="AN94" s="213"/>
      <c r="AO94" s="213">
        <v>918</v>
      </c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32009</v>
      </c>
      <c r="CF94" s="32">
        <f>BA60</f>
        <v>0</v>
      </c>
    </row>
    <row r="95" spans="1:84" x14ac:dyDescent="0.25">
      <c r="A95" s="26" t="s">
        <v>279</v>
      </c>
      <c r="B95" s="20"/>
      <c r="C95" s="243"/>
      <c r="D95" s="243"/>
      <c r="E95" s="243">
        <v>5.37</v>
      </c>
      <c r="F95" s="243"/>
      <c r="G95" s="243"/>
      <c r="H95" s="243"/>
      <c r="I95" s="243"/>
      <c r="J95" s="243"/>
      <c r="K95" s="243"/>
      <c r="L95" s="243">
        <v>7.51</v>
      </c>
      <c r="M95" s="243"/>
      <c r="N95" s="243"/>
      <c r="O95" s="243"/>
      <c r="P95" s="244">
        <v>1.98</v>
      </c>
      <c r="Q95" s="244">
        <v>1.2</v>
      </c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>
        <v>0.99</v>
      </c>
      <c r="AC95" s="244"/>
      <c r="AD95" s="244"/>
      <c r="AE95" s="244"/>
      <c r="AF95" s="244"/>
      <c r="AG95" s="244">
        <v>4.88</v>
      </c>
      <c r="AH95" s="244"/>
      <c r="AI95" s="244"/>
      <c r="AJ95" s="244"/>
      <c r="AK95" s="244"/>
      <c r="AL95" s="244"/>
      <c r="AM95" s="244"/>
      <c r="AN95" s="244"/>
      <c r="AO95" s="244">
        <v>1.37</v>
      </c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23.299999999999997</v>
      </c>
      <c r="CF95" s="37"/>
    </row>
    <row r="96" spans="1:84" x14ac:dyDescent="0.25">
      <c r="A96" s="38" t="s">
        <v>280</v>
      </c>
      <c r="B96" s="38"/>
      <c r="C96" s="38"/>
      <c r="D96" s="38"/>
      <c r="E96" s="38"/>
    </row>
    <row r="97" spans="1:6" x14ac:dyDescent="0.2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2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2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2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2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25">
      <c r="A102" s="32" t="s">
        <v>288</v>
      </c>
      <c r="B102" s="40" t="s">
        <v>284</v>
      </c>
      <c r="C102" s="219" t="s">
        <v>1366</v>
      </c>
      <c r="D102" s="42"/>
      <c r="E102" s="43"/>
      <c r="F102" s="16"/>
    </row>
    <row r="103" spans="1:6" x14ac:dyDescent="0.25">
      <c r="A103" s="32" t="s">
        <v>289</v>
      </c>
      <c r="B103" s="40" t="s">
        <v>284</v>
      </c>
      <c r="C103" s="248">
        <v>98812</v>
      </c>
      <c r="D103" s="42"/>
      <c r="E103" s="43"/>
      <c r="F103" s="16"/>
    </row>
    <row r="104" spans="1:6" x14ac:dyDescent="0.25">
      <c r="A104" s="32" t="s">
        <v>290</v>
      </c>
      <c r="B104" s="40" t="s">
        <v>284</v>
      </c>
      <c r="C104" s="239" t="s">
        <v>1368</v>
      </c>
      <c r="D104" s="42"/>
      <c r="E104" s="43"/>
      <c r="F104" s="16"/>
    </row>
    <row r="105" spans="1:6" x14ac:dyDescent="0.2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2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2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25">
      <c r="A108" s="32" t="s">
        <v>294</v>
      </c>
      <c r="B108" s="40" t="s">
        <v>284</v>
      </c>
      <c r="C108" s="341" t="s">
        <v>1372</v>
      </c>
      <c r="D108" s="42"/>
      <c r="E108" s="43"/>
      <c r="F108" s="16"/>
    </row>
    <row r="109" spans="1:6" x14ac:dyDescent="0.25">
      <c r="A109" s="32" t="s">
        <v>295</v>
      </c>
      <c r="B109" s="40" t="s">
        <v>284</v>
      </c>
      <c r="C109" s="341" t="s">
        <v>1373</v>
      </c>
      <c r="D109" s="42"/>
      <c r="E109" s="43"/>
      <c r="F109" s="16"/>
    </row>
    <row r="110" spans="1:6" x14ac:dyDescent="0.2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25">
      <c r="A111" s="44" t="s">
        <v>297</v>
      </c>
      <c r="B111" s="40" t="s">
        <v>284</v>
      </c>
      <c r="C111" s="327"/>
      <c r="D111" s="42"/>
      <c r="E111" s="43"/>
      <c r="F111" s="16"/>
    </row>
    <row r="112" spans="1:6" x14ac:dyDescent="0.25">
      <c r="A112" s="38" t="s">
        <v>298</v>
      </c>
      <c r="B112" s="38"/>
      <c r="C112" s="38"/>
      <c r="D112" s="38"/>
      <c r="E112" s="38"/>
    </row>
    <row r="113" spans="1:5" x14ac:dyDescent="0.25">
      <c r="A113" s="45" t="s">
        <v>299</v>
      </c>
      <c r="B113" s="45"/>
      <c r="C113" s="45"/>
      <c r="D113" s="45"/>
      <c r="E113" s="45"/>
    </row>
    <row r="114" spans="1:5" x14ac:dyDescent="0.2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2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2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25">
      <c r="A117" s="45" t="s">
        <v>301</v>
      </c>
      <c r="B117" s="45"/>
      <c r="C117" s="45"/>
      <c r="D117" s="45"/>
      <c r="E117" s="45"/>
    </row>
    <row r="118" spans="1:5" x14ac:dyDescent="0.25">
      <c r="A118" s="20" t="s">
        <v>302</v>
      </c>
      <c r="B118" s="46" t="s">
        <v>284</v>
      </c>
      <c r="C118" s="47"/>
      <c r="D118" s="20"/>
      <c r="E118" s="20"/>
    </row>
    <row r="119" spans="1:5" x14ac:dyDescent="0.25">
      <c r="A119" s="20" t="s">
        <v>144</v>
      </c>
      <c r="B119" s="46" t="s">
        <v>284</v>
      </c>
      <c r="C119" s="234"/>
      <c r="D119" s="20"/>
      <c r="E119" s="20"/>
    </row>
    <row r="120" spans="1:5" x14ac:dyDescent="0.25">
      <c r="A120" s="45" t="s">
        <v>303</v>
      </c>
      <c r="B120" s="45"/>
      <c r="C120" s="45"/>
      <c r="D120" s="45"/>
      <c r="E120" s="45"/>
    </row>
    <row r="121" spans="1:5" x14ac:dyDescent="0.2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2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2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25">
      <c r="A124" s="20"/>
      <c r="B124" s="46"/>
      <c r="C124" s="48"/>
      <c r="D124" s="20"/>
      <c r="E124" s="20"/>
    </row>
    <row r="125" spans="1:5" x14ac:dyDescent="0.25">
      <c r="A125" s="49" t="s">
        <v>307</v>
      </c>
      <c r="B125" s="38"/>
      <c r="C125" s="38"/>
      <c r="D125" s="38"/>
      <c r="E125" s="38"/>
    </row>
    <row r="126" spans="1:5" x14ac:dyDescent="0.25">
      <c r="A126" s="20"/>
      <c r="B126" s="46"/>
      <c r="C126" s="48"/>
      <c r="D126" s="20"/>
      <c r="E126" s="20"/>
    </row>
    <row r="127" spans="1:5" x14ac:dyDescent="0.2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25">
      <c r="A128" s="20" t="s">
        <v>310</v>
      </c>
      <c r="B128" s="46" t="s">
        <v>284</v>
      </c>
      <c r="C128" s="216">
        <v>107</v>
      </c>
      <c r="D128" s="220">
        <v>436</v>
      </c>
      <c r="E128" s="20"/>
    </row>
    <row r="129" spans="1:5" x14ac:dyDescent="0.25">
      <c r="A129" s="20" t="s">
        <v>311</v>
      </c>
      <c r="B129" s="46" t="s">
        <v>284</v>
      </c>
      <c r="C129" s="216">
        <v>35</v>
      </c>
      <c r="D129" s="220">
        <v>610</v>
      </c>
      <c r="E129" s="20"/>
    </row>
    <row r="130" spans="1:5" x14ac:dyDescent="0.25">
      <c r="A130" s="20" t="s">
        <v>312</v>
      </c>
      <c r="B130" s="46" t="s">
        <v>284</v>
      </c>
      <c r="C130" s="216"/>
      <c r="D130" s="220"/>
      <c r="E130" s="20"/>
    </row>
    <row r="131" spans="1:5" x14ac:dyDescent="0.25">
      <c r="A131" s="20" t="s">
        <v>313</v>
      </c>
      <c r="B131" s="46" t="s">
        <v>284</v>
      </c>
      <c r="C131" s="216">
        <v>0</v>
      </c>
      <c r="D131" s="220">
        <v>0</v>
      </c>
      <c r="E131" s="20"/>
    </row>
    <row r="132" spans="1:5" x14ac:dyDescent="0.25">
      <c r="A132" s="26" t="s">
        <v>314</v>
      </c>
      <c r="B132" s="20"/>
      <c r="C132" s="21" t="s">
        <v>179</v>
      </c>
      <c r="D132" s="20"/>
      <c r="E132" s="20"/>
    </row>
    <row r="133" spans="1:5" x14ac:dyDescent="0.25">
      <c r="A133" s="20" t="s">
        <v>315</v>
      </c>
      <c r="B133" s="46" t="s">
        <v>284</v>
      </c>
      <c r="C133" s="216">
        <v>2</v>
      </c>
      <c r="D133" s="20"/>
      <c r="E133" s="20"/>
    </row>
    <row r="134" spans="1:5" x14ac:dyDescent="0.25">
      <c r="A134" s="20" t="s">
        <v>316</v>
      </c>
      <c r="B134" s="46" t="s">
        <v>284</v>
      </c>
      <c r="C134" s="216"/>
      <c r="D134" s="20"/>
      <c r="E134" s="20"/>
    </row>
    <row r="135" spans="1:5" x14ac:dyDescent="0.25">
      <c r="A135" s="20" t="s">
        <v>317</v>
      </c>
      <c r="B135" s="46" t="s">
        <v>284</v>
      </c>
      <c r="C135" s="216">
        <v>18</v>
      </c>
      <c r="D135" s="20"/>
      <c r="E135" s="20"/>
    </row>
    <row r="136" spans="1:5" x14ac:dyDescent="0.25">
      <c r="A136" s="20" t="s">
        <v>318</v>
      </c>
      <c r="B136" s="46" t="s">
        <v>284</v>
      </c>
      <c r="C136" s="216"/>
      <c r="D136" s="20"/>
      <c r="E136" s="20"/>
    </row>
    <row r="137" spans="1:5" x14ac:dyDescent="0.25">
      <c r="A137" s="20" t="s">
        <v>319</v>
      </c>
      <c r="B137" s="46" t="s">
        <v>284</v>
      </c>
      <c r="C137" s="216"/>
      <c r="D137" s="20"/>
      <c r="E137" s="20"/>
    </row>
    <row r="138" spans="1:5" x14ac:dyDescent="0.25">
      <c r="A138" s="20" t="s">
        <v>320</v>
      </c>
      <c r="B138" s="46" t="s">
        <v>284</v>
      </c>
      <c r="C138" s="216"/>
      <c r="D138" s="20"/>
      <c r="E138" s="20"/>
    </row>
    <row r="139" spans="1:5" x14ac:dyDescent="0.25">
      <c r="A139" s="20" t="s">
        <v>108</v>
      </c>
      <c r="B139" s="46" t="s">
        <v>284</v>
      </c>
      <c r="C139" s="216"/>
      <c r="D139" s="20"/>
      <c r="E139" s="20"/>
    </row>
    <row r="140" spans="1:5" x14ac:dyDescent="0.25">
      <c r="A140" s="20" t="s">
        <v>321</v>
      </c>
      <c r="B140" s="46" t="s">
        <v>284</v>
      </c>
      <c r="C140" s="216"/>
      <c r="D140" s="20"/>
      <c r="E140" s="20"/>
    </row>
    <row r="141" spans="1:5" x14ac:dyDescent="0.25">
      <c r="A141" s="20" t="s">
        <v>322</v>
      </c>
      <c r="B141" s="46"/>
      <c r="C141" s="216">
        <v>5</v>
      </c>
      <c r="D141" s="20"/>
      <c r="E141" s="20"/>
    </row>
    <row r="142" spans="1:5" x14ac:dyDescent="0.25">
      <c r="A142" s="20" t="s">
        <v>312</v>
      </c>
      <c r="B142" s="46" t="s">
        <v>284</v>
      </c>
      <c r="C142" s="216"/>
      <c r="D142" s="20"/>
      <c r="E142" s="20"/>
    </row>
    <row r="143" spans="1:5" x14ac:dyDescent="0.25">
      <c r="A143" s="20" t="s">
        <v>323</v>
      </c>
      <c r="B143" s="46" t="s">
        <v>284</v>
      </c>
      <c r="C143" s="216"/>
      <c r="D143" s="20"/>
      <c r="E143" s="20"/>
    </row>
    <row r="144" spans="1:5" x14ac:dyDescent="0.25">
      <c r="A144" s="20" t="s">
        <v>324</v>
      </c>
      <c r="B144" s="20"/>
      <c r="C144" s="27"/>
      <c r="D144" s="20"/>
      <c r="E144" s="32">
        <f>SUM(C133:C143)</f>
        <v>25</v>
      </c>
    </row>
    <row r="145" spans="1:6" x14ac:dyDescent="0.25">
      <c r="A145" s="20" t="s">
        <v>325</v>
      </c>
      <c r="B145" s="46" t="s">
        <v>284</v>
      </c>
      <c r="C145" s="47">
        <v>25</v>
      </c>
      <c r="D145" s="20"/>
      <c r="E145" s="20"/>
    </row>
    <row r="146" spans="1:6" x14ac:dyDescent="0.25">
      <c r="A146" s="20" t="s">
        <v>326</v>
      </c>
      <c r="B146" s="46" t="s">
        <v>284</v>
      </c>
      <c r="C146" s="47">
        <v>0</v>
      </c>
      <c r="D146" s="20"/>
      <c r="E146" s="20"/>
    </row>
    <row r="147" spans="1:6" x14ac:dyDescent="0.25">
      <c r="A147" s="20"/>
      <c r="B147" s="20"/>
      <c r="C147" s="27"/>
      <c r="D147" s="20"/>
      <c r="E147" s="20"/>
    </row>
    <row r="148" spans="1:6" x14ac:dyDescent="0.25">
      <c r="A148" s="20" t="s">
        <v>327</v>
      </c>
      <c r="B148" s="46" t="s">
        <v>284</v>
      </c>
      <c r="C148" s="47"/>
      <c r="D148" s="20"/>
      <c r="E148" s="20"/>
    </row>
    <row r="149" spans="1:6" x14ac:dyDescent="0.25">
      <c r="A149" s="20"/>
      <c r="B149" s="20"/>
      <c r="C149" s="27"/>
      <c r="D149" s="20"/>
      <c r="E149" s="20"/>
    </row>
    <row r="150" spans="1:6" x14ac:dyDescent="0.25">
      <c r="A150" s="20"/>
      <c r="B150" s="20"/>
      <c r="C150" s="27"/>
      <c r="D150" s="20"/>
      <c r="E150" s="20"/>
    </row>
    <row r="151" spans="1:6" x14ac:dyDescent="0.25">
      <c r="A151" s="20"/>
      <c r="B151" s="20"/>
      <c r="C151" s="27"/>
      <c r="D151" s="20"/>
      <c r="E151" s="20"/>
    </row>
    <row r="152" spans="1:6" x14ac:dyDescent="0.25">
      <c r="A152" s="20"/>
      <c r="B152" s="20"/>
      <c r="C152" s="27"/>
      <c r="D152" s="20"/>
      <c r="E152" s="20"/>
    </row>
    <row r="153" spans="1:6" x14ac:dyDescent="0.25">
      <c r="A153" s="38" t="s">
        <v>328</v>
      </c>
      <c r="B153" s="49"/>
      <c r="C153" s="49"/>
      <c r="D153" s="49"/>
      <c r="E153" s="49"/>
    </row>
    <row r="154" spans="1:6" x14ac:dyDescent="0.2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25">
      <c r="A155" s="20" t="s">
        <v>309</v>
      </c>
      <c r="B155" s="50">
        <v>63</v>
      </c>
      <c r="C155" s="50">
        <v>4</v>
      </c>
      <c r="D155" s="50">
        <v>40</v>
      </c>
      <c r="E155" s="32">
        <f>SUM(B155:D155)</f>
        <v>107</v>
      </c>
    </row>
    <row r="156" spans="1:6" x14ac:dyDescent="0.25">
      <c r="A156" s="20" t="s">
        <v>227</v>
      </c>
      <c r="B156" s="50">
        <v>257</v>
      </c>
      <c r="C156" s="50">
        <v>16</v>
      </c>
      <c r="D156" s="50">
        <v>163</v>
      </c>
      <c r="E156" s="32">
        <f>SUM(B156:D156)</f>
        <v>436</v>
      </c>
    </row>
    <row r="157" spans="1:6" x14ac:dyDescent="0.2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25">
      <c r="A158" s="20" t="s">
        <v>272</v>
      </c>
      <c r="B158" s="50">
        <v>1641811</v>
      </c>
      <c r="C158" s="50">
        <v>340992</v>
      </c>
      <c r="D158" s="50">
        <v>770388</v>
      </c>
      <c r="E158" s="32">
        <f>SUM(B158:D158)</f>
        <v>2753191</v>
      </c>
      <c r="F158" s="18"/>
    </row>
    <row r="159" spans="1:6" x14ac:dyDescent="0.25">
      <c r="A159" s="20" t="s">
        <v>273</v>
      </c>
      <c r="B159" s="50">
        <v>12025103</v>
      </c>
      <c r="C159" s="50">
        <v>2497521</v>
      </c>
      <c r="D159" s="50">
        <v>5642549</v>
      </c>
      <c r="E159" s="32">
        <f>SUM(B159:D159)</f>
        <v>20165173</v>
      </c>
      <c r="F159" s="18"/>
    </row>
    <row r="160" spans="1:6" x14ac:dyDescent="0.2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25">
      <c r="A161" s="20" t="s">
        <v>309</v>
      </c>
      <c r="B161" s="50">
        <v>26</v>
      </c>
      <c r="C161" s="50">
        <v>2</v>
      </c>
      <c r="D161" s="50">
        <v>7</v>
      </c>
      <c r="E161" s="32">
        <f>SUM(B161:D161)</f>
        <v>35</v>
      </c>
    </row>
    <row r="162" spans="1:5" x14ac:dyDescent="0.25">
      <c r="A162" s="20" t="s">
        <v>227</v>
      </c>
      <c r="B162" s="50">
        <v>450</v>
      </c>
      <c r="C162" s="50">
        <v>30</v>
      </c>
      <c r="D162" s="50">
        <v>130</v>
      </c>
      <c r="E162" s="32">
        <f>SUM(B162:D162)</f>
        <v>610</v>
      </c>
    </row>
    <row r="163" spans="1:5" x14ac:dyDescent="0.2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25">
      <c r="A164" s="20" t="s">
        <v>272</v>
      </c>
      <c r="B164" s="50">
        <v>687801</v>
      </c>
      <c r="C164" s="50">
        <v>45853</v>
      </c>
      <c r="D164" s="50">
        <v>198698</v>
      </c>
      <c r="E164" s="32">
        <f>SUM(B164:D164)</f>
        <v>932352</v>
      </c>
    </row>
    <row r="165" spans="1:5" x14ac:dyDescent="0.2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2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2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2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2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2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2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25">
      <c r="A172" s="25"/>
      <c r="B172" s="25"/>
      <c r="C172" s="54"/>
      <c r="D172" s="55"/>
      <c r="E172" s="20"/>
    </row>
    <row r="173" spans="1:5" x14ac:dyDescent="0.2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25">
      <c r="A174" s="25" t="s">
        <v>338</v>
      </c>
      <c r="B174" s="50">
        <v>2954416</v>
      </c>
      <c r="C174" s="50">
        <v>625073</v>
      </c>
      <c r="D174" s="20"/>
      <c r="E174" s="20"/>
    </row>
    <row r="175" spans="1:5" x14ac:dyDescent="0.25">
      <c r="A175" s="25"/>
      <c r="B175" s="55"/>
      <c r="C175" s="54"/>
      <c r="D175" s="20"/>
      <c r="E175" s="20"/>
    </row>
    <row r="176" spans="1:5" x14ac:dyDescent="0.25">
      <c r="A176" s="25"/>
      <c r="B176" s="25"/>
      <c r="C176" s="54"/>
      <c r="D176" s="55"/>
      <c r="E176" s="20"/>
    </row>
    <row r="177" spans="1:5" x14ac:dyDescent="0.25">
      <c r="A177" s="25"/>
      <c r="B177" s="25"/>
      <c r="C177" s="54"/>
      <c r="D177" s="55"/>
      <c r="E177" s="20"/>
    </row>
    <row r="178" spans="1:5" x14ac:dyDescent="0.25">
      <c r="A178" s="25"/>
      <c r="B178" s="25"/>
      <c r="C178" s="54"/>
      <c r="D178" s="55"/>
      <c r="E178" s="20"/>
    </row>
    <row r="179" spans="1:5" x14ac:dyDescent="0.25">
      <c r="A179" s="25"/>
      <c r="B179" s="25"/>
      <c r="C179" s="54"/>
      <c r="D179" s="55"/>
      <c r="E179" s="20"/>
    </row>
    <row r="180" spans="1:5" x14ac:dyDescent="0.25">
      <c r="A180" s="49" t="s">
        <v>339</v>
      </c>
      <c r="B180" s="38"/>
      <c r="C180" s="38"/>
      <c r="D180" s="38"/>
      <c r="E180" s="38"/>
    </row>
    <row r="181" spans="1:5" x14ac:dyDescent="0.25">
      <c r="A181" s="45" t="s">
        <v>340</v>
      </c>
      <c r="B181" s="45"/>
      <c r="C181" s="45"/>
      <c r="D181" s="45"/>
      <c r="E181" s="45"/>
    </row>
    <row r="182" spans="1:5" x14ac:dyDescent="0.25">
      <c r="A182" s="20" t="s">
        <v>341</v>
      </c>
      <c r="B182" s="46" t="s">
        <v>284</v>
      </c>
      <c r="C182" s="216">
        <v>486966</v>
      </c>
      <c r="D182" s="20"/>
      <c r="E182" s="20"/>
    </row>
    <row r="183" spans="1:5" x14ac:dyDescent="0.25">
      <c r="A183" s="20" t="s">
        <v>342</v>
      </c>
      <c r="B183" s="46" t="s">
        <v>284</v>
      </c>
      <c r="C183" s="216">
        <v>-32169</v>
      </c>
      <c r="D183" s="20"/>
      <c r="E183" s="20"/>
    </row>
    <row r="184" spans="1:5" x14ac:dyDescent="0.25">
      <c r="A184" s="25" t="s">
        <v>343</v>
      </c>
      <c r="B184" s="46" t="s">
        <v>284</v>
      </c>
      <c r="C184" s="216">
        <v>69990</v>
      </c>
      <c r="D184" s="20"/>
      <c r="E184" s="20"/>
    </row>
    <row r="185" spans="1:5" x14ac:dyDescent="0.25">
      <c r="A185" s="20" t="s">
        <v>344</v>
      </c>
      <c r="B185" s="46" t="s">
        <v>284</v>
      </c>
      <c r="C185" s="216">
        <v>779308</v>
      </c>
      <c r="D185" s="20"/>
      <c r="E185" s="20"/>
    </row>
    <row r="186" spans="1:5" x14ac:dyDescent="0.25">
      <c r="A186" s="20" t="s">
        <v>345</v>
      </c>
      <c r="B186" s="46" t="s">
        <v>284</v>
      </c>
      <c r="C186" s="216">
        <v>8868</v>
      </c>
      <c r="D186" s="20"/>
      <c r="E186" s="20"/>
    </row>
    <row r="187" spans="1:5" x14ac:dyDescent="0.25">
      <c r="A187" s="20" t="s">
        <v>346</v>
      </c>
      <c r="B187" s="46" t="s">
        <v>284</v>
      </c>
      <c r="C187" s="216">
        <v>152052</v>
      </c>
      <c r="D187" s="20"/>
      <c r="E187" s="20"/>
    </row>
    <row r="188" spans="1:5" x14ac:dyDescent="0.25">
      <c r="A188" s="20" t="s">
        <v>347</v>
      </c>
      <c r="B188" s="46" t="s">
        <v>284</v>
      </c>
      <c r="C188" s="216">
        <v>810</v>
      </c>
      <c r="D188" s="20"/>
      <c r="E188" s="20"/>
    </row>
    <row r="189" spans="1:5" x14ac:dyDescent="0.25">
      <c r="A189" s="20" t="s">
        <v>347</v>
      </c>
      <c r="B189" s="46" t="s">
        <v>284</v>
      </c>
      <c r="C189" s="47"/>
      <c r="D189" s="20"/>
      <c r="E189" s="20"/>
    </row>
    <row r="190" spans="1:5" x14ac:dyDescent="0.25">
      <c r="A190" s="20" t="s">
        <v>215</v>
      </c>
      <c r="B190" s="20"/>
      <c r="C190" s="27"/>
      <c r="D190" s="32">
        <f>SUM(C182:C189)</f>
        <v>1465825</v>
      </c>
      <c r="E190" s="20"/>
    </row>
    <row r="191" spans="1:5" x14ac:dyDescent="0.25">
      <c r="A191" s="45" t="s">
        <v>348</v>
      </c>
      <c r="B191" s="45"/>
      <c r="C191" s="45"/>
      <c r="D191" s="45"/>
      <c r="E191" s="45"/>
    </row>
    <row r="192" spans="1:5" x14ac:dyDescent="0.25">
      <c r="A192" s="20" t="s">
        <v>349</v>
      </c>
      <c r="B192" s="46" t="s">
        <v>284</v>
      </c>
      <c r="C192" s="216"/>
      <c r="D192" s="20"/>
      <c r="E192" s="20"/>
    </row>
    <row r="193" spans="1:5" x14ac:dyDescent="0.25">
      <c r="A193" s="20" t="s">
        <v>350</v>
      </c>
      <c r="B193" s="46" t="s">
        <v>284</v>
      </c>
      <c r="C193" s="216">
        <v>170913</v>
      </c>
      <c r="D193" s="20"/>
      <c r="E193" s="20"/>
    </row>
    <row r="194" spans="1:5" x14ac:dyDescent="0.25">
      <c r="A194" s="20" t="s">
        <v>215</v>
      </c>
      <c r="B194" s="20"/>
      <c r="C194" s="27"/>
      <c r="D194" s="32">
        <f>SUM(C192:C193)</f>
        <v>170913</v>
      </c>
      <c r="E194" s="20"/>
    </row>
    <row r="195" spans="1:5" x14ac:dyDescent="0.25">
      <c r="A195" s="45" t="s">
        <v>351</v>
      </c>
      <c r="B195" s="45"/>
      <c r="C195" s="45"/>
      <c r="D195" s="45"/>
      <c r="E195" s="45"/>
    </row>
    <row r="196" spans="1:5" x14ac:dyDescent="0.25">
      <c r="A196" s="20" t="s">
        <v>352</v>
      </c>
      <c r="B196" s="46" t="s">
        <v>284</v>
      </c>
      <c r="C196" s="47">
        <v>131958</v>
      </c>
      <c r="D196" s="20"/>
      <c r="E196" s="20"/>
    </row>
    <row r="197" spans="1:5" x14ac:dyDescent="0.25">
      <c r="A197" s="20" t="s">
        <v>353</v>
      </c>
      <c r="B197" s="46" t="s">
        <v>284</v>
      </c>
      <c r="C197" s="47">
        <v>74898</v>
      </c>
      <c r="D197" s="20"/>
      <c r="E197" s="20"/>
    </row>
    <row r="198" spans="1:5" x14ac:dyDescent="0.25">
      <c r="A198" s="20" t="s">
        <v>215</v>
      </c>
      <c r="B198" s="20"/>
      <c r="C198" s="27"/>
      <c r="D198" s="32">
        <f>SUM(C196:C197)</f>
        <v>206856</v>
      </c>
      <c r="E198" s="20"/>
    </row>
    <row r="199" spans="1:5" x14ac:dyDescent="0.25">
      <c r="A199" s="45" t="s">
        <v>354</v>
      </c>
      <c r="B199" s="45"/>
      <c r="C199" s="45"/>
      <c r="D199" s="45"/>
      <c r="E199" s="45"/>
    </row>
    <row r="200" spans="1:5" x14ac:dyDescent="0.25">
      <c r="A200" s="20" t="s">
        <v>355</v>
      </c>
      <c r="B200" s="46" t="s">
        <v>284</v>
      </c>
      <c r="C200" s="47">
        <v>100167</v>
      </c>
      <c r="D200" s="20"/>
      <c r="E200" s="20"/>
    </row>
    <row r="201" spans="1:5" x14ac:dyDescent="0.25">
      <c r="A201" s="20" t="s">
        <v>356</v>
      </c>
      <c r="B201" s="46" t="s">
        <v>284</v>
      </c>
      <c r="C201" s="47"/>
      <c r="D201" s="20"/>
      <c r="E201" s="20"/>
    </row>
    <row r="202" spans="1:5" x14ac:dyDescent="0.25">
      <c r="A202" s="20" t="s">
        <v>144</v>
      </c>
      <c r="B202" s="46" t="s">
        <v>284</v>
      </c>
      <c r="C202" s="47"/>
      <c r="D202" s="20"/>
      <c r="E202" s="20"/>
    </row>
    <row r="203" spans="1:5" x14ac:dyDescent="0.25">
      <c r="A203" s="20" t="s">
        <v>215</v>
      </c>
      <c r="B203" s="20"/>
      <c r="C203" s="27"/>
      <c r="D203" s="32">
        <f>SUM(C200:C202)</f>
        <v>100167</v>
      </c>
      <c r="E203" s="20"/>
    </row>
    <row r="204" spans="1:5" x14ac:dyDescent="0.25">
      <c r="A204" s="45" t="s">
        <v>357</v>
      </c>
      <c r="B204" s="45"/>
      <c r="C204" s="45"/>
      <c r="D204" s="45"/>
      <c r="E204" s="45"/>
    </row>
    <row r="205" spans="1:5" x14ac:dyDescent="0.25">
      <c r="A205" s="20" t="s">
        <v>358</v>
      </c>
      <c r="B205" s="46" t="s">
        <v>284</v>
      </c>
      <c r="C205" s="47"/>
      <c r="D205" s="20"/>
      <c r="E205" s="20"/>
    </row>
    <row r="206" spans="1:5" x14ac:dyDescent="0.25">
      <c r="A206" s="20" t="s">
        <v>359</v>
      </c>
      <c r="B206" s="46" t="s">
        <v>284</v>
      </c>
      <c r="C206" s="47">
        <v>63006</v>
      </c>
      <c r="D206" s="20"/>
      <c r="E206" s="20"/>
    </row>
    <row r="207" spans="1:5" x14ac:dyDescent="0.25">
      <c r="A207" s="20" t="s">
        <v>215</v>
      </c>
      <c r="B207" s="20"/>
      <c r="C207" s="27"/>
      <c r="D207" s="32">
        <f>SUM(C205:C206)</f>
        <v>63006</v>
      </c>
      <c r="E207" s="20"/>
    </row>
    <row r="208" spans="1:5" x14ac:dyDescent="0.25">
      <c r="A208" s="20"/>
      <c r="B208" s="20"/>
      <c r="C208" s="27"/>
      <c r="D208" s="20"/>
      <c r="E208" s="20"/>
    </row>
    <row r="209" spans="1:5" x14ac:dyDescent="0.25">
      <c r="A209" s="38" t="s">
        <v>360</v>
      </c>
      <c r="B209" s="38"/>
      <c r="C209" s="38"/>
      <c r="D209" s="38"/>
      <c r="E209" s="38"/>
    </row>
    <row r="210" spans="1:5" x14ac:dyDescent="0.25">
      <c r="A210" s="49" t="s">
        <v>361</v>
      </c>
      <c r="B210" s="38"/>
      <c r="C210" s="38"/>
      <c r="D210" s="38"/>
      <c r="E210" s="38"/>
    </row>
    <row r="211" spans="1:5" x14ac:dyDescent="0.2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25">
      <c r="A212" s="20" t="s">
        <v>366</v>
      </c>
      <c r="B212" s="220">
        <v>10750</v>
      </c>
      <c r="C212" s="216"/>
      <c r="D212" s="220"/>
      <c r="E212" s="32">
        <f t="shared" ref="E212:E220" si="16">SUM(B212:C212)-D212</f>
        <v>10750</v>
      </c>
    </row>
    <row r="213" spans="1:5" x14ac:dyDescent="0.25">
      <c r="A213" s="20" t="s">
        <v>367</v>
      </c>
      <c r="B213" s="220">
        <v>272450</v>
      </c>
      <c r="C213" s="216">
        <v>10316</v>
      </c>
      <c r="D213" s="220"/>
      <c r="E213" s="32">
        <f t="shared" si="16"/>
        <v>282766</v>
      </c>
    </row>
    <row r="214" spans="1:5" x14ac:dyDescent="0.25">
      <c r="A214" s="20" t="s">
        <v>368</v>
      </c>
      <c r="B214" s="220">
        <v>3790436</v>
      </c>
      <c r="C214" s="216"/>
      <c r="D214" s="220"/>
      <c r="E214" s="32">
        <f t="shared" si="16"/>
        <v>3790436</v>
      </c>
    </row>
    <row r="215" spans="1:5" x14ac:dyDescent="0.2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25">
      <c r="A216" s="20" t="s">
        <v>370</v>
      </c>
      <c r="B216" s="220">
        <v>1660986</v>
      </c>
      <c r="C216" s="216"/>
      <c r="D216" s="220"/>
      <c r="E216" s="32">
        <f t="shared" si="16"/>
        <v>1660986</v>
      </c>
    </row>
    <row r="217" spans="1:5" x14ac:dyDescent="0.25">
      <c r="A217" s="20" t="s">
        <v>371</v>
      </c>
      <c r="B217" s="220">
        <v>5859005</v>
      </c>
      <c r="C217" s="216">
        <v>469989</v>
      </c>
      <c r="D217" s="220">
        <v>177224</v>
      </c>
      <c r="E217" s="32">
        <f t="shared" si="16"/>
        <v>6151770</v>
      </c>
    </row>
    <row r="218" spans="1:5" x14ac:dyDescent="0.2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2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25">
      <c r="A220" s="20" t="s">
        <v>374</v>
      </c>
      <c r="B220" s="220"/>
      <c r="C220" s="216">
        <v>29795</v>
      </c>
      <c r="D220" s="220"/>
      <c r="E220" s="32">
        <f t="shared" si="16"/>
        <v>29795</v>
      </c>
    </row>
    <row r="221" spans="1:5" x14ac:dyDescent="0.25">
      <c r="A221" s="20" t="s">
        <v>215</v>
      </c>
      <c r="B221" s="32">
        <f>SUM(B212:B220)</f>
        <v>11593627</v>
      </c>
      <c r="C221" s="266">
        <f>SUM(C212:C220)</f>
        <v>510100</v>
      </c>
      <c r="D221" s="32">
        <f>SUM(D212:D220)</f>
        <v>177224</v>
      </c>
      <c r="E221" s="32">
        <f>SUM(E212:E220)</f>
        <v>11926503</v>
      </c>
    </row>
    <row r="222" spans="1:5" x14ac:dyDescent="0.25">
      <c r="A222" s="20"/>
      <c r="B222" s="20"/>
      <c r="C222" s="27"/>
      <c r="D222" s="20"/>
      <c r="E222" s="20"/>
    </row>
    <row r="223" spans="1:5" x14ac:dyDescent="0.25">
      <c r="A223" s="49" t="s">
        <v>375</v>
      </c>
      <c r="B223" s="49"/>
      <c r="C223" s="49"/>
      <c r="D223" s="49"/>
      <c r="E223" s="49"/>
    </row>
    <row r="224" spans="1:5" x14ac:dyDescent="0.2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25">
      <c r="A225" s="20" t="s">
        <v>366</v>
      </c>
      <c r="B225" s="55"/>
      <c r="C225" s="54"/>
      <c r="D225" s="55"/>
      <c r="E225" s="20"/>
    </row>
    <row r="226" spans="1:5" x14ac:dyDescent="0.25">
      <c r="A226" s="20" t="s">
        <v>367</v>
      </c>
      <c r="B226" s="220">
        <v>272450</v>
      </c>
      <c r="C226" s="216">
        <v>344</v>
      </c>
      <c r="D226" s="220"/>
      <c r="E226" s="32">
        <f t="shared" ref="E226:E233" si="17">SUM(B226:C226)-D226</f>
        <v>272794</v>
      </c>
    </row>
    <row r="227" spans="1:5" x14ac:dyDescent="0.25">
      <c r="A227" s="20" t="s">
        <v>368</v>
      </c>
      <c r="B227" s="220">
        <v>3454403</v>
      </c>
      <c r="C227" s="216">
        <v>97327</v>
      </c>
      <c r="D227" s="220"/>
      <c r="E227" s="32">
        <f t="shared" si="17"/>
        <v>3551730</v>
      </c>
    </row>
    <row r="228" spans="1:5" x14ac:dyDescent="0.2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25">
      <c r="A229" s="20" t="s">
        <v>370</v>
      </c>
      <c r="B229" s="220">
        <v>1294287</v>
      </c>
      <c r="C229" s="216">
        <v>27811</v>
      </c>
      <c r="D229" s="220"/>
      <c r="E229" s="32">
        <f t="shared" si="17"/>
        <v>1322098</v>
      </c>
    </row>
    <row r="230" spans="1:5" x14ac:dyDescent="0.25">
      <c r="A230" s="20" t="s">
        <v>371</v>
      </c>
      <c r="B230" s="220">
        <v>3863066</v>
      </c>
      <c r="C230" s="216">
        <v>473290</v>
      </c>
      <c r="D230" s="220">
        <v>153505</v>
      </c>
      <c r="E230" s="32">
        <f t="shared" si="17"/>
        <v>4182851</v>
      </c>
    </row>
    <row r="231" spans="1:5" x14ac:dyDescent="0.2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2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2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25">
      <c r="A234" s="20" t="s">
        <v>215</v>
      </c>
      <c r="B234" s="32">
        <f>SUM(B225:B233)</f>
        <v>8884206</v>
      </c>
      <c r="C234" s="266">
        <f>SUM(C225:C233)</f>
        <v>598772</v>
      </c>
      <c r="D234" s="32">
        <f>SUM(D225:D233)</f>
        <v>153505</v>
      </c>
      <c r="E234" s="32">
        <f>SUM(E225:E233)</f>
        <v>9329473</v>
      </c>
    </row>
    <row r="235" spans="1:5" x14ac:dyDescent="0.25">
      <c r="A235" s="20"/>
      <c r="B235" s="20"/>
      <c r="C235" s="27"/>
      <c r="D235" s="20"/>
      <c r="E235" s="20"/>
    </row>
    <row r="236" spans="1:5" x14ac:dyDescent="0.25">
      <c r="A236" s="38" t="s">
        <v>376</v>
      </c>
      <c r="B236" s="38"/>
      <c r="C236" s="38"/>
      <c r="D236" s="38"/>
      <c r="E236" s="38"/>
    </row>
    <row r="237" spans="1:5" x14ac:dyDescent="0.25">
      <c r="A237" s="38"/>
      <c r="B237" s="347" t="s">
        <v>377</v>
      </c>
      <c r="C237" s="347"/>
      <c r="D237" s="38"/>
      <c r="E237" s="38"/>
    </row>
    <row r="238" spans="1:5" x14ac:dyDescent="0.25">
      <c r="A238" s="56" t="s">
        <v>377</v>
      </c>
      <c r="B238" s="38"/>
      <c r="C238" s="216">
        <v>1040053</v>
      </c>
      <c r="D238" s="40">
        <f>C238</f>
        <v>1040053</v>
      </c>
      <c r="E238" s="38"/>
    </row>
    <row r="239" spans="1:5" x14ac:dyDescent="0.25">
      <c r="A239" s="45" t="s">
        <v>378</v>
      </c>
      <c r="B239" s="45"/>
      <c r="C239" s="45"/>
      <c r="D239" s="45"/>
      <c r="E239" s="45"/>
    </row>
    <row r="240" spans="1:5" x14ac:dyDescent="0.25">
      <c r="A240" s="20" t="s">
        <v>379</v>
      </c>
      <c r="B240" s="46" t="s">
        <v>284</v>
      </c>
      <c r="C240" s="216">
        <v>1576513</v>
      </c>
      <c r="D240" s="20"/>
      <c r="E240" s="20"/>
    </row>
    <row r="241" spans="1:5" x14ac:dyDescent="0.25">
      <c r="A241" s="20" t="s">
        <v>380</v>
      </c>
      <c r="B241" s="46" t="s">
        <v>284</v>
      </c>
      <c r="C241" s="216">
        <v>2610766</v>
      </c>
      <c r="D241" s="20"/>
      <c r="E241" s="20"/>
    </row>
    <row r="242" spans="1:5" x14ac:dyDescent="0.25">
      <c r="A242" s="20" t="s">
        <v>381</v>
      </c>
      <c r="B242" s="46" t="s">
        <v>284</v>
      </c>
      <c r="C242" s="216">
        <v>823189</v>
      </c>
      <c r="D242" s="20"/>
      <c r="E242" s="20"/>
    </row>
    <row r="243" spans="1:5" x14ac:dyDescent="0.25">
      <c r="A243" s="20" t="s">
        <v>382</v>
      </c>
      <c r="B243" s="46" t="s">
        <v>284</v>
      </c>
      <c r="C243" s="216"/>
      <c r="D243" s="20"/>
      <c r="E243" s="20"/>
    </row>
    <row r="244" spans="1:5" x14ac:dyDescent="0.25">
      <c r="A244" s="20" t="s">
        <v>383</v>
      </c>
      <c r="B244" s="46" t="s">
        <v>284</v>
      </c>
      <c r="C244" s="216"/>
      <c r="D244" s="20"/>
      <c r="E244" s="20"/>
    </row>
    <row r="245" spans="1:5" x14ac:dyDescent="0.25">
      <c r="A245" s="20" t="s">
        <v>384</v>
      </c>
      <c r="B245" s="46" t="s">
        <v>284</v>
      </c>
      <c r="C245" s="216">
        <v>2459948</v>
      </c>
      <c r="D245" s="20"/>
      <c r="E245" s="20"/>
    </row>
    <row r="246" spans="1:5" x14ac:dyDescent="0.25">
      <c r="A246" s="20" t="s">
        <v>385</v>
      </c>
      <c r="B246" s="20"/>
      <c r="C246" s="27"/>
      <c r="D246" s="32">
        <f>SUM(C240:C245)</f>
        <v>7470416</v>
      </c>
      <c r="E246" s="20"/>
    </row>
    <row r="247" spans="1:5" x14ac:dyDescent="0.25">
      <c r="A247" s="45" t="s">
        <v>386</v>
      </c>
      <c r="B247" s="45"/>
      <c r="C247" s="45"/>
      <c r="D247" s="45"/>
      <c r="E247" s="45"/>
    </row>
    <row r="248" spans="1:5" x14ac:dyDescent="0.25">
      <c r="A248" s="26" t="s">
        <v>387</v>
      </c>
      <c r="B248" s="46" t="s">
        <v>284</v>
      </c>
      <c r="C248" s="216">
        <v>226</v>
      </c>
      <c r="D248" s="20"/>
      <c r="E248" s="20"/>
    </row>
    <row r="249" spans="1:5" x14ac:dyDescent="0.25">
      <c r="A249" s="26"/>
      <c r="B249" s="46"/>
      <c r="C249" s="27"/>
      <c r="D249" s="20"/>
      <c r="E249" s="20"/>
    </row>
    <row r="250" spans="1:5" x14ac:dyDescent="0.25">
      <c r="A250" s="26" t="s">
        <v>388</v>
      </c>
      <c r="B250" s="46" t="s">
        <v>284</v>
      </c>
      <c r="C250" s="216">
        <v>34114</v>
      </c>
      <c r="D250" s="20"/>
      <c r="E250" s="20"/>
    </row>
    <row r="251" spans="1:5" x14ac:dyDescent="0.25">
      <c r="A251" s="26" t="s">
        <v>389</v>
      </c>
      <c r="B251" s="46" t="s">
        <v>284</v>
      </c>
      <c r="C251" s="216">
        <v>382684</v>
      </c>
      <c r="D251" s="20"/>
      <c r="E251" s="20"/>
    </row>
    <row r="252" spans="1:5" x14ac:dyDescent="0.25">
      <c r="A252" s="20"/>
      <c r="B252" s="20"/>
      <c r="C252" s="27"/>
      <c r="D252" s="20"/>
      <c r="E252" s="20"/>
    </row>
    <row r="253" spans="1:5" x14ac:dyDescent="0.25">
      <c r="A253" s="26" t="s">
        <v>390</v>
      </c>
      <c r="B253" s="20"/>
      <c r="C253" s="27"/>
      <c r="D253" s="32">
        <f>SUM(C250:C252)</f>
        <v>416798</v>
      </c>
      <c r="E253" s="20"/>
    </row>
    <row r="254" spans="1:5" x14ac:dyDescent="0.25">
      <c r="A254" s="45" t="s">
        <v>391</v>
      </c>
      <c r="B254" s="45"/>
      <c r="C254" s="45"/>
      <c r="D254" s="45"/>
      <c r="E254" s="45"/>
    </row>
    <row r="255" spans="1:5" x14ac:dyDescent="0.25">
      <c r="A255" s="20" t="s">
        <v>392</v>
      </c>
      <c r="B255" s="46" t="s">
        <v>284</v>
      </c>
      <c r="C255" s="47">
        <v>43099</v>
      </c>
      <c r="D255" s="20"/>
      <c r="E255" s="20"/>
    </row>
    <row r="256" spans="1:5" x14ac:dyDescent="0.25">
      <c r="A256" s="20" t="s">
        <v>391</v>
      </c>
      <c r="B256" s="46" t="s">
        <v>284</v>
      </c>
      <c r="C256" s="47"/>
      <c r="D256" s="20"/>
      <c r="E256" s="20"/>
    </row>
    <row r="257" spans="1:5" x14ac:dyDescent="0.25">
      <c r="A257" s="20" t="s">
        <v>393</v>
      </c>
      <c r="B257" s="20"/>
      <c r="C257" s="27"/>
      <c r="D257" s="32">
        <f>SUM(C255:C256)</f>
        <v>43099</v>
      </c>
      <c r="E257" s="20"/>
    </row>
    <row r="258" spans="1:5" x14ac:dyDescent="0.25">
      <c r="A258" s="20"/>
      <c r="B258" s="20"/>
      <c r="C258" s="27"/>
      <c r="D258" s="20"/>
      <c r="E258" s="20"/>
    </row>
    <row r="259" spans="1:5" x14ac:dyDescent="0.25">
      <c r="A259" s="20" t="s">
        <v>394</v>
      </c>
      <c r="B259" s="20"/>
      <c r="C259" s="27"/>
      <c r="D259" s="32">
        <f>D238+D246+D253+D257</f>
        <v>8970366</v>
      </c>
      <c r="E259" s="20"/>
    </row>
    <row r="260" spans="1:5" x14ac:dyDescent="0.25">
      <c r="A260" s="20"/>
      <c r="B260" s="20"/>
      <c r="C260" s="27"/>
      <c r="D260" s="20"/>
      <c r="E260" s="20"/>
    </row>
    <row r="261" spans="1:5" x14ac:dyDescent="0.25">
      <c r="A261" s="20"/>
      <c r="B261" s="20"/>
      <c r="C261" s="27"/>
      <c r="D261" s="20"/>
      <c r="E261" s="20"/>
    </row>
    <row r="262" spans="1:5" x14ac:dyDescent="0.25">
      <c r="A262" s="20"/>
      <c r="B262" s="20"/>
      <c r="C262" s="27"/>
      <c r="D262" s="20"/>
      <c r="E262" s="20"/>
    </row>
    <row r="263" spans="1:5" x14ac:dyDescent="0.25">
      <c r="A263" s="20"/>
      <c r="B263" s="20"/>
      <c r="C263" s="27"/>
      <c r="D263" s="20"/>
      <c r="E263" s="20"/>
    </row>
    <row r="264" spans="1:5" x14ac:dyDescent="0.25">
      <c r="A264" s="20"/>
      <c r="B264" s="20"/>
      <c r="C264" s="27"/>
      <c r="D264" s="20"/>
      <c r="E264" s="20"/>
    </row>
    <row r="265" spans="1:5" x14ac:dyDescent="0.25">
      <c r="A265" s="38" t="s">
        <v>395</v>
      </c>
      <c r="B265" s="38"/>
      <c r="C265" s="38"/>
      <c r="D265" s="38"/>
      <c r="E265" s="38"/>
    </row>
    <row r="266" spans="1:5" x14ac:dyDescent="0.25">
      <c r="A266" s="45" t="s">
        <v>396</v>
      </c>
      <c r="B266" s="45"/>
      <c r="C266" s="45"/>
      <c r="D266" s="45"/>
      <c r="E266" s="45"/>
    </row>
    <row r="267" spans="1:5" x14ac:dyDescent="0.25">
      <c r="A267" s="20" t="s">
        <v>397</v>
      </c>
      <c r="B267" s="46" t="s">
        <v>284</v>
      </c>
      <c r="C267" s="216">
        <v>6445599</v>
      </c>
      <c r="D267" s="20"/>
      <c r="E267" s="20"/>
    </row>
    <row r="268" spans="1:5" x14ac:dyDescent="0.25">
      <c r="A268" s="20" t="s">
        <v>398</v>
      </c>
      <c r="B268" s="46" t="s">
        <v>284</v>
      </c>
      <c r="C268" s="216"/>
      <c r="D268" s="20"/>
      <c r="E268" s="20"/>
    </row>
    <row r="269" spans="1:5" x14ac:dyDescent="0.25">
      <c r="A269" s="20" t="s">
        <v>399</v>
      </c>
      <c r="B269" s="46" t="s">
        <v>284</v>
      </c>
      <c r="C269" s="216">
        <v>7683644</v>
      </c>
      <c r="D269" s="20"/>
      <c r="E269" s="20"/>
    </row>
    <row r="270" spans="1:5" x14ac:dyDescent="0.25">
      <c r="A270" s="20" t="s">
        <v>400</v>
      </c>
      <c r="B270" s="46" t="s">
        <v>284</v>
      </c>
      <c r="C270" s="216">
        <v>3196000</v>
      </c>
      <c r="D270" s="20"/>
      <c r="E270" s="20"/>
    </row>
    <row r="271" spans="1:5" x14ac:dyDescent="0.25">
      <c r="A271" s="20" t="s">
        <v>401</v>
      </c>
      <c r="B271" s="46" t="s">
        <v>284</v>
      </c>
      <c r="C271" s="216">
        <v>0</v>
      </c>
      <c r="D271" s="20"/>
      <c r="E271" s="20"/>
    </row>
    <row r="272" spans="1:5" x14ac:dyDescent="0.25">
      <c r="A272" s="20" t="s">
        <v>402</v>
      </c>
      <c r="B272" s="46" t="s">
        <v>284</v>
      </c>
      <c r="C272" s="216">
        <v>177378</v>
      </c>
      <c r="D272" s="20"/>
      <c r="E272" s="20"/>
    </row>
    <row r="273" spans="1:5" x14ac:dyDescent="0.25">
      <c r="A273" s="20" t="s">
        <v>403</v>
      </c>
      <c r="B273" s="46" t="s">
        <v>284</v>
      </c>
      <c r="C273" s="216"/>
      <c r="D273" s="20"/>
      <c r="E273" s="20"/>
    </row>
    <row r="274" spans="1:5" x14ac:dyDescent="0.25">
      <c r="A274" s="20" t="s">
        <v>404</v>
      </c>
      <c r="B274" s="46" t="s">
        <v>284</v>
      </c>
      <c r="C274" s="216">
        <v>241482</v>
      </c>
      <c r="D274" s="20"/>
      <c r="E274" s="20"/>
    </row>
    <row r="275" spans="1:5" x14ac:dyDescent="0.25">
      <c r="A275" s="20" t="s">
        <v>405</v>
      </c>
      <c r="B275" s="46" t="s">
        <v>284</v>
      </c>
      <c r="C275" s="216">
        <v>306600</v>
      </c>
      <c r="D275" s="20"/>
      <c r="E275" s="20"/>
    </row>
    <row r="276" spans="1:5" x14ac:dyDescent="0.25">
      <c r="A276" s="20" t="s">
        <v>406</v>
      </c>
      <c r="B276" s="46" t="s">
        <v>284</v>
      </c>
      <c r="C276" s="216"/>
      <c r="D276" s="20"/>
      <c r="E276" s="20"/>
    </row>
    <row r="277" spans="1:5" x14ac:dyDescent="0.25">
      <c r="A277" s="20" t="s">
        <v>407</v>
      </c>
      <c r="B277" s="20"/>
      <c r="C277" s="27"/>
      <c r="D277" s="32">
        <f>SUM(C267:C269)-C270+SUM(C271:C276)</f>
        <v>11658703</v>
      </c>
      <c r="E277" s="20"/>
    </row>
    <row r="278" spans="1:5" x14ac:dyDescent="0.25">
      <c r="A278" s="45" t="s">
        <v>408</v>
      </c>
      <c r="B278" s="45"/>
      <c r="C278" s="45"/>
      <c r="D278" s="45"/>
      <c r="E278" s="45"/>
    </row>
    <row r="279" spans="1:5" x14ac:dyDescent="0.25">
      <c r="A279" s="20" t="s">
        <v>397</v>
      </c>
      <c r="B279" s="46" t="s">
        <v>284</v>
      </c>
      <c r="C279" s="47"/>
      <c r="D279" s="20"/>
      <c r="E279" s="20"/>
    </row>
    <row r="280" spans="1:5" x14ac:dyDescent="0.25">
      <c r="A280" s="20" t="s">
        <v>398</v>
      </c>
      <c r="B280" s="46" t="s">
        <v>284</v>
      </c>
      <c r="C280" s="47"/>
      <c r="D280" s="20"/>
      <c r="E280" s="20"/>
    </row>
    <row r="281" spans="1:5" x14ac:dyDescent="0.25">
      <c r="A281" s="20" t="s">
        <v>409</v>
      </c>
      <c r="B281" s="46" t="s">
        <v>284</v>
      </c>
      <c r="C281" s="47"/>
      <c r="D281" s="20"/>
      <c r="E281" s="20"/>
    </row>
    <row r="282" spans="1:5" x14ac:dyDescent="0.2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25">
      <c r="A283" s="45" t="s">
        <v>411</v>
      </c>
      <c r="B283" s="45"/>
      <c r="C283" s="45"/>
      <c r="D283" s="45"/>
      <c r="E283" s="45"/>
    </row>
    <row r="284" spans="1:5" x14ac:dyDescent="0.25">
      <c r="A284" s="20" t="s">
        <v>366</v>
      </c>
      <c r="B284" s="46" t="s">
        <v>284</v>
      </c>
      <c r="C284" s="216">
        <v>10750</v>
      </c>
      <c r="D284" s="20"/>
      <c r="E284" s="20"/>
    </row>
    <row r="285" spans="1:5" x14ac:dyDescent="0.25">
      <c r="A285" s="20" t="s">
        <v>367</v>
      </c>
      <c r="B285" s="46" t="s">
        <v>284</v>
      </c>
      <c r="C285" s="216">
        <v>282766</v>
      </c>
      <c r="D285" s="20"/>
      <c r="E285" s="20"/>
    </row>
    <row r="286" spans="1:5" x14ac:dyDescent="0.25">
      <c r="A286" s="20" t="s">
        <v>368</v>
      </c>
      <c r="B286" s="46" t="s">
        <v>284</v>
      </c>
      <c r="C286" s="216">
        <v>3790436</v>
      </c>
      <c r="D286" s="20"/>
      <c r="E286" s="20"/>
    </row>
    <row r="287" spans="1:5" x14ac:dyDescent="0.25">
      <c r="A287" s="20" t="s">
        <v>412</v>
      </c>
      <c r="B287" s="46" t="s">
        <v>284</v>
      </c>
      <c r="C287" s="216"/>
      <c r="D287" s="20"/>
      <c r="E287" s="20"/>
    </row>
    <row r="288" spans="1:5" x14ac:dyDescent="0.25">
      <c r="A288" s="20" t="s">
        <v>413</v>
      </c>
      <c r="B288" s="46" t="s">
        <v>284</v>
      </c>
      <c r="C288" s="216">
        <v>1660986</v>
      </c>
      <c r="D288" s="20"/>
      <c r="E288" s="20"/>
    </row>
    <row r="289" spans="1:5" x14ac:dyDescent="0.25">
      <c r="A289" s="20" t="s">
        <v>414</v>
      </c>
      <c r="B289" s="46" t="s">
        <v>284</v>
      </c>
      <c r="C289" s="216">
        <v>6151770</v>
      </c>
      <c r="D289" s="20"/>
      <c r="E289" s="20"/>
    </row>
    <row r="290" spans="1:5" x14ac:dyDescent="0.25">
      <c r="A290" s="20" t="s">
        <v>373</v>
      </c>
      <c r="B290" s="46" t="s">
        <v>284</v>
      </c>
      <c r="C290" s="216"/>
      <c r="D290" s="20"/>
      <c r="E290" s="20"/>
    </row>
    <row r="291" spans="1:5" x14ac:dyDescent="0.25">
      <c r="A291" s="20" t="s">
        <v>374</v>
      </c>
      <c r="B291" s="46" t="s">
        <v>284</v>
      </c>
      <c r="C291" s="216">
        <v>29795</v>
      </c>
      <c r="D291" s="20"/>
      <c r="E291" s="20"/>
    </row>
    <row r="292" spans="1:5" x14ac:dyDescent="0.25">
      <c r="A292" s="20" t="s">
        <v>415</v>
      </c>
      <c r="B292" s="20"/>
      <c r="C292" s="27"/>
      <c r="D292" s="32">
        <f>SUM(C284:C291)</f>
        <v>11926503</v>
      </c>
      <c r="E292" s="20"/>
    </row>
    <row r="293" spans="1:5" x14ac:dyDescent="0.25">
      <c r="A293" s="20" t="s">
        <v>416</v>
      </c>
      <c r="B293" s="46" t="s">
        <v>284</v>
      </c>
      <c r="C293" s="47">
        <v>9329473</v>
      </c>
      <c r="D293" s="20"/>
      <c r="E293" s="20"/>
    </row>
    <row r="294" spans="1:5" x14ac:dyDescent="0.25">
      <c r="A294" s="20" t="s">
        <v>417</v>
      </c>
      <c r="B294" s="20"/>
      <c r="C294" s="27"/>
      <c r="D294" s="32">
        <f>D292-C293</f>
        <v>2597030</v>
      </c>
      <c r="E294" s="20"/>
    </row>
    <row r="295" spans="1:5" x14ac:dyDescent="0.25">
      <c r="A295" s="45" t="s">
        <v>418</v>
      </c>
      <c r="B295" s="45"/>
      <c r="C295" s="45"/>
      <c r="D295" s="45"/>
      <c r="E295" s="45"/>
    </row>
    <row r="296" spans="1:5" x14ac:dyDescent="0.25">
      <c r="A296" s="20" t="s">
        <v>419</v>
      </c>
      <c r="B296" s="46" t="s">
        <v>284</v>
      </c>
      <c r="C296" s="216"/>
      <c r="D296" s="20"/>
      <c r="E296" s="20"/>
    </row>
    <row r="297" spans="1:5" x14ac:dyDescent="0.25">
      <c r="A297" s="20" t="s">
        <v>420</v>
      </c>
      <c r="B297" s="46" t="s">
        <v>284</v>
      </c>
      <c r="C297" s="216"/>
      <c r="D297" s="20"/>
      <c r="E297" s="20"/>
    </row>
    <row r="298" spans="1:5" x14ac:dyDescent="0.25">
      <c r="A298" s="20" t="s">
        <v>421</v>
      </c>
      <c r="B298" s="46" t="s">
        <v>284</v>
      </c>
      <c r="C298" s="216"/>
      <c r="D298" s="20"/>
      <c r="E298" s="20"/>
    </row>
    <row r="299" spans="1:5" x14ac:dyDescent="0.25">
      <c r="A299" s="20" t="s">
        <v>409</v>
      </c>
      <c r="B299" s="46" t="s">
        <v>284</v>
      </c>
      <c r="C299" s="216"/>
      <c r="D299" s="20"/>
      <c r="E299" s="20"/>
    </row>
    <row r="300" spans="1:5" x14ac:dyDescent="0.2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25">
      <c r="A301" s="20"/>
      <c r="B301" s="20"/>
      <c r="C301" s="27"/>
      <c r="D301" s="20"/>
      <c r="E301" s="20"/>
    </row>
    <row r="302" spans="1:5" x14ac:dyDescent="0.25">
      <c r="A302" s="45" t="s">
        <v>423</v>
      </c>
      <c r="B302" s="45"/>
      <c r="C302" s="45"/>
      <c r="D302" s="45"/>
      <c r="E302" s="45"/>
    </row>
    <row r="303" spans="1:5" x14ac:dyDescent="0.25">
      <c r="A303" s="20" t="s">
        <v>424</v>
      </c>
      <c r="B303" s="46" t="s">
        <v>284</v>
      </c>
      <c r="C303" s="216"/>
      <c r="D303" s="20"/>
      <c r="E303" s="20"/>
    </row>
    <row r="304" spans="1:5" x14ac:dyDescent="0.25">
      <c r="A304" s="20" t="s">
        <v>425</v>
      </c>
      <c r="B304" s="46" t="s">
        <v>284</v>
      </c>
      <c r="C304" s="216"/>
      <c r="D304" s="20"/>
      <c r="E304" s="20"/>
    </row>
    <row r="305" spans="1:5" x14ac:dyDescent="0.25">
      <c r="A305" s="20" t="s">
        <v>426</v>
      </c>
      <c r="B305" s="46" t="s">
        <v>284</v>
      </c>
      <c r="C305" s="216"/>
      <c r="D305" s="20"/>
      <c r="E305" s="20"/>
    </row>
    <row r="306" spans="1:5" x14ac:dyDescent="0.25">
      <c r="A306" s="20" t="s">
        <v>427</v>
      </c>
      <c r="B306" s="46" t="s">
        <v>284</v>
      </c>
      <c r="C306" s="216"/>
      <c r="D306" s="20"/>
      <c r="E306" s="20"/>
    </row>
    <row r="307" spans="1:5" x14ac:dyDescent="0.2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25">
      <c r="A308" s="20"/>
      <c r="B308" s="20"/>
      <c r="C308" s="27"/>
      <c r="D308" s="20"/>
      <c r="E308" s="20"/>
    </row>
    <row r="309" spans="1:5" x14ac:dyDescent="0.25">
      <c r="A309" s="20" t="s">
        <v>429</v>
      </c>
      <c r="B309" s="20"/>
      <c r="C309" s="27"/>
      <c r="D309" s="32">
        <f>D277+D282+D294+D300+D307</f>
        <v>14255733</v>
      </c>
      <c r="E309" s="20"/>
    </row>
    <row r="310" spans="1:5" x14ac:dyDescent="0.25">
      <c r="A310" s="20"/>
      <c r="B310" s="20"/>
      <c r="C310" s="27"/>
      <c r="D310" s="20"/>
      <c r="E310" s="20"/>
    </row>
    <row r="311" spans="1:5" x14ac:dyDescent="0.25">
      <c r="A311" s="20"/>
      <c r="B311" s="20"/>
      <c r="C311" s="27"/>
      <c r="D311" s="20"/>
      <c r="E311" s="20"/>
    </row>
    <row r="312" spans="1:5" x14ac:dyDescent="0.25">
      <c r="A312" s="20"/>
      <c r="B312" s="20"/>
      <c r="C312" s="27"/>
      <c r="D312" s="20"/>
      <c r="E312" s="20"/>
    </row>
    <row r="313" spans="1:5" x14ac:dyDescent="0.25">
      <c r="A313" s="38" t="s">
        <v>430</v>
      </c>
      <c r="B313" s="38"/>
      <c r="C313" s="38"/>
      <c r="D313" s="38"/>
      <c r="E313" s="38"/>
    </row>
    <row r="314" spans="1:5" x14ac:dyDescent="0.25">
      <c r="A314" s="45" t="s">
        <v>431</v>
      </c>
      <c r="B314" s="45"/>
      <c r="C314" s="45"/>
      <c r="D314" s="45"/>
      <c r="E314" s="45"/>
    </row>
    <row r="315" spans="1:5" x14ac:dyDescent="0.25">
      <c r="A315" s="20" t="s">
        <v>432</v>
      </c>
      <c r="B315" s="46" t="s">
        <v>284</v>
      </c>
      <c r="C315" s="216">
        <v>1217000</v>
      </c>
      <c r="D315" s="20"/>
      <c r="E315" s="20"/>
    </row>
    <row r="316" spans="1:5" x14ac:dyDescent="0.25">
      <c r="A316" s="20" t="s">
        <v>433</v>
      </c>
      <c r="B316" s="46" t="s">
        <v>284</v>
      </c>
      <c r="C316" s="216">
        <v>694447</v>
      </c>
      <c r="D316" s="20"/>
      <c r="E316" s="20"/>
    </row>
    <row r="317" spans="1:5" x14ac:dyDescent="0.25">
      <c r="A317" s="20" t="s">
        <v>434</v>
      </c>
      <c r="B317" s="46" t="s">
        <v>284</v>
      </c>
      <c r="C317" s="216">
        <v>521474</v>
      </c>
      <c r="D317" s="20"/>
      <c r="E317" s="20"/>
    </row>
    <row r="318" spans="1:5" x14ac:dyDescent="0.25">
      <c r="A318" s="20" t="s">
        <v>435</v>
      </c>
      <c r="B318" s="46" t="s">
        <v>284</v>
      </c>
      <c r="C318" s="216"/>
      <c r="D318" s="20"/>
      <c r="E318" s="20"/>
    </row>
    <row r="319" spans="1:5" x14ac:dyDescent="0.25">
      <c r="A319" s="20" t="s">
        <v>436</v>
      </c>
      <c r="B319" s="46" t="s">
        <v>284</v>
      </c>
      <c r="C319" s="216"/>
      <c r="D319" s="20"/>
      <c r="E319" s="20"/>
    </row>
    <row r="320" spans="1:5" x14ac:dyDescent="0.25">
      <c r="A320" s="20" t="s">
        <v>437</v>
      </c>
      <c r="B320" s="46" t="s">
        <v>284</v>
      </c>
      <c r="C320" s="216">
        <v>15993</v>
      </c>
      <c r="D320" s="20"/>
      <c r="E320" s="20"/>
    </row>
    <row r="321" spans="1:5" x14ac:dyDescent="0.25">
      <c r="A321" s="20" t="s">
        <v>438</v>
      </c>
      <c r="B321" s="46" t="s">
        <v>284</v>
      </c>
      <c r="C321" s="216"/>
      <c r="D321" s="20"/>
      <c r="E321" s="20"/>
    </row>
    <row r="322" spans="1:5" x14ac:dyDescent="0.25">
      <c r="A322" s="20" t="s">
        <v>439</v>
      </c>
      <c r="B322" s="46" t="s">
        <v>284</v>
      </c>
      <c r="C322" s="216"/>
      <c r="D322" s="20"/>
      <c r="E322" s="20"/>
    </row>
    <row r="323" spans="1:5" x14ac:dyDescent="0.25">
      <c r="A323" s="20" t="s">
        <v>440</v>
      </c>
      <c r="B323" s="46" t="s">
        <v>284</v>
      </c>
      <c r="C323" s="216">
        <v>1524291</v>
      </c>
      <c r="D323" s="20"/>
      <c r="E323" s="20"/>
    </row>
    <row r="324" spans="1:5" x14ac:dyDescent="0.25">
      <c r="A324" s="20" t="s">
        <v>441</v>
      </c>
      <c r="B324" s="46" t="s">
        <v>284</v>
      </c>
      <c r="C324" s="216">
        <v>441192</v>
      </c>
      <c r="D324" s="20"/>
      <c r="E324" s="20"/>
    </row>
    <row r="325" spans="1:5" x14ac:dyDescent="0.25">
      <c r="A325" s="20" t="s">
        <v>442</v>
      </c>
      <c r="B325" s="20"/>
      <c r="C325" s="27"/>
      <c r="D325" s="32">
        <f>SUM(C315:C324)</f>
        <v>4414397</v>
      </c>
      <c r="E325" s="20"/>
    </row>
    <row r="326" spans="1:5" x14ac:dyDescent="0.25">
      <c r="A326" s="45" t="s">
        <v>443</v>
      </c>
      <c r="B326" s="45"/>
      <c r="C326" s="45"/>
      <c r="D326" s="45"/>
      <c r="E326" s="45"/>
    </row>
    <row r="327" spans="1:5" x14ac:dyDescent="0.25">
      <c r="A327" s="20" t="s">
        <v>444</v>
      </c>
      <c r="B327" s="46" t="s">
        <v>284</v>
      </c>
      <c r="C327" s="216"/>
      <c r="D327" s="20"/>
      <c r="E327" s="20"/>
    </row>
    <row r="328" spans="1:5" x14ac:dyDescent="0.25">
      <c r="A328" s="20" t="s">
        <v>445</v>
      </c>
      <c r="B328" s="46" t="s">
        <v>284</v>
      </c>
      <c r="C328" s="216">
        <v>799320</v>
      </c>
      <c r="D328" s="20"/>
      <c r="E328" s="20"/>
    </row>
    <row r="329" spans="1:5" x14ac:dyDescent="0.25">
      <c r="A329" s="20" t="s">
        <v>446</v>
      </c>
      <c r="B329" s="46" t="s">
        <v>284</v>
      </c>
      <c r="C329" s="216"/>
      <c r="D329" s="20"/>
      <c r="E329" s="20"/>
    </row>
    <row r="330" spans="1:5" x14ac:dyDescent="0.25">
      <c r="A330" s="20" t="s">
        <v>447</v>
      </c>
      <c r="B330" s="20"/>
      <c r="C330" s="27"/>
      <c r="D330" s="32">
        <f>SUM(C327:C329)</f>
        <v>799320</v>
      </c>
      <c r="E330" s="20"/>
    </row>
    <row r="331" spans="1:5" x14ac:dyDescent="0.25">
      <c r="A331" s="45" t="s">
        <v>448</v>
      </c>
      <c r="B331" s="45"/>
      <c r="C331" s="45"/>
      <c r="D331" s="45"/>
      <c r="E331" s="45"/>
    </row>
    <row r="332" spans="1:5" x14ac:dyDescent="0.25">
      <c r="A332" s="20" t="s">
        <v>449</v>
      </c>
      <c r="B332" s="46" t="s">
        <v>284</v>
      </c>
      <c r="C332" s="216"/>
      <c r="D332" s="20"/>
      <c r="E332" s="20"/>
    </row>
    <row r="333" spans="1:5" x14ac:dyDescent="0.25">
      <c r="A333" s="20" t="s">
        <v>450</v>
      </c>
      <c r="B333" s="46" t="s">
        <v>284</v>
      </c>
      <c r="C333" s="216"/>
      <c r="D333" s="20"/>
      <c r="E333" s="20"/>
    </row>
    <row r="334" spans="1:5" x14ac:dyDescent="0.25">
      <c r="A334" s="20" t="s">
        <v>451</v>
      </c>
      <c r="B334" s="46" t="s">
        <v>284</v>
      </c>
      <c r="C334" s="216">
        <v>152330</v>
      </c>
      <c r="D334" s="20"/>
      <c r="E334" s="20"/>
    </row>
    <row r="335" spans="1:5" x14ac:dyDescent="0.25">
      <c r="A335" s="26" t="s">
        <v>452</v>
      </c>
      <c r="B335" s="46" t="s">
        <v>284</v>
      </c>
      <c r="C335" s="216">
        <v>917520</v>
      </c>
      <c r="D335" s="20"/>
      <c r="E335" s="20"/>
    </row>
    <row r="336" spans="1:5" x14ac:dyDescent="0.25">
      <c r="A336" s="20" t="s">
        <v>453</v>
      </c>
      <c r="B336" s="46" t="s">
        <v>284</v>
      </c>
      <c r="C336" s="216"/>
      <c r="D336" s="20"/>
      <c r="E336" s="20"/>
    </row>
    <row r="337" spans="1:5" x14ac:dyDescent="0.25">
      <c r="A337" s="26" t="s">
        <v>454</v>
      </c>
      <c r="B337" s="46" t="s">
        <v>284</v>
      </c>
      <c r="C337" s="216"/>
      <c r="D337" s="20"/>
      <c r="E337" s="20"/>
    </row>
    <row r="338" spans="1:5" x14ac:dyDescent="0.25">
      <c r="A338" s="26" t="s">
        <v>455</v>
      </c>
      <c r="B338" s="46" t="s">
        <v>284</v>
      </c>
      <c r="C338" s="272"/>
      <c r="D338" s="20"/>
      <c r="E338" s="20"/>
    </row>
    <row r="339" spans="1:5" x14ac:dyDescent="0.25">
      <c r="A339" s="20" t="s">
        <v>456</v>
      </c>
      <c r="B339" s="46" t="s">
        <v>284</v>
      </c>
      <c r="C339" s="216">
        <v>1267438</v>
      </c>
      <c r="D339" s="20"/>
      <c r="E339" s="20"/>
    </row>
    <row r="340" spans="1:5" x14ac:dyDescent="0.25">
      <c r="A340" s="20" t="s">
        <v>215</v>
      </c>
      <c r="B340" s="20"/>
      <c r="C340" s="27"/>
      <c r="D340" s="32">
        <f>SUM(C332:C339)</f>
        <v>2337288</v>
      </c>
      <c r="E340" s="20"/>
    </row>
    <row r="341" spans="1:5" x14ac:dyDescent="0.25">
      <c r="A341" s="20" t="s">
        <v>457</v>
      </c>
      <c r="B341" s="20"/>
      <c r="C341" s="27"/>
      <c r="D341" s="32">
        <f>C324</f>
        <v>441192</v>
      </c>
      <c r="E341" s="20"/>
    </row>
    <row r="342" spans="1:5" x14ac:dyDescent="0.25">
      <c r="A342" s="20" t="s">
        <v>458</v>
      </c>
      <c r="B342" s="20"/>
      <c r="C342" s="27"/>
      <c r="D342" s="32">
        <f>D340-D341</f>
        <v>1896096</v>
      </c>
      <c r="E342" s="20"/>
    </row>
    <row r="343" spans="1:5" x14ac:dyDescent="0.25">
      <c r="A343" s="20"/>
      <c r="B343" s="20"/>
      <c r="C343" s="27"/>
      <c r="D343" s="20"/>
      <c r="E343" s="20"/>
    </row>
    <row r="344" spans="1:5" x14ac:dyDescent="0.25">
      <c r="A344" s="20" t="s">
        <v>459</v>
      </c>
      <c r="B344" s="46" t="s">
        <v>284</v>
      </c>
      <c r="C344" s="221">
        <v>7145920</v>
      </c>
      <c r="D344" s="20"/>
      <c r="E344" s="20"/>
    </row>
    <row r="345" spans="1:5" x14ac:dyDescent="0.25">
      <c r="A345" s="20"/>
      <c r="B345" s="46"/>
      <c r="C345" s="57"/>
      <c r="D345" s="20"/>
      <c r="E345" s="20"/>
    </row>
    <row r="346" spans="1:5" x14ac:dyDescent="0.25">
      <c r="A346" s="20" t="s">
        <v>460</v>
      </c>
      <c r="B346" s="46" t="s">
        <v>284</v>
      </c>
      <c r="C346" s="234"/>
      <c r="D346" s="20"/>
      <c r="E346" s="20"/>
    </row>
    <row r="347" spans="1:5" x14ac:dyDescent="0.25">
      <c r="A347" s="20" t="s">
        <v>461</v>
      </c>
      <c r="B347" s="46" t="s">
        <v>284</v>
      </c>
      <c r="C347" s="234"/>
      <c r="D347" s="20"/>
      <c r="E347" s="20"/>
    </row>
    <row r="348" spans="1:5" x14ac:dyDescent="0.25">
      <c r="A348" s="20" t="s">
        <v>462</v>
      </c>
      <c r="B348" s="46" t="s">
        <v>284</v>
      </c>
      <c r="C348" s="234"/>
      <c r="D348" s="20"/>
      <c r="E348" s="20"/>
    </row>
    <row r="349" spans="1:5" x14ac:dyDescent="0.25">
      <c r="A349" s="20" t="s">
        <v>463</v>
      </c>
      <c r="B349" s="46" t="s">
        <v>284</v>
      </c>
      <c r="C349" s="234"/>
      <c r="D349" s="20"/>
      <c r="E349" s="20"/>
    </row>
    <row r="350" spans="1:5" x14ac:dyDescent="0.25">
      <c r="A350" s="20" t="s">
        <v>464</v>
      </c>
      <c r="B350" s="46" t="s">
        <v>284</v>
      </c>
      <c r="C350" s="234"/>
      <c r="D350" s="20"/>
      <c r="E350" s="20"/>
    </row>
    <row r="351" spans="1:5" x14ac:dyDescent="0.25">
      <c r="A351" s="20" t="s">
        <v>465</v>
      </c>
      <c r="B351" s="20"/>
      <c r="C351" s="27"/>
      <c r="D351" s="32">
        <f>D325+D330+D342+C344+C348+C349</f>
        <v>14255733</v>
      </c>
      <c r="E351" s="20"/>
    </row>
    <row r="352" spans="1:5" x14ac:dyDescent="0.25">
      <c r="A352" s="20"/>
      <c r="B352" s="20"/>
      <c r="C352" s="27"/>
      <c r="D352" s="20"/>
      <c r="E352" s="20"/>
    </row>
    <row r="353" spans="1:5" x14ac:dyDescent="0.25">
      <c r="A353" s="20" t="s">
        <v>466</v>
      </c>
      <c r="B353" s="20"/>
      <c r="C353" s="27"/>
      <c r="D353" s="32">
        <f>D309</f>
        <v>14255733</v>
      </c>
      <c r="E353" s="20"/>
    </row>
    <row r="354" spans="1:5" x14ac:dyDescent="0.25">
      <c r="A354" s="20"/>
      <c r="B354" s="20"/>
      <c r="C354" s="27"/>
      <c r="D354" s="20"/>
      <c r="E354" s="20"/>
    </row>
    <row r="355" spans="1:5" x14ac:dyDescent="0.25">
      <c r="A355" s="20"/>
      <c r="B355" s="20"/>
      <c r="C355" s="27"/>
      <c r="D355" s="20"/>
      <c r="E355" s="20"/>
    </row>
    <row r="356" spans="1:5" x14ac:dyDescent="0.25">
      <c r="A356" s="20"/>
      <c r="B356" s="20"/>
      <c r="C356" s="27"/>
      <c r="D356" s="20"/>
      <c r="E356" s="20"/>
    </row>
    <row r="357" spans="1:5" x14ac:dyDescent="0.25">
      <c r="A357" s="38" t="s">
        <v>467</v>
      </c>
      <c r="B357" s="38"/>
      <c r="C357" s="38"/>
      <c r="D357" s="38"/>
      <c r="E357" s="38"/>
    </row>
    <row r="358" spans="1:5" x14ac:dyDescent="0.25">
      <c r="A358" s="45" t="s">
        <v>468</v>
      </c>
      <c r="B358" s="45"/>
      <c r="C358" s="45"/>
      <c r="D358" s="45"/>
      <c r="E358" s="45"/>
    </row>
    <row r="359" spans="1:5" x14ac:dyDescent="0.25">
      <c r="A359" s="20" t="s">
        <v>469</v>
      </c>
      <c r="B359" s="46" t="s">
        <v>284</v>
      </c>
      <c r="C359" s="235">
        <v>3685543</v>
      </c>
      <c r="D359" s="20"/>
      <c r="E359" s="20"/>
    </row>
    <row r="360" spans="1:5" x14ac:dyDescent="0.25">
      <c r="A360" s="20" t="s">
        <v>470</v>
      </c>
      <c r="B360" s="46" t="s">
        <v>284</v>
      </c>
      <c r="C360" s="235">
        <v>20165173</v>
      </c>
      <c r="D360" s="20"/>
      <c r="E360" s="20"/>
    </row>
    <row r="361" spans="1:5" x14ac:dyDescent="0.25">
      <c r="A361" s="20" t="s">
        <v>471</v>
      </c>
      <c r="B361" s="20"/>
      <c r="C361" s="27"/>
      <c r="D361" s="32">
        <f>SUM(C359:C360)</f>
        <v>23850716</v>
      </c>
      <c r="E361" s="20"/>
    </row>
    <row r="362" spans="1:5" x14ac:dyDescent="0.25">
      <c r="A362" s="45" t="s">
        <v>472</v>
      </c>
      <c r="B362" s="45"/>
      <c r="C362" s="45"/>
      <c r="D362" s="45"/>
      <c r="E362" s="45"/>
    </row>
    <row r="363" spans="1:5" x14ac:dyDescent="0.25">
      <c r="A363" s="20" t="s">
        <v>377</v>
      </c>
      <c r="B363" s="45"/>
      <c r="C363" s="216">
        <v>1040053</v>
      </c>
      <c r="D363" s="20"/>
      <c r="E363" s="45"/>
    </row>
    <row r="364" spans="1:5" x14ac:dyDescent="0.25">
      <c r="A364" s="20" t="s">
        <v>473</v>
      </c>
      <c r="B364" s="46" t="s">
        <v>284</v>
      </c>
      <c r="C364" s="216">
        <v>7470416</v>
      </c>
      <c r="D364" s="20"/>
      <c r="E364" s="20"/>
    </row>
    <row r="365" spans="1:5" x14ac:dyDescent="0.25">
      <c r="A365" s="20" t="s">
        <v>474</v>
      </c>
      <c r="B365" s="46" t="s">
        <v>284</v>
      </c>
      <c r="C365" s="216">
        <v>416798</v>
      </c>
      <c r="D365" s="20"/>
      <c r="E365" s="20"/>
    </row>
    <row r="366" spans="1:5" x14ac:dyDescent="0.25">
      <c r="A366" s="20" t="s">
        <v>475</v>
      </c>
      <c r="B366" s="46" t="s">
        <v>284</v>
      </c>
      <c r="C366" s="216">
        <v>43099</v>
      </c>
      <c r="D366" s="20"/>
      <c r="E366" s="20"/>
    </row>
    <row r="367" spans="1:5" x14ac:dyDescent="0.25">
      <c r="A367" s="20" t="s">
        <v>394</v>
      </c>
      <c r="B367" s="20"/>
      <c r="C367" s="27"/>
      <c r="D367" s="32">
        <f>SUM(C363:C366)</f>
        <v>8970366</v>
      </c>
      <c r="E367" s="20"/>
    </row>
    <row r="368" spans="1:5" x14ac:dyDescent="0.25">
      <c r="A368" s="20" t="s">
        <v>476</v>
      </c>
      <c r="B368" s="20"/>
      <c r="C368" s="27"/>
      <c r="D368" s="32">
        <f>D361-D367</f>
        <v>14880350</v>
      </c>
      <c r="E368" s="20"/>
    </row>
    <row r="369" spans="1:6" x14ac:dyDescent="0.25">
      <c r="A369" s="58" t="s">
        <v>477</v>
      </c>
      <c r="B369" s="45"/>
      <c r="C369" s="45"/>
      <c r="D369" s="45"/>
      <c r="E369" s="45"/>
    </row>
    <row r="370" spans="1:6" x14ac:dyDescent="0.25">
      <c r="A370" s="32" t="s">
        <v>478</v>
      </c>
      <c r="B370" s="20"/>
      <c r="C370" s="20"/>
      <c r="D370" s="20"/>
      <c r="E370" s="20"/>
    </row>
    <row r="371" spans="1:6" x14ac:dyDescent="0.25">
      <c r="A371" s="59" t="s">
        <v>479</v>
      </c>
      <c r="B371" s="40" t="s">
        <v>284</v>
      </c>
      <c r="C371" s="273"/>
      <c r="D371" s="32"/>
      <c r="E371" s="32"/>
    </row>
    <row r="372" spans="1:6" x14ac:dyDescent="0.25">
      <c r="A372" s="59" t="s">
        <v>480</v>
      </c>
      <c r="B372" s="40" t="s">
        <v>284</v>
      </c>
      <c r="C372" s="273"/>
      <c r="D372" s="32"/>
      <c r="E372" s="32"/>
    </row>
    <row r="373" spans="1:6" x14ac:dyDescent="0.25">
      <c r="A373" s="59" t="s">
        <v>481</v>
      </c>
      <c r="B373" s="40" t="s">
        <v>284</v>
      </c>
      <c r="C373" s="273"/>
      <c r="D373" s="32"/>
      <c r="E373" s="32"/>
    </row>
    <row r="374" spans="1:6" x14ac:dyDescent="0.25">
      <c r="A374" s="59" t="s">
        <v>482</v>
      </c>
      <c r="B374" s="40" t="s">
        <v>284</v>
      </c>
      <c r="C374" s="273"/>
      <c r="D374" s="32"/>
      <c r="E374" s="32"/>
    </row>
    <row r="375" spans="1:6" x14ac:dyDescent="0.25">
      <c r="A375" s="59" t="s">
        <v>483</v>
      </c>
      <c r="B375" s="40" t="s">
        <v>284</v>
      </c>
      <c r="C375" s="273"/>
      <c r="D375" s="32"/>
      <c r="E375" s="32"/>
    </row>
    <row r="376" spans="1:6" x14ac:dyDescent="0.25">
      <c r="A376" s="59" t="s">
        <v>484</v>
      </c>
      <c r="B376" s="40" t="s">
        <v>284</v>
      </c>
      <c r="C376" s="273"/>
      <c r="D376" s="32"/>
      <c r="E376" s="32"/>
    </row>
    <row r="377" spans="1:6" x14ac:dyDescent="0.25">
      <c r="A377" s="59" t="s">
        <v>485</v>
      </c>
      <c r="B377" s="40" t="s">
        <v>284</v>
      </c>
      <c r="C377" s="273"/>
      <c r="D377" s="32"/>
      <c r="E377" s="32"/>
    </row>
    <row r="378" spans="1:6" x14ac:dyDescent="0.25">
      <c r="A378" s="59" t="s">
        <v>486</v>
      </c>
      <c r="B378" s="40" t="s">
        <v>284</v>
      </c>
      <c r="C378" s="273"/>
      <c r="D378" s="32"/>
      <c r="E378" s="32"/>
    </row>
    <row r="379" spans="1:6" x14ac:dyDescent="0.25">
      <c r="A379" s="59" t="s">
        <v>487</v>
      </c>
      <c r="B379" s="40" t="s">
        <v>284</v>
      </c>
      <c r="C379" s="273"/>
      <c r="D379" s="32"/>
      <c r="E379" s="32"/>
    </row>
    <row r="380" spans="1:6" x14ac:dyDescent="0.25">
      <c r="A380" s="59" t="s">
        <v>488</v>
      </c>
      <c r="B380" s="40" t="s">
        <v>284</v>
      </c>
      <c r="C380" s="273"/>
      <c r="D380" s="32"/>
      <c r="E380" s="32"/>
    </row>
    <row r="381" spans="1:6" x14ac:dyDescent="0.25">
      <c r="A381" s="59" t="s">
        <v>489</v>
      </c>
      <c r="B381" s="40" t="s">
        <v>284</v>
      </c>
      <c r="C381" s="236">
        <v>213248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25">
      <c r="A382" s="61" t="s">
        <v>490</v>
      </c>
      <c r="B382" s="46"/>
      <c r="C382" s="46"/>
      <c r="D382" s="32">
        <f>SUM(C371:C381)</f>
        <v>213248</v>
      </c>
      <c r="E382" s="32"/>
      <c r="F382" s="60"/>
    </row>
    <row r="383" spans="1:6" x14ac:dyDescent="0.25">
      <c r="A383" s="56" t="s">
        <v>491</v>
      </c>
      <c r="B383" s="46" t="s">
        <v>284</v>
      </c>
      <c r="C383" s="47">
        <v>2553629</v>
      </c>
      <c r="D383" s="32"/>
      <c r="E383" s="20"/>
    </row>
    <row r="384" spans="1:6" x14ac:dyDescent="0.25">
      <c r="A384" s="20" t="s">
        <v>492</v>
      </c>
      <c r="B384" s="20"/>
      <c r="C384" s="27"/>
      <c r="D384" s="32">
        <f>D382+C383</f>
        <v>2766877</v>
      </c>
      <c r="E384" s="20"/>
    </row>
    <row r="385" spans="1:5" x14ac:dyDescent="0.25">
      <c r="A385" s="20" t="s">
        <v>493</v>
      </c>
      <c r="B385" s="20"/>
      <c r="C385" s="27"/>
      <c r="D385" s="32">
        <f>D368+D384</f>
        <v>17647227</v>
      </c>
      <c r="E385" s="20"/>
    </row>
    <row r="386" spans="1:5" x14ac:dyDescent="0.25">
      <c r="A386" s="20"/>
      <c r="B386" s="20"/>
      <c r="C386" s="27"/>
      <c r="D386" s="20"/>
      <c r="E386" s="20"/>
    </row>
    <row r="387" spans="1:5" x14ac:dyDescent="0.25">
      <c r="A387" s="20"/>
      <c r="B387" s="20"/>
      <c r="C387" s="27"/>
      <c r="D387" s="20"/>
      <c r="E387" s="20"/>
    </row>
    <row r="388" spans="1:5" x14ac:dyDescent="0.25">
      <c r="A388" s="20"/>
      <c r="B388" s="20"/>
      <c r="C388" s="27"/>
      <c r="D388" s="20"/>
      <c r="E388" s="20"/>
    </row>
    <row r="389" spans="1:5" x14ac:dyDescent="0.25">
      <c r="A389" s="45" t="s">
        <v>494</v>
      </c>
      <c r="B389" s="45"/>
      <c r="C389" s="45"/>
      <c r="D389" s="45"/>
      <c r="E389" s="45"/>
    </row>
    <row r="390" spans="1:5" x14ac:dyDescent="0.25">
      <c r="A390" s="20" t="s">
        <v>495</v>
      </c>
      <c r="B390" s="46" t="s">
        <v>284</v>
      </c>
      <c r="C390" s="216">
        <v>7013119</v>
      </c>
      <c r="D390" s="20"/>
      <c r="E390" s="20"/>
    </row>
    <row r="391" spans="1:5" x14ac:dyDescent="0.25">
      <c r="A391" s="20" t="s">
        <v>9</v>
      </c>
      <c r="B391" s="46" t="s">
        <v>284</v>
      </c>
      <c r="C391" s="216">
        <v>1465825</v>
      </c>
      <c r="D391" s="20"/>
      <c r="E391" s="20"/>
    </row>
    <row r="392" spans="1:5" x14ac:dyDescent="0.25">
      <c r="A392" s="20" t="s">
        <v>249</v>
      </c>
      <c r="B392" s="46" t="s">
        <v>284</v>
      </c>
      <c r="C392" s="216">
        <v>3175398</v>
      </c>
      <c r="D392" s="20"/>
      <c r="E392" s="20"/>
    </row>
    <row r="393" spans="1:5" x14ac:dyDescent="0.25">
      <c r="A393" s="20" t="s">
        <v>496</v>
      </c>
      <c r="B393" s="46" t="s">
        <v>284</v>
      </c>
      <c r="C393" s="216">
        <v>1577807</v>
      </c>
      <c r="D393" s="20"/>
      <c r="E393" s="20"/>
    </row>
    <row r="394" spans="1:5" x14ac:dyDescent="0.25">
      <c r="A394" s="20" t="s">
        <v>497</v>
      </c>
      <c r="B394" s="46" t="s">
        <v>284</v>
      </c>
      <c r="C394" s="216">
        <v>209479</v>
      </c>
      <c r="D394" s="20"/>
      <c r="E394" s="20"/>
    </row>
    <row r="395" spans="1:5" x14ac:dyDescent="0.25">
      <c r="A395" s="20" t="s">
        <v>498</v>
      </c>
      <c r="B395" s="46" t="s">
        <v>284</v>
      </c>
      <c r="C395" s="216">
        <v>1505036</v>
      </c>
      <c r="D395" s="20"/>
      <c r="E395" s="20"/>
    </row>
    <row r="396" spans="1:5" x14ac:dyDescent="0.25">
      <c r="A396" s="20" t="s">
        <v>11</v>
      </c>
      <c r="B396" s="46" t="s">
        <v>284</v>
      </c>
      <c r="C396" s="216">
        <v>598772</v>
      </c>
      <c r="D396" s="20"/>
      <c r="E396" s="20"/>
    </row>
    <row r="397" spans="1:5" x14ac:dyDescent="0.25">
      <c r="A397" s="20" t="s">
        <v>499</v>
      </c>
      <c r="B397" s="46" t="s">
        <v>284</v>
      </c>
      <c r="C397" s="216">
        <v>170913</v>
      </c>
      <c r="D397" s="20"/>
      <c r="E397" s="20"/>
    </row>
    <row r="398" spans="1:5" x14ac:dyDescent="0.25">
      <c r="A398" s="20" t="s">
        <v>500</v>
      </c>
      <c r="B398" s="46" t="s">
        <v>284</v>
      </c>
      <c r="C398" s="216">
        <v>206856</v>
      </c>
      <c r="D398" s="20"/>
      <c r="E398" s="20"/>
    </row>
    <row r="399" spans="1:5" x14ac:dyDescent="0.25">
      <c r="A399" s="20" t="s">
        <v>501</v>
      </c>
      <c r="B399" s="46" t="s">
        <v>284</v>
      </c>
      <c r="C399" s="216">
        <v>100167</v>
      </c>
      <c r="D399" s="20"/>
      <c r="E399" s="20"/>
    </row>
    <row r="400" spans="1:5" x14ac:dyDescent="0.25">
      <c r="A400" s="20" t="s">
        <v>502</v>
      </c>
      <c r="B400" s="46" t="s">
        <v>284</v>
      </c>
      <c r="C400" s="216">
        <v>63006</v>
      </c>
      <c r="D400" s="20"/>
      <c r="E400" s="20"/>
    </row>
    <row r="401" spans="1:9" x14ac:dyDescent="0.25">
      <c r="A401" s="32" t="s">
        <v>503</v>
      </c>
      <c r="B401" s="20"/>
      <c r="C401" s="20"/>
      <c r="D401" s="20"/>
      <c r="E401" s="20"/>
    </row>
    <row r="402" spans="1:9" x14ac:dyDescent="0.25">
      <c r="A402" s="33" t="s">
        <v>255</v>
      </c>
      <c r="B402" s="40" t="s">
        <v>284</v>
      </c>
      <c r="C402" s="273"/>
      <c r="D402" s="32"/>
      <c r="E402" s="32"/>
    </row>
    <row r="403" spans="1:9" x14ac:dyDescent="0.25">
      <c r="A403" s="33" t="s">
        <v>256</v>
      </c>
      <c r="B403" s="40" t="s">
        <v>284</v>
      </c>
      <c r="C403" s="273"/>
      <c r="D403" s="32"/>
      <c r="E403" s="32"/>
    </row>
    <row r="404" spans="1:9" x14ac:dyDescent="0.25">
      <c r="A404" s="33" t="s">
        <v>504</v>
      </c>
      <c r="B404" s="40" t="s">
        <v>284</v>
      </c>
      <c r="C404" s="273"/>
      <c r="D404" s="32"/>
      <c r="E404" s="32"/>
    </row>
    <row r="405" spans="1:9" x14ac:dyDescent="0.25">
      <c r="A405" s="33" t="s">
        <v>258</v>
      </c>
      <c r="B405" s="40" t="s">
        <v>284</v>
      </c>
      <c r="C405" s="273"/>
      <c r="D405" s="32"/>
      <c r="E405" s="32"/>
    </row>
    <row r="406" spans="1:9" x14ac:dyDescent="0.25">
      <c r="A406" s="33" t="s">
        <v>259</v>
      </c>
      <c r="B406" s="40" t="s">
        <v>284</v>
      </c>
      <c r="C406" s="273"/>
      <c r="D406" s="32"/>
      <c r="E406" s="32"/>
    </row>
    <row r="407" spans="1:9" x14ac:dyDescent="0.25">
      <c r="A407" s="33" t="s">
        <v>260</v>
      </c>
      <c r="B407" s="40" t="s">
        <v>284</v>
      </c>
      <c r="C407" s="273"/>
      <c r="D407" s="32"/>
      <c r="E407" s="32"/>
    </row>
    <row r="408" spans="1:9" x14ac:dyDescent="0.25">
      <c r="A408" s="33" t="s">
        <v>261</v>
      </c>
      <c r="B408" s="40" t="s">
        <v>284</v>
      </c>
      <c r="C408" s="273"/>
      <c r="D408" s="32"/>
      <c r="E408" s="32"/>
    </row>
    <row r="409" spans="1:9" x14ac:dyDescent="0.25">
      <c r="A409" s="33" t="s">
        <v>262</v>
      </c>
      <c r="B409" s="40" t="s">
        <v>284</v>
      </c>
      <c r="C409" s="273"/>
      <c r="D409" s="32"/>
      <c r="E409" s="32"/>
    </row>
    <row r="410" spans="1:9" x14ac:dyDescent="0.25">
      <c r="A410" s="33" t="s">
        <v>263</v>
      </c>
      <c r="B410" s="40" t="s">
        <v>284</v>
      </c>
      <c r="C410" s="273"/>
      <c r="D410" s="32"/>
      <c r="E410" s="32"/>
    </row>
    <row r="411" spans="1:9" x14ac:dyDescent="0.25">
      <c r="A411" s="33" t="s">
        <v>264</v>
      </c>
      <c r="B411" s="40" t="s">
        <v>284</v>
      </c>
      <c r="C411" s="273"/>
      <c r="D411" s="32"/>
      <c r="E411" s="32"/>
    </row>
    <row r="412" spans="1:9" x14ac:dyDescent="0.25">
      <c r="A412" s="33" t="s">
        <v>265</v>
      </c>
      <c r="B412" s="40" t="s">
        <v>284</v>
      </c>
      <c r="C412" s="273"/>
      <c r="D412" s="32"/>
      <c r="E412" s="32"/>
    </row>
    <row r="413" spans="1:9" x14ac:dyDescent="0.25">
      <c r="A413" s="33" t="s">
        <v>266</v>
      </c>
      <c r="B413" s="40" t="s">
        <v>284</v>
      </c>
      <c r="C413" s="273"/>
      <c r="D413" s="32"/>
      <c r="E413" s="32"/>
    </row>
    <row r="414" spans="1:9" x14ac:dyDescent="0.25">
      <c r="A414" s="33" t="s">
        <v>267</v>
      </c>
      <c r="B414" s="40" t="s">
        <v>284</v>
      </c>
      <c r="C414" s="273"/>
      <c r="D414" s="32"/>
      <c r="E414" s="32"/>
    </row>
    <row r="415" spans="1:9" x14ac:dyDescent="0.25">
      <c r="A415" s="33" t="s">
        <v>268</v>
      </c>
      <c r="B415" s="40" t="s">
        <v>284</v>
      </c>
      <c r="C415" s="236">
        <v>993430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25">
      <c r="A416" s="62" t="s">
        <v>505</v>
      </c>
      <c r="B416" s="46"/>
      <c r="C416" s="46"/>
      <c r="D416" s="32">
        <f>SUM(C402:C415)</f>
        <v>993430</v>
      </c>
      <c r="E416" s="32"/>
      <c r="F416" s="60"/>
      <c r="G416" s="60"/>
      <c r="H416" s="60"/>
      <c r="I416" s="60"/>
    </row>
    <row r="417" spans="1:13" x14ac:dyDescent="0.25">
      <c r="A417" s="32" t="s">
        <v>506</v>
      </c>
      <c r="B417" s="20"/>
      <c r="C417" s="27"/>
      <c r="D417" s="32">
        <f>SUM(C390:C400,D416)</f>
        <v>17079808</v>
      </c>
      <c r="E417" s="32"/>
    </row>
    <row r="418" spans="1:13" x14ac:dyDescent="0.25">
      <c r="A418" s="32" t="s">
        <v>507</v>
      </c>
      <c r="B418" s="20"/>
      <c r="C418" s="27"/>
      <c r="D418" s="32">
        <f>D385-D417</f>
        <v>567419</v>
      </c>
      <c r="E418" s="32"/>
    </row>
    <row r="419" spans="1:13" x14ac:dyDescent="0.25">
      <c r="A419" s="32" t="s">
        <v>508</v>
      </c>
      <c r="B419" s="20"/>
      <c r="C419" s="236">
        <v>1366063</v>
      </c>
      <c r="D419" s="32"/>
      <c r="E419" s="32"/>
    </row>
    <row r="420" spans="1:13" x14ac:dyDescent="0.25">
      <c r="A420" s="59" t="s">
        <v>509</v>
      </c>
      <c r="B420" s="46" t="s">
        <v>284</v>
      </c>
      <c r="C420" s="273"/>
      <c r="D420" s="32"/>
      <c r="E420" s="32"/>
    </row>
    <row r="421" spans="1:13" x14ac:dyDescent="0.25">
      <c r="A421" s="61" t="s">
        <v>510</v>
      </c>
      <c r="B421" s="20"/>
      <c r="C421" s="20"/>
      <c r="D421" s="32">
        <f>SUM(C419:C420)</f>
        <v>1366063</v>
      </c>
      <c r="E421" s="32"/>
    </row>
    <row r="422" spans="1:13" x14ac:dyDescent="0.25">
      <c r="A422" s="32" t="s">
        <v>511</v>
      </c>
      <c r="B422" s="20"/>
      <c r="C422" s="27"/>
      <c r="D422" s="32">
        <f>D418+D421</f>
        <v>1933482</v>
      </c>
      <c r="E422" s="32"/>
      <c r="F422" s="63"/>
    </row>
    <row r="423" spans="1:13" x14ac:dyDescent="0.25">
      <c r="A423" s="32" t="s">
        <v>512</v>
      </c>
      <c r="B423" s="46" t="s">
        <v>284</v>
      </c>
      <c r="C423" s="47"/>
      <c r="D423" s="32"/>
      <c r="E423" s="20"/>
    </row>
    <row r="424" spans="1:13" x14ac:dyDescent="0.25">
      <c r="A424" s="20" t="s">
        <v>513</v>
      </c>
      <c r="B424" s="46" t="s">
        <v>284</v>
      </c>
      <c r="C424" s="47"/>
      <c r="D424" s="32"/>
      <c r="E424" s="20"/>
    </row>
    <row r="425" spans="1:13" x14ac:dyDescent="0.25">
      <c r="A425" s="20" t="s">
        <v>514</v>
      </c>
      <c r="B425" s="20"/>
      <c r="C425" s="27"/>
      <c r="D425" s="32">
        <f>D422+C423-C424</f>
        <v>1933482</v>
      </c>
      <c r="E425" s="20"/>
    </row>
    <row r="428" spans="1:13" x14ac:dyDescent="0.25">
      <c r="M428" s="64"/>
    </row>
    <row r="429" spans="1:13" x14ac:dyDescent="0.25">
      <c r="M429" s="64"/>
    </row>
    <row r="430" spans="1:13" x14ac:dyDescent="0.25">
      <c r="M430" s="64"/>
    </row>
    <row r="434" spans="2:7" x14ac:dyDescent="0.25">
      <c r="B434" s="65"/>
      <c r="C434" s="65"/>
      <c r="D434" s="65"/>
      <c r="E434" s="65"/>
      <c r="F434" s="65"/>
      <c r="G434" s="65"/>
    </row>
    <row r="575" spans="2:83" x14ac:dyDescent="0.2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2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2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" customHeight="1" x14ac:dyDescent="0.2">
      <c r="A613" s="251"/>
      <c r="C613" s="249" t="s">
        <v>515</v>
      </c>
      <c r="D613" s="256">
        <f>CE91-(BE91+CD91)</f>
        <v>51155</v>
      </c>
      <c r="E613" s="258">
        <f>SUM(C625:D648)+SUM(C669:D714)</f>
        <v>15360993.032098524</v>
      </c>
      <c r="F613" s="258">
        <f>CE65-(AX65+BD65+BE65+BG65+BJ65+BN65+BP65+BQ65+CB65+CC65+CD65)</f>
        <v>1472250</v>
      </c>
      <c r="G613" s="256">
        <f>CE92-(AX92+AY92+BD92+BE92+BG92+BJ92+BN92+BP92+BQ92+CB92+CC92+CD92)</f>
        <v>4185</v>
      </c>
      <c r="H613" s="261">
        <f>CE61-(AX61+AY61+AZ61+BD61+BE61+BG61+BJ61+BN61+BO61+BP61+BQ61+BR61+CB61+CC61+CD61)</f>
        <v>73.249999999999986</v>
      </c>
      <c r="I613" s="256">
        <f>CE93-(AX93+AY93+AZ93+BD93+BE93+BF93+BG93+BJ93+BN93+BO93+BP93+BQ93+BR93+CB93+CC93+CD93)</f>
        <v>9634</v>
      </c>
      <c r="J613" s="256">
        <f>CE94-(AX94+AY94+AZ94+BA94+BD94+BE94+BF94+BG94+BJ94+BN94+BO94+BP94+BQ94+BR94+CB94+CC94+CD94)</f>
        <v>32009</v>
      </c>
      <c r="K613" s="256">
        <f>CE90-(AW90+AX90+AY90+AZ90+BA90+BB90+BC90+BD90+BE90+BF90+BG90+BH90+BI90+BJ90+BK90+BL90+BM90+BN90+BO90+BP90+BQ90+BR90+BS90+BT90+BU90+BV90+BW90+BX90+CB90+CC90+CD90)</f>
        <v>23850716</v>
      </c>
      <c r="L613" s="262">
        <f>CE95-(AW95+AX95+AY95+AZ95+BA95+BB95+BC95+BD95+BE95+BF95+BG95+BH95+BI95+BJ95+BK95+BL95+BM95+BN95+BO95+BP95+BQ95+BR95+BS95+BT95+BU95+BV95+BW95+BX95+BY95+BZ95+CA95+CB95+CC95+CD95)</f>
        <v>23.299999999999997</v>
      </c>
    </row>
    <row r="614" spans="1:14" s="231" customFormat="1" ht="12.6" customHeight="1" x14ac:dyDescent="0.2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" customHeight="1" x14ac:dyDescent="0.2">
      <c r="A615" s="251">
        <v>8430</v>
      </c>
      <c r="B615" s="250" t="s">
        <v>152</v>
      </c>
      <c r="C615" s="256">
        <f>BE86</f>
        <v>571860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" customHeight="1" x14ac:dyDescent="0.2">
      <c r="A616" s="251"/>
      <c r="B616" s="250" t="s">
        <v>527</v>
      </c>
      <c r="C616" s="256">
        <f>CD70-CD85</f>
        <v>156781</v>
      </c>
      <c r="D616" s="256">
        <f>SUM(C615:C616)</f>
        <v>728641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" customHeight="1" x14ac:dyDescent="0.2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" customHeight="1" x14ac:dyDescent="0.2">
      <c r="A618" s="251">
        <v>8510</v>
      </c>
      <c r="B618" s="255" t="s">
        <v>157</v>
      </c>
      <c r="C618" s="256">
        <f>BJ86</f>
        <v>530408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" customHeight="1" x14ac:dyDescent="0.2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" customHeight="1" x14ac:dyDescent="0.2">
      <c r="A620" s="251">
        <v>8610</v>
      </c>
      <c r="B620" s="255" t="s">
        <v>534</v>
      </c>
      <c r="C620" s="256">
        <f>BN86</f>
        <v>705366</v>
      </c>
      <c r="D620" s="256">
        <f>(D616/D613)*BN91</f>
        <v>110716.9679014759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" customHeight="1" x14ac:dyDescent="0.2">
      <c r="A621" s="251">
        <v>8790</v>
      </c>
      <c r="B621" s="255" t="s">
        <v>536</v>
      </c>
      <c r="C621" s="256">
        <f>CC86</f>
        <v>0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" customHeight="1" x14ac:dyDescent="0.2">
      <c r="A622" s="251">
        <v>8630</v>
      </c>
      <c r="B622" s="255" t="s">
        <v>538</v>
      </c>
      <c r="C622" s="256">
        <f>BP86</f>
        <v>159074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" customHeight="1" x14ac:dyDescent="0.2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" customHeight="1" x14ac:dyDescent="0.2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1505564.967901476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" customHeight="1" x14ac:dyDescent="0.2">
      <c r="A625" s="251">
        <v>8420</v>
      </c>
      <c r="B625" s="255" t="s">
        <v>151</v>
      </c>
      <c r="C625" s="256">
        <f>BD86</f>
        <v>165642</v>
      </c>
      <c r="D625" s="256">
        <f>(D616/D613)*BD91</f>
        <v>0</v>
      </c>
      <c r="E625" s="258">
        <f>(E624/E613)*SUM(C625:D625)</f>
        <v>16234.939491998901</v>
      </c>
      <c r="F625" s="258">
        <f>SUM(C625:E625)</f>
        <v>181876.9394919989</v>
      </c>
      <c r="G625" s="256"/>
      <c r="H625" s="258"/>
      <c r="I625" s="256"/>
      <c r="J625" s="256"/>
      <c r="N625" s="252" t="s">
        <v>544</v>
      </c>
    </row>
    <row r="626" spans="1:14" s="231" customFormat="1" ht="12.6" customHeight="1" x14ac:dyDescent="0.2">
      <c r="A626" s="251">
        <v>8320</v>
      </c>
      <c r="B626" s="255" t="s">
        <v>147</v>
      </c>
      <c r="C626" s="256">
        <f>AY86</f>
        <v>271923</v>
      </c>
      <c r="D626" s="256">
        <f>(D616/D613)*AY91</f>
        <v>37774.527064803049</v>
      </c>
      <c r="E626" s="258">
        <f>(E624/E613)*SUM(C626:D626)</f>
        <v>30354.140934779643</v>
      </c>
      <c r="F626" s="258">
        <f>(F625/F613)*AY65</f>
        <v>5404.4845297306629</v>
      </c>
      <c r="G626" s="256">
        <f>SUM(C626:F626)</f>
        <v>345456.1525293134</v>
      </c>
      <c r="H626" s="258"/>
      <c r="I626" s="256"/>
      <c r="J626" s="256"/>
      <c r="N626" s="252" t="s">
        <v>545</v>
      </c>
    </row>
    <row r="627" spans="1:14" s="231" customFormat="1" ht="12.6" customHeight="1" x14ac:dyDescent="0.2">
      <c r="A627" s="251">
        <v>8650</v>
      </c>
      <c r="B627" s="255" t="s">
        <v>164</v>
      </c>
      <c r="C627" s="256">
        <f>BR86</f>
        <v>241650</v>
      </c>
      <c r="D627" s="256">
        <f>(D616/D613)*BR91</f>
        <v>26237.058391164112</v>
      </c>
      <c r="E627" s="258">
        <f>(E624/E613)*SUM(C627:D627)</f>
        <v>26256.204245723464</v>
      </c>
      <c r="F627" s="258">
        <f>(F625/F613)*BR65</f>
        <v>444.73220048985979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" customHeight="1" x14ac:dyDescent="0.2">
      <c r="A628" s="251">
        <v>8620</v>
      </c>
      <c r="B628" s="250" t="s">
        <v>547</v>
      </c>
      <c r="C628" s="256">
        <f>BO86</f>
        <v>58035</v>
      </c>
      <c r="D628" s="256">
        <f>(D616/D613)*BO91</f>
        <v>0</v>
      </c>
      <c r="E628" s="258">
        <f>(E624/E613)*SUM(C628:D628)</f>
        <v>5688.1389588278107</v>
      </c>
      <c r="F628" s="258">
        <f>(F625/F613)*BO65</f>
        <v>163.06847351294857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" customHeight="1" x14ac:dyDescent="0.2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51178.689263601984</v>
      </c>
      <c r="H629" s="258">
        <f>SUM(C627:G629)</f>
        <v>409652.89153332019</v>
      </c>
      <c r="I629" s="256"/>
      <c r="J629" s="256"/>
      <c r="N629" s="252" t="s">
        <v>549</v>
      </c>
    </row>
    <row r="630" spans="1:14" s="231" customFormat="1" ht="12.6" customHeight="1" x14ac:dyDescent="0.2">
      <c r="A630" s="251">
        <v>8460</v>
      </c>
      <c r="B630" s="255" t="s">
        <v>153</v>
      </c>
      <c r="C630" s="256">
        <f>BF86</f>
        <v>263854</v>
      </c>
      <c r="D630" s="256">
        <f>(D616/D613)*BF91</f>
        <v>6124.8290489688206</v>
      </c>
      <c r="E630" s="258">
        <f>(E624/E613)*SUM(C630:D630)</f>
        <v>26461.22332337646</v>
      </c>
      <c r="F630" s="258">
        <f>(F625/F613)*BF65</f>
        <v>2180.4231496238958</v>
      </c>
      <c r="G630" s="256">
        <f>(G626/G613)*BF92</f>
        <v>0</v>
      </c>
      <c r="H630" s="258">
        <f>(H629/H613)*BF61</f>
        <v>26900.073833109494</v>
      </c>
      <c r="I630" s="256">
        <f>SUM(C630:H630)</f>
        <v>325520.54935507866</v>
      </c>
      <c r="J630" s="256"/>
      <c r="N630" s="252" t="s">
        <v>550</v>
      </c>
    </row>
    <row r="631" spans="1:14" s="231" customFormat="1" ht="12.6" customHeight="1" x14ac:dyDescent="0.2">
      <c r="A631" s="251">
        <v>8350</v>
      </c>
      <c r="B631" s="255" t="s">
        <v>551</v>
      </c>
      <c r="C631" s="256">
        <f>BA86</f>
        <v>65624</v>
      </c>
      <c r="D631" s="256">
        <f>(D616/D613)*BA91</f>
        <v>22291.528980549312</v>
      </c>
      <c r="E631" s="258">
        <f>(E624/E613)*SUM(C631:D631)</f>
        <v>8616.7958211461701</v>
      </c>
      <c r="F631" s="258">
        <f>(F625/F613)*BA65</f>
        <v>388.52299181683583</v>
      </c>
      <c r="G631" s="256">
        <f>(G626/G613)*BA92</f>
        <v>0</v>
      </c>
      <c r="H631" s="258">
        <f>(H629/H613)*BA61</f>
        <v>3970.6969691284285</v>
      </c>
      <c r="I631" s="256">
        <f>(I630/I613)*BA93</f>
        <v>0</v>
      </c>
      <c r="J631" s="256">
        <f>SUM(C631:I631)</f>
        <v>100891.54476264074</v>
      </c>
      <c r="N631" s="252" t="s">
        <v>552</v>
      </c>
    </row>
    <row r="632" spans="1:14" s="231" customFormat="1" ht="12.6" customHeight="1" x14ac:dyDescent="0.2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" customHeight="1" x14ac:dyDescent="0.2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" customHeight="1" x14ac:dyDescent="0.2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" customHeight="1" x14ac:dyDescent="0.2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" customHeight="1" x14ac:dyDescent="0.2">
      <c r="A636" s="251">
        <v>8530</v>
      </c>
      <c r="B636" s="255" t="s">
        <v>561</v>
      </c>
      <c r="C636" s="256">
        <f>BK86</f>
        <v>677566</v>
      </c>
      <c r="D636" s="256">
        <f>(D616/D613)*BK91</f>
        <v>12847.897214348548</v>
      </c>
      <c r="E636" s="258">
        <f>(E624/E613)*SUM(C636:D636)</f>
        <v>67668.996062050064</v>
      </c>
      <c r="F636" s="258">
        <f>(F625/F613)*BK65</f>
        <v>850.30325999214028</v>
      </c>
      <c r="G636" s="256">
        <f>(G626/G613)*BK92</f>
        <v>0</v>
      </c>
      <c r="H636" s="258">
        <f>(H629/H613)*BK61</f>
        <v>22929.376863981066</v>
      </c>
      <c r="I636" s="256">
        <f>(I630/I613)*BK93</f>
        <v>3412.6609388481361</v>
      </c>
      <c r="J636" s="256">
        <f>(J631/J613)*BK94</f>
        <v>0</v>
      </c>
      <c r="N636" s="252" t="s">
        <v>562</v>
      </c>
    </row>
    <row r="637" spans="1:14" s="231" customFormat="1" ht="12.6" customHeight="1" x14ac:dyDescent="0.2">
      <c r="A637" s="251">
        <v>8480</v>
      </c>
      <c r="B637" s="255" t="s">
        <v>563</v>
      </c>
      <c r="C637" s="256">
        <f>BH86</f>
        <v>742090</v>
      </c>
      <c r="D637" s="256">
        <f>(D616/D613)*BH91</f>
        <v>10312.502863845177</v>
      </c>
      <c r="E637" s="258">
        <f>(E624/E613)*SUM(C637:D637)</f>
        <v>73744.636671997781</v>
      </c>
      <c r="F637" s="258">
        <f>(F625/F613)*BH65</f>
        <v>211.98901556683316</v>
      </c>
      <c r="G637" s="256">
        <f>(G626/G613)*BH92</f>
        <v>0</v>
      </c>
      <c r="H637" s="258">
        <f>(H629/H613)*BH61</f>
        <v>6431.4105837995676</v>
      </c>
      <c r="I637" s="256">
        <f>(I630/I613)*BH93</f>
        <v>608.19699900263811</v>
      </c>
      <c r="J637" s="256">
        <f>(J631/J613)*BH94</f>
        <v>0</v>
      </c>
      <c r="N637" s="252" t="s">
        <v>564</v>
      </c>
    </row>
    <row r="638" spans="1:14" s="231" customFormat="1" ht="12.6" customHeight="1" x14ac:dyDescent="0.2">
      <c r="A638" s="251">
        <v>8560</v>
      </c>
      <c r="B638" s="255" t="s">
        <v>159</v>
      </c>
      <c r="C638" s="256">
        <f>BL86</f>
        <v>263309</v>
      </c>
      <c r="D638" s="256">
        <f>(D616/D613)*BL91</f>
        <v>14984.465487244648</v>
      </c>
      <c r="E638" s="258">
        <f>(E624/E613)*SUM(C638:D638)</f>
        <v>27276.159266394399</v>
      </c>
      <c r="F638" s="258">
        <f>(F625/F613)*BL65</f>
        <v>247.07344471658877</v>
      </c>
      <c r="G638" s="256">
        <f>(G626/G613)*BL92</f>
        <v>0</v>
      </c>
      <c r="H638" s="258">
        <f>(H629/H613)*BL61</f>
        <v>29137.08621008326</v>
      </c>
      <c r="I638" s="256">
        <f>(I630/I613)*BL93</f>
        <v>9866.3068727094633</v>
      </c>
      <c r="J638" s="256">
        <f>(J631/J613)*BL94</f>
        <v>0</v>
      </c>
      <c r="N638" s="252" t="s">
        <v>565</v>
      </c>
    </row>
    <row r="639" spans="1:14" s="231" customFormat="1" ht="12.6" customHeight="1" x14ac:dyDescent="0.2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" customHeight="1" x14ac:dyDescent="0.2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" customHeight="1" x14ac:dyDescent="0.2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" customHeight="1" x14ac:dyDescent="0.2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" customHeight="1" x14ac:dyDescent="0.2">
      <c r="A643" s="251">
        <v>8690</v>
      </c>
      <c r="B643" s="255" t="s">
        <v>574</v>
      </c>
      <c r="C643" s="256">
        <f>BV86</f>
        <v>261320</v>
      </c>
      <c r="D643" s="256">
        <f>(D616/D613)*BV91</f>
        <v>13787.987254422833</v>
      </c>
      <c r="E643" s="258">
        <f>(E624/E613)*SUM(C643:D643)</f>
        <v>26963.943485596406</v>
      </c>
      <c r="F643" s="258">
        <f>(F625/F613)*BV65</f>
        <v>144.16735499212953</v>
      </c>
      <c r="G643" s="256">
        <f>(G626/G613)*BV92</f>
        <v>0</v>
      </c>
      <c r="H643" s="258">
        <f>(H629/H613)*BV61</f>
        <v>19853.484845642142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" customHeight="1" x14ac:dyDescent="0.2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" customHeight="1" x14ac:dyDescent="0.2">
      <c r="A645" s="251">
        <v>8710</v>
      </c>
      <c r="B645" s="255" t="s">
        <v>578</v>
      </c>
      <c r="C645" s="256">
        <f>BX86</f>
        <v>237902</v>
      </c>
      <c r="D645" s="256">
        <f>(D616/D613)*BX91</f>
        <v>0</v>
      </c>
      <c r="E645" s="258">
        <f>(E624/E613)*SUM(C645:D645)</f>
        <v>23317.302224227686</v>
      </c>
      <c r="F645" s="258">
        <f>(F625/F613)*BX65</f>
        <v>45.09090366077745</v>
      </c>
      <c r="G645" s="256">
        <f>(G626/G613)*BX92</f>
        <v>0</v>
      </c>
      <c r="H645" s="258">
        <f>(H629/H613)*BX61</f>
        <v>6878.81305919432</v>
      </c>
      <c r="I645" s="256">
        <f>(I630/I613)*BX93</f>
        <v>3007.1962728463773</v>
      </c>
      <c r="J645" s="256">
        <f>(J631/J613)*BX94</f>
        <v>0</v>
      </c>
      <c r="K645" s="258">
        <f>SUM(C632:J645)</f>
        <v>2556714.0471551623</v>
      </c>
      <c r="L645" s="258"/>
      <c r="N645" s="252" t="s">
        <v>579</v>
      </c>
    </row>
    <row r="646" spans="1:14" s="231" customFormat="1" ht="12.6" customHeight="1" x14ac:dyDescent="0.2">
      <c r="A646" s="251">
        <v>8720</v>
      </c>
      <c r="B646" s="255" t="s">
        <v>580</v>
      </c>
      <c r="C646" s="256">
        <f>BY86</f>
        <v>533146</v>
      </c>
      <c r="D646" s="256">
        <f>(D616/D613)*BY91</f>
        <v>7321.3072817906368</v>
      </c>
      <c r="E646" s="258">
        <f>(E624/E613)*SUM(C646:D646)</f>
        <v>52972.398492673645</v>
      </c>
      <c r="F646" s="258">
        <f>(F625/F613)*BY65</f>
        <v>9903.9390314644606</v>
      </c>
      <c r="G646" s="256">
        <f>(G626/G613)*BY92</f>
        <v>0</v>
      </c>
      <c r="H646" s="258">
        <f>(H629/H613)*BY61</f>
        <v>21978.646603767218</v>
      </c>
      <c r="I646" s="256">
        <f>(I630/I613)*BY93</f>
        <v>3480.2383831817629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" customHeight="1" x14ac:dyDescent="0.2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" customHeight="1" x14ac:dyDescent="0.2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628802.52979287773</v>
      </c>
      <c r="N648" s="252" t="s">
        <v>585</v>
      </c>
    </row>
    <row r="649" spans="1:14" s="231" customFormat="1" ht="12.6" customHeight="1" x14ac:dyDescent="0.2">
      <c r="A649" s="251"/>
      <c r="B649" s="251"/>
      <c r="C649" s="231">
        <f>SUM(C615:C648)</f>
        <v>5905550</v>
      </c>
      <c r="L649" s="254"/>
    </row>
    <row r="667" spans="1:14" s="231" customFormat="1" ht="12.6" customHeight="1" x14ac:dyDescent="0.2">
      <c r="C667" s="249" t="s">
        <v>586</v>
      </c>
      <c r="M667" s="249" t="s">
        <v>587</v>
      </c>
    </row>
    <row r="668" spans="1:14" s="231" customFormat="1" ht="12.6" customHeight="1" x14ac:dyDescent="0.2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" customHeight="1" x14ac:dyDescent="0.2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" customHeight="1" x14ac:dyDescent="0.2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" customHeight="1" x14ac:dyDescent="0.2">
      <c r="A671" s="251">
        <v>6070</v>
      </c>
      <c r="B671" s="250" t="s">
        <v>591</v>
      </c>
      <c r="C671" s="256">
        <f>E86</f>
        <v>754784</v>
      </c>
      <c r="D671" s="256">
        <f>(D616/D613)*E91</f>
        <v>49311.99573844199</v>
      </c>
      <c r="E671" s="258">
        <f>(E624/E613)*SUM(C671:D671)</f>
        <v>78811.230464327949</v>
      </c>
      <c r="F671" s="258">
        <f>(F625/F613)*E65</f>
        <v>1512.5836285549565</v>
      </c>
      <c r="G671" s="256">
        <f>(G626/G613)*E92</f>
        <v>110859.64464680236</v>
      </c>
      <c r="H671" s="258">
        <f>(H629/H613)*E61</f>
        <v>30031.891160872765</v>
      </c>
      <c r="I671" s="256">
        <f>(I630/I613)*E93</f>
        <v>36322.876329324223</v>
      </c>
      <c r="J671" s="256">
        <f>(J631/J613)*E94</f>
        <v>11369.171231804965</v>
      </c>
      <c r="K671" s="256">
        <f>(K645/K613)*E90</f>
        <v>148578.03839661076</v>
      </c>
      <c r="L671" s="256">
        <f>(L648/L613)*E95</f>
        <v>144921.44141578343</v>
      </c>
      <c r="M671" s="231">
        <f t="shared" si="18"/>
        <v>611719</v>
      </c>
      <c r="N671" s="250" t="s">
        <v>592</v>
      </c>
    </row>
    <row r="672" spans="1:14" s="231" customFormat="1" ht="12.6" customHeight="1" x14ac:dyDescent="0.2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" customHeight="1" x14ac:dyDescent="0.2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" customHeight="1" x14ac:dyDescent="0.2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" customHeight="1" x14ac:dyDescent="0.2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" customHeight="1" x14ac:dyDescent="0.2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" customHeight="1" x14ac:dyDescent="0.2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" customHeight="1" x14ac:dyDescent="0.2">
      <c r="A678" s="251">
        <v>6210</v>
      </c>
      <c r="B678" s="250" t="s">
        <v>322</v>
      </c>
      <c r="C678" s="256">
        <f>L86</f>
        <v>1055999</v>
      </c>
      <c r="D678" s="256">
        <f>(D616/D613)*L91</f>
        <v>68982.667637572085</v>
      </c>
      <c r="E678" s="258">
        <f>(E624/E613)*SUM(C678:D678)</f>
        <v>110261.94626787893</v>
      </c>
      <c r="F678" s="258">
        <f>(F625/F613)*L65</f>
        <v>2116.3075907199409</v>
      </c>
      <c r="G678" s="256">
        <f>(G626/G613)*L92</f>
        <v>155186.99325092215</v>
      </c>
      <c r="H678" s="258">
        <f>(H629/H613)*L61</f>
        <v>41999.907377682393</v>
      </c>
      <c r="I678" s="256">
        <f>(I630/I613)*L93</f>
        <v>50818.2381388871</v>
      </c>
      <c r="J678" s="256">
        <f>(J631/J613)*L94</f>
        <v>15908.014196539967</v>
      </c>
      <c r="K678" s="256">
        <f>(K645/K613)*L90</f>
        <v>99944.901247124406</v>
      </c>
      <c r="L678" s="256">
        <f>(L648/L613)*L95</f>
        <v>202674.12011779024</v>
      </c>
      <c r="M678" s="231">
        <f t="shared" si="18"/>
        <v>747893</v>
      </c>
      <c r="N678" s="250" t="s">
        <v>603</v>
      </c>
    </row>
    <row r="679" spans="1:14" s="231" customFormat="1" ht="12.6" customHeight="1" x14ac:dyDescent="0.2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" customHeight="1" x14ac:dyDescent="0.2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" customHeight="1" x14ac:dyDescent="0.2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" customHeight="1" x14ac:dyDescent="0.2">
      <c r="A682" s="251">
        <v>7020</v>
      </c>
      <c r="B682" s="250" t="s">
        <v>610</v>
      </c>
      <c r="C682" s="256">
        <f>P86</f>
        <v>795015</v>
      </c>
      <c r="D682" s="256">
        <f>(D616/D613)*P91</f>
        <v>41933.71330270746</v>
      </c>
      <c r="E682" s="258">
        <f>(E624/E613)*SUM(C682:D682)</f>
        <v>82031.19811627359</v>
      </c>
      <c r="F682" s="258">
        <f>(F625/F613)*P65</f>
        <v>42029.787217461271</v>
      </c>
      <c r="G682" s="256">
        <f>(G626/G613)*P92</f>
        <v>0</v>
      </c>
      <c r="H682" s="258">
        <f>(H629/H613)*P61</f>
        <v>11073.211266020126</v>
      </c>
      <c r="I682" s="256">
        <f>(I630/I613)*P93</f>
        <v>12332.88359088683</v>
      </c>
      <c r="J682" s="256">
        <f>(J631/J613)*P94</f>
        <v>5219.6694094452514</v>
      </c>
      <c r="K682" s="256">
        <f>(K645/K613)*P90</f>
        <v>154751.80827915043</v>
      </c>
      <c r="L682" s="256">
        <f>(L648/L613)*P95</f>
        <v>53434.721415875458</v>
      </c>
      <c r="M682" s="231">
        <f t="shared" si="18"/>
        <v>402807</v>
      </c>
      <c r="N682" s="250" t="s">
        <v>611</v>
      </c>
    </row>
    <row r="683" spans="1:14" s="231" customFormat="1" ht="12.6" customHeight="1" x14ac:dyDescent="0.2">
      <c r="A683" s="251">
        <v>7030</v>
      </c>
      <c r="B683" s="250" t="s">
        <v>612</v>
      </c>
      <c r="C683" s="256">
        <f>Q86</f>
        <v>123040</v>
      </c>
      <c r="D683" s="256">
        <f>(D616/D613)*Q91</f>
        <v>4558.0123155116798</v>
      </c>
      <c r="E683" s="258">
        <f>(E624/E613)*SUM(C683:D683)</f>
        <v>12506.163951423327</v>
      </c>
      <c r="F683" s="258">
        <f>(F625/F613)*Q65</f>
        <v>193.82911738016389</v>
      </c>
      <c r="G683" s="256">
        <f>(G626/G613)*Q92</f>
        <v>0</v>
      </c>
      <c r="H683" s="258">
        <f>(H629/H613)*Q61</f>
        <v>6711.0371309212878</v>
      </c>
      <c r="I683" s="256">
        <f>(I630/I613)*Q93</f>
        <v>3885.7030491835212</v>
      </c>
      <c r="J683" s="256">
        <f>(J631/J613)*Q94</f>
        <v>0</v>
      </c>
      <c r="K683" s="256">
        <f>(K645/K613)*Q90</f>
        <v>9456.0205038562017</v>
      </c>
      <c r="L683" s="256">
        <f>(L648/L613)*Q95</f>
        <v>32384.679645985125</v>
      </c>
      <c r="M683" s="231">
        <f t="shared" si="18"/>
        <v>69695</v>
      </c>
      <c r="N683" s="250" t="s">
        <v>613</v>
      </c>
    </row>
    <row r="684" spans="1:14" s="231" customFormat="1" ht="12.6" customHeight="1" x14ac:dyDescent="0.2">
      <c r="A684" s="251">
        <v>7040</v>
      </c>
      <c r="B684" s="250" t="s">
        <v>118</v>
      </c>
      <c r="C684" s="256">
        <f>R86</f>
        <v>570790</v>
      </c>
      <c r="D684" s="256">
        <f>(D616/D613)*R91</f>
        <v>384.582289121298</v>
      </c>
      <c r="E684" s="258">
        <f>(E624/E613)*SUM(C684:D684)</f>
        <v>55982.086565192592</v>
      </c>
      <c r="F684" s="258">
        <f>(F625/F613)*R65</f>
        <v>541.95560098583746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94947.07732349397</v>
      </c>
      <c r="L684" s="256">
        <f>(L648/L613)*R95</f>
        <v>0</v>
      </c>
      <c r="M684" s="231">
        <f t="shared" si="18"/>
        <v>151856</v>
      </c>
      <c r="N684" s="250" t="s">
        <v>614</v>
      </c>
    </row>
    <row r="685" spans="1:14" s="231" customFormat="1" ht="12.6" customHeight="1" x14ac:dyDescent="0.2">
      <c r="A685" s="251">
        <v>7050</v>
      </c>
      <c r="B685" s="250" t="s">
        <v>615</v>
      </c>
      <c r="C685" s="256">
        <f>S86</f>
        <v>100726</v>
      </c>
      <c r="D685" s="256">
        <f>(D616/D613)*S91</f>
        <v>28544.552125891896</v>
      </c>
      <c r="E685" s="258">
        <f>(E624/E613)*SUM(C685:D685)</f>
        <v>12670.093284681088</v>
      </c>
      <c r="F685" s="258">
        <f>(F625/F613)*S65</f>
        <v>1815.8662819445692</v>
      </c>
      <c r="G685" s="256">
        <f>(G626/G613)*S92</f>
        <v>0</v>
      </c>
      <c r="H685" s="258">
        <f>(H629/H613)*S61</f>
        <v>7270.2902251647292</v>
      </c>
      <c r="I685" s="256">
        <f>(I630/I613)*S93</f>
        <v>16759.206194739363</v>
      </c>
      <c r="J685" s="256">
        <f>(J631/J613)*S94</f>
        <v>683.97841899131618</v>
      </c>
      <c r="K685" s="256">
        <f>(K645/K613)*S90</f>
        <v>208348.35926541124</v>
      </c>
      <c r="L685" s="256">
        <f>(L648/L613)*S95</f>
        <v>0</v>
      </c>
      <c r="M685" s="231">
        <f t="shared" si="18"/>
        <v>276092</v>
      </c>
      <c r="N685" s="250" t="s">
        <v>616</v>
      </c>
    </row>
    <row r="686" spans="1:14" s="231" customFormat="1" ht="12.6" customHeight="1" x14ac:dyDescent="0.2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" customHeight="1" x14ac:dyDescent="0.2">
      <c r="A687" s="251">
        <v>7070</v>
      </c>
      <c r="B687" s="250" t="s">
        <v>121</v>
      </c>
      <c r="C687" s="256">
        <f>U86</f>
        <v>1030755</v>
      </c>
      <c r="D687" s="256">
        <f>(D616/D613)*U91</f>
        <v>13645.549369563092</v>
      </c>
      <c r="E687" s="258">
        <f>(E624/E613)*SUM(C687:D687)</f>
        <v>102364.01229413596</v>
      </c>
      <c r="F687" s="258">
        <f>(F625/F613)*U65</f>
        <v>34886.646857259977</v>
      </c>
      <c r="G687" s="256">
        <f>(G626/G613)*U92</f>
        <v>0</v>
      </c>
      <c r="H687" s="258">
        <f>(H629/H613)*U61</f>
        <v>27067.849761382528</v>
      </c>
      <c r="I687" s="256">
        <f>(I630/I613)*U93</f>
        <v>12468.038479554081</v>
      </c>
      <c r="J687" s="256">
        <f>(J631/J613)*U94</f>
        <v>0</v>
      </c>
      <c r="K687" s="256">
        <f>(K645/K613)*U90</f>
        <v>260551.56972533639</v>
      </c>
      <c r="L687" s="256">
        <f>(L648/L613)*U95</f>
        <v>0</v>
      </c>
      <c r="M687" s="231">
        <f t="shared" si="18"/>
        <v>450984</v>
      </c>
      <c r="N687" s="250" t="s">
        <v>619</v>
      </c>
    </row>
    <row r="688" spans="1:14" s="231" customFormat="1" ht="12.6" customHeight="1" x14ac:dyDescent="0.2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" customHeight="1" x14ac:dyDescent="0.2">
      <c r="A689" s="251">
        <v>7120</v>
      </c>
      <c r="B689" s="250" t="s">
        <v>622</v>
      </c>
      <c r="C689" s="256">
        <f>W86</f>
        <v>88442</v>
      </c>
      <c r="D689" s="256">
        <f>(D616/D613)*W91</f>
        <v>783.40836672857006</v>
      </c>
      <c r="E689" s="258">
        <f>(E624/E613)*SUM(C689:D689)</f>
        <v>8745.1800025520752</v>
      </c>
      <c r="F689" s="258">
        <f>(F625/F613)*W65</f>
        <v>19.271728687893923</v>
      </c>
      <c r="G689" s="256">
        <f>(G626/G613)*W92</f>
        <v>0</v>
      </c>
      <c r="H689" s="258">
        <f>(H629/H613)*W61</f>
        <v>503.32778481909662</v>
      </c>
      <c r="I689" s="256">
        <f>(I630/I613)*W93</f>
        <v>574.40827683582495</v>
      </c>
      <c r="J689" s="256">
        <f>(J631/J613)*W94</f>
        <v>293.1336081391355</v>
      </c>
      <c r="K689" s="256">
        <f>(K645/K613)*W90</f>
        <v>60250.239743735481</v>
      </c>
      <c r="L689" s="256">
        <f>(L648/L613)*W95</f>
        <v>0</v>
      </c>
      <c r="M689" s="231">
        <f t="shared" si="18"/>
        <v>71169</v>
      </c>
      <c r="N689" s="250" t="s">
        <v>623</v>
      </c>
    </row>
    <row r="690" spans="1:14" s="231" customFormat="1" ht="12.6" customHeight="1" x14ac:dyDescent="0.2">
      <c r="A690" s="251">
        <v>7130</v>
      </c>
      <c r="B690" s="250" t="s">
        <v>624</v>
      </c>
      <c r="C690" s="256">
        <f>X86</f>
        <v>244079</v>
      </c>
      <c r="D690" s="256">
        <f>(D616/D613)*X91</f>
        <v>8745.686130388036</v>
      </c>
      <c r="E690" s="258">
        <f>(E624/E613)*SUM(C690:D690)</f>
        <v>24779.907761379742</v>
      </c>
      <c r="F690" s="258">
        <f>(F625/F613)*X65</f>
        <v>216.80694773880663</v>
      </c>
      <c r="G690" s="256">
        <f>(G626/G613)*X92</f>
        <v>0</v>
      </c>
      <c r="H690" s="258">
        <f>(H629/H613)*X61</f>
        <v>5872.1574895561271</v>
      </c>
      <c r="I690" s="256">
        <f>(I630/I613)*X93</f>
        <v>6217.1248786936339</v>
      </c>
      <c r="J690" s="256">
        <f>(J631/J613)*X94</f>
        <v>3249.6854837790183</v>
      </c>
      <c r="K690" s="256">
        <f>(K645/K613)*X90</f>
        <v>270839.1137299455</v>
      </c>
      <c r="L690" s="256">
        <f>(L648/L613)*X95</f>
        <v>0</v>
      </c>
      <c r="M690" s="231">
        <f t="shared" si="18"/>
        <v>319920</v>
      </c>
      <c r="N690" s="250" t="s">
        <v>625</v>
      </c>
    </row>
    <row r="691" spans="1:14" s="231" customFormat="1" ht="12.6" customHeight="1" x14ac:dyDescent="0.2">
      <c r="A691" s="251">
        <v>7140</v>
      </c>
      <c r="B691" s="250" t="s">
        <v>626</v>
      </c>
      <c r="C691" s="256">
        <f>Y86</f>
        <v>652243</v>
      </c>
      <c r="D691" s="256">
        <f>(D616/D613)*Y91</f>
        <v>28359.382875574236</v>
      </c>
      <c r="E691" s="258">
        <f>(E624/E613)*SUM(C691:D691)</f>
        <v>66707.347798838557</v>
      </c>
      <c r="F691" s="258">
        <f>(F625/F613)*Y65</f>
        <v>702.80041349633677</v>
      </c>
      <c r="G691" s="256">
        <f>(G626/G613)*Y92</f>
        <v>0</v>
      </c>
      <c r="H691" s="258">
        <f>(H629/H613)*Y61</f>
        <v>19070.530513701327</v>
      </c>
      <c r="I691" s="256">
        <f>(I630/I613)*Y93</f>
        <v>20171.867133587497</v>
      </c>
      <c r="J691" s="256">
        <f>(J631/J613)*Y94</f>
        <v>10540.201995884614</v>
      </c>
      <c r="K691" s="256">
        <f>(K645/K613)*Y90</f>
        <v>272612.14437355159</v>
      </c>
      <c r="L691" s="256">
        <f>(L648/L613)*Y95</f>
        <v>0</v>
      </c>
      <c r="M691" s="231">
        <f t="shared" si="18"/>
        <v>418164</v>
      </c>
      <c r="N691" s="250" t="s">
        <v>627</v>
      </c>
    </row>
    <row r="692" spans="1:14" s="231" customFormat="1" ht="12.6" customHeight="1" x14ac:dyDescent="0.2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" customHeight="1" x14ac:dyDescent="0.2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" customHeight="1" x14ac:dyDescent="0.2">
      <c r="A694" s="251">
        <v>7170</v>
      </c>
      <c r="B694" s="250" t="s">
        <v>127</v>
      </c>
      <c r="C694" s="256">
        <f>AB86</f>
        <v>791702</v>
      </c>
      <c r="D694" s="256">
        <f>(D616/D613)*AB91</f>
        <v>14315.007428403871</v>
      </c>
      <c r="E694" s="258">
        <f>(E624/E613)*SUM(C694:D694)</f>
        <v>78999.513077131196</v>
      </c>
      <c r="F694" s="258">
        <f>(F625/F613)*AB65</f>
        <v>55759.287930195038</v>
      </c>
      <c r="G694" s="256">
        <f>(G626/G613)*AB92</f>
        <v>0</v>
      </c>
      <c r="H694" s="258">
        <f>(H629/H613)*AB61</f>
        <v>5536.6056330100628</v>
      </c>
      <c r="I694" s="256">
        <f>(I630/I613)*AB93</f>
        <v>3007.1962728463773</v>
      </c>
      <c r="J694" s="256">
        <f>(J631/J613)*AB94</f>
        <v>0</v>
      </c>
      <c r="K694" s="256">
        <f>(K645/K613)*AB90</f>
        <v>213824.27972292822</v>
      </c>
      <c r="L694" s="256">
        <f>(L648/L613)*AB95</f>
        <v>26717.360707937729</v>
      </c>
      <c r="M694" s="231">
        <f t="shared" si="18"/>
        <v>398159</v>
      </c>
      <c r="N694" s="250" t="s">
        <v>632</v>
      </c>
    </row>
    <row r="695" spans="1:14" s="231" customFormat="1" ht="12.6" customHeight="1" x14ac:dyDescent="0.2">
      <c r="A695" s="251">
        <v>7180</v>
      </c>
      <c r="B695" s="250" t="s">
        <v>633</v>
      </c>
      <c r="C695" s="256">
        <f>AC86</f>
        <v>56400</v>
      </c>
      <c r="D695" s="256">
        <f>(D616/D613)*AC91</f>
        <v>15653.923546085427</v>
      </c>
      <c r="E695" s="258">
        <f>(E624/E613)*SUM(C695:D695)</f>
        <v>7062.1647223035925</v>
      </c>
      <c r="F695" s="258">
        <f>(F625/F613)*AC65</f>
        <v>5150.8636387290844</v>
      </c>
      <c r="G695" s="256">
        <f>(G626/G613)*AC92</f>
        <v>0</v>
      </c>
      <c r="H695" s="258">
        <f>(H629/H613)*AC61</f>
        <v>0</v>
      </c>
      <c r="I695" s="256">
        <f>(I630/I613)*AC93</f>
        <v>3345.0834945145098</v>
      </c>
      <c r="J695" s="256">
        <f>(J631/J613)*AC94</f>
        <v>0</v>
      </c>
      <c r="K695" s="256">
        <f>(K645/K613)*AC90</f>
        <v>15470.067553326167</v>
      </c>
      <c r="L695" s="256">
        <f>(L648/L613)*AC95</f>
        <v>0</v>
      </c>
      <c r="M695" s="231">
        <f t="shared" si="18"/>
        <v>46682</v>
      </c>
      <c r="N695" s="250" t="s">
        <v>634</v>
      </c>
    </row>
    <row r="696" spans="1:14" s="231" customFormat="1" ht="12.6" customHeight="1" x14ac:dyDescent="0.2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" customHeight="1" x14ac:dyDescent="0.2">
      <c r="A697" s="251">
        <v>7200</v>
      </c>
      <c r="B697" s="250" t="s">
        <v>636</v>
      </c>
      <c r="C697" s="256">
        <f>AE86</f>
        <v>165652</v>
      </c>
      <c r="D697" s="256">
        <f>(D616/D613)*AE91</f>
        <v>10454.940748704917</v>
      </c>
      <c r="E697" s="258">
        <f>(E624/E613)*SUM(C697:D697)</f>
        <v>17260.631525677425</v>
      </c>
      <c r="F697" s="258">
        <f>(F625/F613)*AE65</f>
        <v>407.1770368929383</v>
      </c>
      <c r="G697" s="256">
        <f>(G626/G613)*AE92</f>
        <v>0</v>
      </c>
      <c r="H697" s="258">
        <f>(H629/H613)*AE61</f>
        <v>5760.306870707439</v>
      </c>
      <c r="I697" s="256">
        <f>(I630/I613)*AE93</f>
        <v>4764.2098255206656</v>
      </c>
      <c r="J697" s="256">
        <f>(J631/J613)*AE94</f>
        <v>0</v>
      </c>
      <c r="K697" s="256">
        <f>(K645/K613)*AE90</f>
        <v>20631.687778252253</v>
      </c>
      <c r="L697" s="256">
        <f>(L648/L613)*AE95</f>
        <v>0</v>
      </c>
      <c r="M697" s="231">
        <f t="shared" si="18"/>
        <v>59279</v>
      </c>
      <c r="N697" s="250" t="s">
        <v>637</v>
      </c>
    </row>
    <row r="698" spans="1:14" s="231" customFormat="1" ht="12.6" customHeight="1" x14ac:dyDescent="0.2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" customHeight="1" x14ac:dyDescent="0.2">
      <c r="A699" s="251">
        <v>7230</v>
      </c>
      <c r="B699" s="250" t="s">
        <v>640</v>
      </c>
      <c r="C699" s="256">
        <f>AG86</f>
        <v>2214571</v>
      </c>
      <c r="D699" s="256">
        <f>(D616/D613)*AG91</f>
        <v>81047.15648519207</v>
      </c>
      <c r="E699" s="258">
        <f>(E624/E613)*SUM(C699:D699)</f>
        <v>224998.62273620916</v>
      </c>
      <c r="F699" s="258">
        <f>(F625/F613)*AG65</f>
        <v>7214.9151958914672</v>
      </c>
      <c r="G699" s="256">
        <f>(G626/G613)*AG92</f>
        <v>0</v>
      </c>
      <c r="H699" s="258">
        <f>(H629/H613)*AG61</f>
        <v>27291.550999079904</v>
      </c>
      <c r="I699" s="256">
        <f>(I630/I613)*AG93</f>
        <v>80079.271535347361</v>
      </c>
      <c r="J699" s="256">
        <f>(J631/J613)*AG94</f>
        <v>50734.178028037903</v>
      </c>
      <c r="K699" s="256">
        <f>(K645/K613)*AG90</f>
        <v>534211.77459480916</v>
      </c>
      <c r="L699" s="256">
        <f>(L648/L613)*AG95</f>
        <v>131697.69722700617</v>
      </c>
      <c r="M699" s="231">
        <f t="shared" si="18"/>
        <v>1137275</v>
      </c>
      <c r="N699" s="250" t="s">
        <v>641</v>
      </c>
    </row>
    <row r="700" spans="1:14" s="231" customFormat="1" ht="12.6" customHeight="1" x14ac:dyDescent="0.2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" customHeight="1" x14ac:dyDescent="0.2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" customHeight="1" x14ac:dyDescent="0.2">
      <c r="A702" s="251">
        <v>7260</v>
      </c>
      <c r="B702" s="250" t="s">
        <v>133</v>
      </c>
      <c r="C702" s="256">
        <f>AJ86</f>
        <v>2124655</v>
      </c>
      <c r="D702" s="256">
        <f>(D616/D613)*AJ91</f>
        <v>86972.57249535725</v>
      </c>
      <c r="E702" s="258">
        <f>(E624/E613)*SUM(C702:D702)</f>
        <v>216766.51947150202</v>
      </c>
      <c r="F702" s="258">
        <f>(F625/F613)*AJ65</f>
        <v>8939.9819869026887</v>
      </c>
      <c r="G702" s="256">
        <f>(G626/G613)*AJ92</f>
        <v>0</v>
      </c>
      <c r="H702" s="258">
        <f>(H629/H613)*AJ61</f>
        <v>75722.868960561857</v>
      </c>
      <c r="I702" s="256">
        <f>(I630/I613)*AJ93</f>
        <v>45175.521537029286</v>
      </c>
      <c r="J702" s="256">
        <f>(J631/J613)*AJ94</f>
        <v>0</v>
      </c>
      <c r="K702" s="256">
        <f>(K645/K613)*AJ90</f>
        <v>150179.98337472742</v>
      </c>
      <c r="L702" s="256">
        <f>(L648/L613)*AJ95</f>
        <v>0</v>
      </c>
      <c r="M702" s="231">
        <f t="shared" si="18"/>
        <v>583757</v>
      </c>
      <c r="N702" s="250" t="s">
        <v>645</v>
      </c>
    </row>
    <row r="703" spans="1:14" s="231" customFormat="1" ht="12.6" customHeight="1" x14ac:dyDescent="0.2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" customHeight="1" x14ac:dyDescent="0.2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" customHeight="1" x14ac:dyDescent="0.2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" customHeight="1" x14ac:dyDescent="0.2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" customHeight="1" x14ac:dyDescent="0.2">
      <c r="A707" s="251">
        <v>7350</v>
      </c>
      <c r="B707" s="250" t="s">
        <v>654</v>
      </c>
      <c r="C707" s="256">
        <f>AO86</f>
        <v>192155</v>
      </c>
      <c r="D707" s="256">
        <f>(D616/D613)*AO91</f>
        <v>12548.777656143095</v>
      </c>
      <c r="E707" s="258">
        <f>(E624/E613)*SUM(C707:D707)</f>
        <v>20063.470883176247</v>
      </c>
      <c r="F707" s="258">
        <f>(F625/F613)*AO65</f>
        <v>385.06396359080361</v>
      </c>
      <c r="G707" s="256">
        <f>(G626/G613)*AO92</f>
        <v>28230.825367986901</v>
      </c>
      <c r="H707" s="258">
        <f>(H629/H613)*AO61</f>
        <v>7661.7673911351376</v>
      </c>
      <c r="I707" s="256">
        <f>(I630/I613)*AO93</f>
        <v>9224.3211515400126</v>
      </c>
      <c r="J707" s="256">
        <f>(J631/J613)*AO94</f>
        <v>2893.5123900185636</v>
      </c>
      <c r="K707" s="256">
        <f>(K645/K613)*AO90</f>
        <v>42116.981542903261</v>
      </c>
      <c r="L707" s="256">
        <f>(L648/L613)*AO95</f>
        <v>36972.509262499691</v>
      </c>
      <c r="M707" s="231">
        <f t="shared" si="18"/>
        <v>160097</v>
      </c>
      <c r="N707" s="250" t="s">
        <v>655</v>
      </c>
    </row>
    <row r="708" spans="1:14" s="231" customFormat="1" ht="12.6" customHeight="1" x14ac:dyDescent="0.2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" customHeight="1" x14ac:dyDescent="0.2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" customHeight="1" x14ac:dyDescent="0.2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" customHeight="1" x14ac:dyDescent="0.2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" customHeight="1" x14ac:dyDescent="0.2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" customHeight="1" x14ac:dyDescent="0.2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" customHeight="1" x14ac:dyDescent="0.2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>
        <f>(G626/G613)*AV92</f>
        <v>0</v>
      </c>
      <c r="H714" s="258">
        <f>(H629/H613)*AV61</f>
        <v>0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0</v>
      </c>
      <c r="N714" s="252" t="s">
        <v>668</v>
      </c>
    </row>
    <row r="715" spans="1:14" s="231" customFormat="1" ht="12.6" customHeight="1" x14ac:dyDescent="0.2"/>
    <row r="716" spans="1:14" s="231" customFormat="1" ht="12.6" customHeight="1" x14ac:dyDescent="0.2">
      <c r="C716" s="253">
        <f>SUM(C615:C648)+SUM(C669:C714)</f>
        <v>16866558</v>
      </c>
      <c r="D716" s="231">
        <f>SUM(D617:D648)+SUM(D669:D714)</f>
        <v>728641</v>
      </c>
      <c r="E716" s="231">
        <f>SUM(E625:E648)+SUM(E669:E714)</f>
        <v>1505564.9679014757</v>
      </c>
      <c r="F716" s="231">
        <f>SUM(F626:F649)+SUM(F669:F714)</f>
        <v>181876.9394919989</v>
      </c>
      <c r="G716" s="231">
        <f>SUM(G627:G648)+SUM(G669:G714)</f>
        <v>345456.1525293134</v>
      </c>
      <c r="H716" s="231">
        <f>SUM(H630:H648)+SUM(H669:H714)</f>
        <v>409652.8915333203</v>
      </c>
      <c r="I716" s="231">
        <f>SUM(I631:I648)+SUM(I669:I714)</f>
        <v>325520.54935507872</v>
      </c>
      <c r="J716" s="231">
        <f>SUM(J632:J648)+SUM(J669:J714)</f>
        <v>100891.54476264073</v>
      </c>
      <c r="K716" s="231">
        <f>SUM(K669:K714)</f>
        <v>2556714.0471551623</v>
      </c>
      <c r="L716" s="231">
        <f>SUM(L669:L714)</f>
        <v>628802.52979287785</v>
      </c>
      <c r="M716" s="231">
        <f>SUM(M669:M714)</f>
        <v>5905548</v>
      </c>
      <c r="N716" s="250" t="s">
        <v>669</v>
      </c>
    </row>
    <row r="717" spans="1:14" s="231" customFormat="1" ht="12.6" customHeight="1" x14ac:dyDescent="0.2">
      <c r="C717" s="253">
        <f>CE86</f>
        <v>16866558</v>
      </c>
      <c r="D717" s="231">
        <f>D616</f>
        <v>728641</v>
      </c>
      <c r="E717" s="231">
        <f>E624</f>
        <v>1505564.967901476</v>
      </c>
      <c r="F717" s="231">
        <f>F625</f>
        <v>181876.9394919989</v>
      </c>
      <c r="G717" s="231">
        <f>G626</f>
        <v>345456.1525293134</v>
      </c>
      <c r="H717" s="231">
        <f>H629</f>
        <v>409652.89153332019</v>
      </c>
      <c r="I717" s="231">
        <f>I630</f>
        <v>325520.54935507866</v>
      </c>
      <c r="J717" s="231">
        <f>J631</f>
        <v>100891.54476264074</v>
      </c>
      <c r="K717" s="231">
        <f>K645</f>
        <v>2556714.0471551623</v>
      </c>
      <c r="L717" s="231">
        <f>L648</f>
        <v>628802.52979287773</v>
      </c>
      <c r="M717" s="231">
        <f>C649</f>
        <v>5905550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2" customWidth="1"/>
    <col min="3" max="3" width="38.77734375" style="12" bestFit="1" customWidth="1"/>
    <col min="4" max="10" width="9" style="12" customWidth="1"/>
    <col min="11" max="11" width="13.33203125" style="12" customWidth="1"/>
    <col min="12" max="12" width="12.109375" style="12" customWidth="1"/>
    <col min="13" max="14" width="9" style="12" customWidth="1"/>
    <col min="15" max="16384" width="9" style="12"/>
  </cols>
  <sheetData>
    <row r="1" spans="1:14" x14ac:dyDescent="0.2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25">
      <c r="A2" s="12" t="str">
        <f>RIGHT(data!C96,4)</f>
        <v>2022</v>
      </c>
      <c r="B2" s="225" t="str">
        <f>RIGHT(data!C97,3)</f>
        <v>023</v>
      </c>
      <c r="C2" s="12" t="str">
        <f>SUBSTITUTE(LEFT(data!C98,49),",","")</f>
        <v>Three Rivers Hospital</v>
      </c>
      <c r="D2" s="12" t="str">
        <f>LEFT(data!C99,49)</f>
        <v>507 Hospital Way P.O. Box 577</v>
      </c>
      <c r="E2" s="12" t="str">
        <f>RIGHT(data!C100,100)</f>
        <v>Brewster</v>
      </c>
      <c r="F2" s="12" t="str">
        <f>RIGHT(data!C101,100)</f>
        <v>WA</v>
      </c>
      <c r="G2" s="12" t="str">
        <f>RIGHT(data!C102,100)</f>
        <v>98812</v>
      </c>
      <c r="H2" s="12" t="str">
        <f>RIGHT(data!C103,100)</f>
        <v>Okanogan</v>
      </c>
      <c r="I2" s="12" t="str">
        <f>LEFT(data!C104,49)</f>
        <v>J. Scott Graham</v>
      </c>
      <c r="J2" s="12" t="str">
        <f>LEFT(data!C105,49)</f>
        <v>Jennifer Munson</v>
      </c>
      <c r="K2" s="12" t="str">
        <f>LEFT(data!C107,49)</f>
        <v>(509) 689-2517</v>
      </c>
      <c r="L2" s="12" t="str">
        <f>LEFT(data!C107,49)</f>
        <v>(509) 689-2517</v>
      </c>
      <c r="M2" s="12" t="str">
        <f>LEFT(data!C109,49)</f>
        <v>Jeannette Ring</v>
      </c>
      <c r="N2" s="12" t="str">
        <f>LEFT(data!C110,49)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6" width="8.6640625" style="9" customWidth="1"/>
    <col min="87" max="16384" width="8.6640625" style="9"/>
  </cols>
  <sheetData>
    <row r="1" spans="1:84" s="10" customFormat="1" ht="12.6" customHeight="1" x14ac:dyDescent="0.2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" customHeight="1" x14ac:dyDescent="0.25">
      <c r="A2" s="16" t="str">
        <f>RIGHT(data!C97,3)</f>
        <v>023</v>
      </c>
      <c r="B2" s="224" t="str">
        <f>RIGHT(data!C96,4)</f>
        <v>2022</v>
      </c>
      <c r="C2" s="16" t="s">
        <v>1122</v>
      </c>
      <c r="D2" s="223">
        <f>ROUND(data!C181,0)</f>
        <v>491197</v>
      </c>
      <c r="E2" s="223">
        <f>ROUND(data!C182,0)</f>
        <v>13195</v>
      </c>
      <c r="F2" s="223">
        <f>ROUND(data!C183,0)</f>
        <v>74716</v>
      </c>
      <c r="G2" s="223">
        <f>ROUND(data!C184,0)</f>
        <v>760809</v>
      </c>
      <c r="H2" s="223">
        <f>ROUND(data!C185,0)</f>
        <v>15543</v>
      </c>
      <c r="I2" s="223">
        <f>ROUND(data!C186,0)</f>
        <v>143787</v>
      </c>
      <c r="J2" s="223">
        <f>ROUND(data!C187+data!C188,0)</f>
        <v>2457</v>
      </c>
      <c r="K2" s="223">
        <f>ROUND(data!C191,0)</f>
        <v>0</v>
      </c>
      <c r="L2" s="223">
        <f>ROUND(data!C192,0)</f>
        <v>119784</v>
      </c>
      <c r="M2" s="223">
        <f>ROUND(data!C195,0)</f>
        <v>170981</v>
      </c>
      <c r="N2" s="223">
        <f>ROUND(data!C196,0)</f>
        <v>82627</v>
      </c>
      <c r="O2" s="223">
        <f>ROUND(data!C199,0)</f>
        <v>135197</v>
      </c>
      <c r="P2" s="223">
        <f>ROUND(data!C200,0)</f>
        <v>0</v>
      </c>
      <c r="Q2" s="223">
        <f>ROUND(data!C201,0)</f>
        <v>0</v>
      </c>
      <c r="R2" s="223">
        <f>ROUND(data!C204,0)</f>
        <v>0</v>
      </c>
      <c r="S2" s="223">
        <f>ROUND(data!C205,0)</f>
        <v>69991</v>
      </c>
      <c r="T2" s="223">
        <f>ROUND(data!B211,0)</f>
        <v>10750</v>
      </c>
      <c r="U2" s="223">
        <f>ROUND(data!C211,0)</f>
        <v>0</v>
      </c>
      <c r="V2" s="223">
        <f>ROUND(data!D211,0)</f>
        <v>0</v>
      </c>
      <c r="W2" s="223">
        <f>ROUND(data!B212,0)</f>
        <v>282766</v>
      </c>
      <c r="X2" s="223">
        <f>ROUND(data!C212,0)</f>
        <v>10182</v>
      </c>
      <c r="Y2" s="223">
        <f>ROUND(data!D212,0)</f>
        <v>0</v>
      </c>
      <c r="Z2" s="223">
        <f>ROUND(data!B213,0)</f>
        <v>3790436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1660986</v>
      </c>
      <c r="AG2" s="223">
        <f>ROUND(data!C215,0)</f>
        <v>0</v>
      </c>
      <c r="AH2" s="223">
        <f>ROUND(data!D215,0)</f>
        <v>0</v>
      </c>
      <c r="AI2" s="223">
        <f>ROUND(data!B216,0)</f>
        <v>6151770</v>
      </c>
      <c r="AJ2" s="223">
        <f>ROUND(data!C216,0)</f>
        <v>439817</v>
      </c>
      <c r="AK2" s="223">
        <f>ROUND(data!D216,0)</f>
        <v>5442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29795</v>
      </c>
      <c r="AS2" s="223">
        <f>ROUND(data!C219,0)</f>
        <v>81829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272794</v>
      </c>
      <c r="AY2" s="223">
        <f>ROUND(data!C225,0)</f>
        <v>2629</v>
      </c>
      <c r="AZ2" s="223">
        <f>ROUND(data!D225,0)</f>
        <v>0</v>
      </c>
      <c r="BA2" s="223">
        <f>ROUND(data!B226,0)</f>
        <v>3551730</v>
      </c>
      <c r="BB2" s="223">
        <f>ROUND(data!C226,0)</f>
        <v>97327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1322098</v>
      </c>
      <c r="BH2" s="223">
        <f>ROUND(data!C228,0)</f>
        <v>27811</v>
      </c>
      <c r="BI2" s="223">
        <f>ROUND(data!D228,0)</f>
        <v>0</v>
      </c>
      <c r="BJ2" s="223">
        <f>ROUND(data!B229,0)</f>
        <v>4182851</v>
      </c>
      <c r="BK2" s="223">
        <f>ROUND(data!C229,0)</f>
        <v>505555</v>
      </c>
      <c r="BL2" s="223">
        <f>ROUND(data!D229,0)</f>
        <v>5443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1119943</v>
      </c>
      <c r="BW2" s="223">
        <f>ROUND(data!C240,0)</f>
        <v>1969874</v>
      </c>
      <c r="BX2" s="223">
        <f>ROUND(data!C241,0)</f>
        <v>734514</v>
      </c>
      <c r="BY2" s="223">
        <f>ROUND(data!C242,0)</f>
        <v>0</v>
      </c>
      <c r="BZ2" s="223">
        <f>ROUND(data!C243,0)</f>
        <v>0</v>
      </c>
      <c r="CA2" s="223">
        <f>ROUND(data!C244,0)</f>
        <v>2325041</v>
      </c>
      <c r="CB2" s="223">
        <f>ROUND(data!C247,0)</f>
        <v>268</v>
      </c>
      <c r="CC2" s="223">
        <f>ROUND(data!C249,0)</f>
        <v>250297</v>
      </c>
      <c r="CD2" s="223">
        <f>ROUND(data!C250,0)</f>
        <v>138113</v>
      </c>
      <c r="CE2" s="223">
        <f>ROUND(data!C254+data!C255,0)</f>
        <v>17916</v>
      </c>
      <c r="CF2" s="223">
        <f>data!D237</f>
        <v>788596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" customHeight="1" x14ac:dyDescent="0.2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" customHeight="1" x14ac:dyDescent="0.25">
      <c r="A2" s="16" t="str">
        <f>RIGHT(data!C97,3)</f>
        <v>023</v>
      </c>
      <c r="B2" s="16" t="str">
        <f>RIGHT(data!C96,4)</f>
        <v>2022</v>
      </c>
      <c r="C2" s="16" t="s">
        <v>1122</v>
      </c>
      <c r="D2" s="222">
        <f>ROUND(data!C127,0)</f>
        <v>111</v>
      </c>
      <c r="E2" s="222">
        <f>ROUND(data!C128,0)</f>
        <v>36</v>
      </c>
      <c r="F2" s="222">
        <f>ROUND(data!C129,0)</f>
        <v>0</v>
      </c>
      <c r="G2" s="222">
        <f>ROUND(data!C130,0)</f>
        <v>0</v>
      </c>
      <c r="H2" s="222">
        <f>ROUND(data!D127,0)</f>
        <v>440</v>
      </c>
      <c r="I2" s="222">
        <f>ROUND(data!D128,0)</f>
        <v>585</v>
      </c>
      <c r="J2" s="222">
        <f>ROUND(data!D129,0)</f>
        <v>0</v>
      </c>
      <c r="K2" s="222">
        <f>ROUND(data!D130,0)</f>
        <v>0</v>
      </c>
      <c r="L2" s="222">
        <f>ROUND(data!C132,0)</f>
        <v>2</v>
      </c>
      <c r="M2" s="222">
        <f>ROUND(data!C133,0)</f>
        <v>0</v>
      </c>
      <c r="N2" s="222">
        <f>ROUND(data!C134,0)</f>
        <v>18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5</v>
      </c>
      <c r="U2" s="222">
        <f>ROUND(data!C141,0)</f>
        <v>0</v>
      </c>
      <c r="V2" s="222">
        <f>ROUND(data!C142,0)</f>
        <v>0</v>
      </c>
      <c r="W2" s="222">
        <f>ROUND(data!C144,0)</f>
        <v>25</v>
      </c>
      <c r="X2" s="222">
        <f>ROUND(data!C145,0)</f>
        <v>6</v>
      </c>
      <c r="Y2" s="222">
        <f>ROUND(data!B154,0)</f>
        <v>47</v>
      </c>
      <c r="Z2" s="222">
        <f>ROUND(data!B155,0)</f>
        <v>187</v>
      </c>
      <c r="AA2" s="222">
        <f>ROUND(data!B156,0)</f>
        <v>0</v>
      </c>
      <c r="AB2" s="222">
        <f>ROUND(data!B157,0)</f>
        <v>1216258</v>
      </c>
      <c r="AC2" s="222">
        <f>ROUND(data!B158,0)</f>
        <v>7811306</v>
      </c>
      <c r="AD2" s="222">
        <f>ROUND(data!C154,0)</f>
        <v>30</v>
      </c>
      <c r="AE2" s="222">
        <f>ROUND(data!C155,0)</f>
        <v>120</v>
      </c>
      <c r="AF2" s="222">
        <f>ROUND(data!C156,0)</f>
        <v>0</v>
      </c>
      <c r="AG2" s="222">
        <f>ROUND(data!C157,0)</f>
        <v>780486</v>
      </c>
      <c r="AH2" s="222">
        <f>ROUND(data!C158,0)</f>
        <v>5012603</v>
      </c>
      <c r="AI2" s="222">
        <f>ROUND(data!D154,0)</f>
        <v>34</v>
      </c>
      <c r="AJ2" s="222">
        <f>ROUND(data!D155,0)</f>
        <v>133</v>
      </c>
      <c r="AK2" s="222">
        <f>ROUND(data!D156,0)</f>
        <v>0</v>
      </c>
      <c r="AL2" s="222">
        <f>ROUND(data!D157,0)</f>
        <v>865039</v>
      </c>
      <c r="AM2" s="222">
        <f>ROUND(data!D158,0)</f>
        <v>5555635</v>
      </c>
      <c r="AN2" s="222">
        <f>ROUND(data!B160,0)</f>
        <v>25</v>
      </c>
      <c r="AO2" s="222">
        <f>ROUND(data!B161,0)</f>
        <v>411</v>
      </c>
      <c r="AP2" s="222">
        <f>ROUND(data!B162,0)</f>
        <v>0</v>
      </c>
      <c r="AQ2" s="222">
        <f>ROUND(data!B163,0)</f>
        <v>573023</v>
      </c>
      <c r="AR2" s="222">
        <f>ROUND(data!B164,0)</f>
        <v>0</v>
      </c>
      <c r="AS2" s="222">
        <f>ROUND(data!C160,0)</f>
        <v>5</v>
      </c>
      <c r="AT2" s="222">
        <f>ROUND(data!C161,0)</f>
        <v>78</v>
      </c>
      <c r="AU2" s="222">
        <f>ROUND(data!C162,0)</f>
        <v>0</v>
      </c>
      <c r="AV2" s="222">
        <f>ROUND(data!C163,0)</f>
        <v>108749</v>
      </c>
      <c r="AW2" s="222">
        <f>ROUND(data!C164,0)</f>
        <v>0</v>
      </c>
      <c r="AX2" s="222">
        <f>ROUND(data!D160,0)</f>
        <v>6</v>
      </c>
      <c r="AY2" s="222">
        <f>ROUND(data!D161,0)</f>
        <v>96</v>
      </c>
      <c r="AZ2" s="222">
        <f>ROUND(data!D162,0)</f>
        <v>0</v>
      </c>
      <c r="BA2" s="222">
        <f>ROUND(data!D163,0)</f>
        <v>133845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3072457</v>
      </c>
      <c r="BS2" s="222">
        <f>ROUND(data!C173,0)</f>
        <v>971850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2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2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" customHeight="1" x14ac:dyDescent="0.25">
      <c r="A2" s="223" t="str">
        <f>RIGHT(data!C97,3)</f>
        <v>023</v>
      </c>
      <c r="B2" s="224" t="str">
        <f>RIGHT(data!C96,4)</f>
        <v>2022</v>
      </c>
      <c r="C2" s="16" t="s">
        <v>1122</v>
      </c>
      <c r="D2" s="222">
        <f>ROUND(data!C266,0)</f>
        <v>5031081</v>
      </c>
      <c r="E2" s="222">
        <f>ROUND(data!C267,0)</f>
        <v>0</v>
      </c>
      <c r="F2" s="222">
        <f>ROUND(data!C268,0)</f>
        <v>7310255</v>
      </c>
      <c r="G2" s="222">
        <f>ROUND(data!C269,0)</f>
        <v>3377000</v>
      </c>
      <c r="H2" s="222">
        <f>ROUND(data!C270,0)</f>
        <v>0</v>
      </c>
      <c r="I2" s="222">
        <f>ROUND(data!C271,0)</f>
        <v>132531</v>
      </c>
      <c r="J2" s="222">
        <f>ROUND(data!C272,0)</f>
        <v>0</v>
      </c>
      <c r="K2" s="222">
        <f>ROUND(data!C273,0)</f>
        <v>243206</v>
      </c>
      <c r="L2" s="222">
        <f>ROUND(data!C274,0)</f>
        <v>263050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10750</v>
      </c>
      <c r="R2" s="222">
        <f>ROUND(data!C284,0)</f>
        <v>292948</v>
      </c>
      <c r="S2" s="222">
        <f>ROUND(data!C285,0)</f>
        <v>3790436</v>
      </c>
      <c r="T2" s="222">
        <f>ROUND(data!C286,0)</f>
        <v>0</v>
      </c>
      <c r="U2" s="222">
        <f>ROUND(data!C287,0)</f>
        <v>1660986</v>
      </c>
      <c r="V2" s="222">
        <f>ROUND(data!C288,0)</f>
        <v>6586145</v>
      </c>
      <c r="W2" s="222">
        <f>ROUND(data!C289,0)</f>
        <v>0</v>
      </c>
      <c r="X2" s="222">
        <f>ROUND(data!C290,0)</f>
        <v>111624</v>
      </c>
      <c r="Y2" s="222">
        <f>ROUND(data!C291,0)</f>
        <v>0</v>
      </c>
      <c r="Z2" s="222">
        <f>ROUND(data!C292,0)</f>
        <v>9957352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1299455</v>
      </c>
      <c r="AK2" s="222">
        <f>ROUND(data!C316,0)</f>
        <v>433970</v>
      </c>
      <c r="AL2" s="222">
        <f>ROUND(data!C317,0)</f>
        <v>0</v>
      </c>
      <c r="AM2" s="222">
        <f>ROUND(data!C318,0)</f>
        <v>0</v>
      </c>
      <c r="AN2" s="222">
        <f>ROUND(data!C319,0)</f>
        <v>234228</v>
      </c>
      <c r="AO2" s="222">
        <f>ROUND(data!C320,0)</f>
        <v>0</v>
      </c>
      <c r="AP2" s="222">
        <f>ROUND(data!C321,0)</f>
        <v>0</v>
      </c>
      <c r="AQ2" s="222">
        <f>ROUND(data!C322,0)</f>
        <v>-3112</v>
      </c>
      <c r="AR2" s="222">
        <f>ROUND(data!C323,0)</f>
        <v>250964</v>
      </c>
      <c r="AS2" s="222">
        <f>ROUND(data!C326,0)</f>
        <v>0</v>
      </c>
      <c r="AT2" s="222">
        <f>ROUND(data!C327,0)</f>
        <v>795258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628552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8710309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93.08</v>
      </c>
      <c r="BL2" s="222">
        <f>ROUND(data!C358,0)</f>
        <v>3677399</v>
      </c>
      <c r="BM2" s="222">
        <f>ROUND(data!C359,0)</f>
        <v>18379543</v>
      </c>
      <c r="BN2" s="222">
        <f>ROUND(data!C363,0)</f>
        <v>6149372</v>
      </c>
      <c r="BO2" s="222">
        <f>ROUND(data!C364,0)</f>
        <v>388410</v>
      </c>
      <c r="BP2" s="222">
        <f>ROUND(data!C365,0)</f>
        <v>17916</v>
      </c>
      <c r="BQ2" s="222">
        <f>ROUND(data!D381,0)</f>
        <v>663076</v>
      </c>
      <c r="BR2" s="222">
        <f>ROUND(data!C370,0)</f>
        <v>257834</v>
      </c>
      <c r="BS2" s="222">
        <f>ROUND(data!C371,0)</f>
        <v>302408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102834</v>
      </c>
      <c r="CC2" s="222">
        <f>ROUND(data!C382,0)</f>
        <v>0</v>
      </c>
      <c r="CD2" s="222">
        <f>ROUND(data!C389,0)</f>
        <v>6745155</v>
      </c>
      <c r="CE2" s="222">
        <f>ROUND(data!C390,0)</f>
        <v>1501704</v>
      </c>
      <c r="CF2" s="222">
        <f>ROUND(data!C391,0)</f>
        <v>4279613</v>
      </c>
      <c r="CG2" s="222">
        <f>ROUND(data!C392,0)</f>
        <v>1704651</v>
      </c>
      <c r="CH2" s="222">
        <f>ROUND(data!C393,0)</f>
        <v>222985</v>
      </c>
      <c r="CI2" s="222">
        <f>ROUND(data!C394,0)</f>
        <v>1674989</v>
      </c>
      <c r="CJ2" s="222">
        <f>ROUND(data!C395,0)</f>
        <v>633323</v>
      </c>
      <c r="CK2" s="222">
        <f>ROUND(data!C396,0)</f>
        <v>119784</v>
      </c>
      <c r="CL2" s="222">
        <f>ROUND(data!C397,0)</f>
        <v>253608</v>
      </c>
      <c r="CM2" s="222">
        <f>ROUND(data!C398,0)</f>
        <v>135197</v>
      </c>
      <c r="CN2" s="222">
        <f>ROUND(data!C399,0)</f>
        <v>69991</v>
      </c>
      <c r="CO2" s="222">
        <f>ROUND(data!C362,0)</f>
        <v>788596</v>
      </c>
      <c r="CP2" s="222">
        <f>ROUND(data!D415,0)</f>
        <v>970469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625881</v>
      </c>
      <c r="CY2" s="65">
        <f>ROUND(data!C409,0)</f>
        <v>0</v>
      </c>
      <c r="CZ2" s="65">
        <f>ROUND(data!C410,0)</f>
        <v>79663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264925</v>
      </c>
      <c r="DE2" s="65">
        <f>ROUND(data!C419,0)</f>
        <v>1825200</v>
      </c>
      <c r="DF2" s="222">
        <f>ROUND(data!D420,0)</f>
        <v>4500134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39" width="8.6640625" style="9" customWidth="1"/>
    <col min="40" max="16384" width="8.6640625" style="9"/>
  </cols>
  <sheetData>
    <row r="1" spans="1:89" s="10" customFormat="1" ht="12.6" customHeight="1" x14ac:dyDescent="0.2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" customHeight="1" x14ac:dyDescent="0.25">
      <c r="A2" s="16" t="str">
        <f>RIGHT(data!$C$97,3)</f>
        <v>023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" customHeight="1" x14ac:dyDescent="0.25">
      <c r="A3" s="16" t="str">
        <f>RIGHT(data!$C$97,3)</f>
        <v>023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" customHeight="1" x14ac:dyDescent="0.25">
      <c r="A4" s="16" t="str">
        <f>RIGHT(data!$C$97,3)</f>
        <v>023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440</v>
      </c>
      <c r="F4" s="212">
        <f>ROUND(data!E60,2)</f>
        <v>5.17</v>
      </c>
      <c r="G4" s="222">
        <f>ROUND(data!E61,0)</f>
        <v>472328</v>
      </c>
      <c r="H4" s="222">
        <f>ROUND(data!E62,0)</f>
        <v>105156</v>
      </c>
      <c r="I4" s="222">
        <f>ROUND(data!E63,0)</f>
        <v>363053</v>
      </c>
      <c r="J4" s="222">
        <f>ROUND(data!E64,0)</f>
        <v>18452</v>
      </c>
      <c r="K4" s="222">
        <f>ROUND(data!E65,0)</f>
        <v>1689</v>
      </c>
      <c r="L4" s="222">
        <f>ROUND(data!E66,0)</f>
        <v>14770</v>
      </c>
      <c r="M4" s="66">
        <f>ROUND(data!E67,0)</f>
        <v>40305</v>
      </c>
      <c r="N4" s="222">
        <f>ROUND(data!E68,0)</f>
        <v>12591</v>
      </c>
      <c r="O4" s="222">
        <f>ROUND(data!E69,0)</f>
        <v>29747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29747</v>
      </c>
      <c r="AD4" s="222">
        <f>ROUND(data!E84,0)</f>
        <v>0</v>
      </c>
      <c r="AE4" s="222">
        <f>ROUND(data!E89,0)</f>
        <v>1362437</v>
      </c>
      <c r="AF4" s="222">
        <f>ROUND(data!E87,0)</f>
        <v>1302123</v>
      </c>
      <c r="AG4" s="222">
        <f>IF(data!E90&gt;0,ROUND(data!E90,0),0)</f>
        <v>3542</v>
      </c>
      <c r="AH4" s="222">
        <f>IF(data!E91&gt;0,ROUND(data!E91,0),0)</f>
        <v>1330</v>
      </c>
      <c r="AI4" s="222">
        <f>IF(data!E92&gt;0,ROUND(data!E92,0),0)</f>
        <v>1113</v>
      </c>
      <c r="AJ4" s="222">
        <f>IF(data!E93&gt;0,ROUND(data!E93,0),0)</f>
        <v>5460</v>
      </c>
      <c r="AK4" s="212">
        <f>IF(data!E94&gt;0,ROUND(data!E94,2),0)</f>
        <v>5.17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" customHeight="1" x14ac:dyDescent="0.25">
      <c r="A5" s="16" t="str">
        <f>RIGHT(data!$C$97,3)</f>
        <v>023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" customHeight="1" x14ac:dyDescent="0.25">
      <c r="A6" s="16" t="str">
        <f>RIGHT(data!$C$97,3)</f>
        <v>023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" customHeight="1" x14ac:dyDescent="0.25">
      <c r="A7" s="16" t="str">
        <f>RIGHT(data!$C$97,3)</f>
        <v>023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" customHeight="1" x14ac:dyDescent="0.25">
      <c r="A8" s="16" t="str">
        <f>RIGHT(data!$C$97,3)</f>
        <v>023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" customHeight="1" x14ac:dyDescent="0.25">
      <c r="A9" s="16" t="str">
        <f>RIGHT(data!$C$97,3)</f>
        <v>023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" customHeight="1" x14ac:dyDescent="0.25">
      <c r="A10" s="16" t="str">
        <f>RIGHT(data!$C$97,3)</f>
        <v>023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" customHeight="1" x14ac:dyDescent="0.25">
      <c r="A11" s="16" t="str">
        <f>RIGHT(data!$C$97,3)</f>
        <v>023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585</v>
      </c>
      <c r="F11" s="212">
        <f>ROUND(data!L60,2)</f>
        <v>6.88</v>
      </c>
      <c r="G11" s="222">
        <f>ROUND(data!L61,0)</f>
        <v>627982</v>
      </c>
      <c r="H11" s="222">
        <f>ROUND(data!L62,0)</f>
        <v>139810</v>
      </c>
      <c r="I11" s="222">
        <f>ROUND(data!L63,0)</f>
        <v>482696</v>
      </c>
      <c r="J11" s="222">
        <f>ROUND(data!L64,0)</f>
        <v>24533</v>
      </c>
      <c r="K11" s="222">
        <f>ROUND(data!L65,0)</f>
        <v>2246</v>
      </c>
      <c r="L11" s="222">
        <f>ROUND(data!L66,0)</f>
        <v>19637</v>
      </c>
      <c r="M11" s="66">
        <f>ROUND(data!L67,0)</f>
        <v>53584</v>
      </c>
      <c r="N11" s="222">
        <f>ROUND(data!L68,0)</f>
        <v>16741</v>
      </c>
      <c r="O11" s="222">
        <f>ROUND(data!L69,0)</f>
        <v>39550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39550</v>
      </c>
      <c r="AD11" s="222">
        <f>ROUND(data!L84,0)</f>
        <v>0</v>
      </c>
      <c r="AE11" s="222">
        <f>ROUND(data!L89,0)</f>
        <v>815616</v>
      </c>
      <c r="AF11" s="222">
        <f>ROUND(data!L87,0)</f>
        <v>815616</v>
      </c>
      <c r="AG11" s="222">
        <f>IF(data!L90&gt;0,ROUND(data!L90,0),0)</f>
        <v>4709</v>
      </c>
      <c r="AH11" s="222">
        <f>IF(data!L91&gt;0,ROUND(data!L91,0),0)</f>
        <v>1768</v>
      </c>
      <c r="AI11" s="222">
        <f>IF(data!L92&gt;0,ROUND(data!L92,0),0)</f>
        <v>1480</v>
      </c>
      <c r="AJ11" s="222">
        <f>IF(data!L93&gt;0,ROUND(data!L93,0),0)</f>
        <v>7259</v>
      </c>
      <c r="AK11" s="212">
        <f>IF(data!L94&gt;0,ROUND(data!L94,2),0)</f>
        <v>6.88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" customHeight="1" x14ac:dyDescent="0.25">
      <c r="A12" s="16" t="str">
        <f>RIGHT(data!$C$97,3)</f>
        <v>023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" customHeight="1" x14ac:dyDescent="0.25">
      <c r="A13" s="16" t="str">
        <f>RIGHT(data!$C$97,3)</f>
        <v>023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" customHeight="1" x14ac:dyDescent="0.25">
      <c r="A14" s="16" t="str">
        <f>RIGHT(data!$C$97,3)</f>
        <v>023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" customHeight="1" x14ac:dyDescent="0.25">
      <c r="A15" s="16" t="str">
        <f>RIGHT(data!$C$97,3)</f>
        <v>023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15425</v>
      </c>
      <c r="F15" s="212">
        <f>ROUND(data!P60,2)</f>
        <v>1.39</v>
      </c>
      <c r="G15" s="222">
        <f>ROUND(data!P61,0)</f>
        <v>104905</v>
      </c>
      <c r="H15" s="222">
        <f>ROUND(data!P62,0)</f>
        <v>23355</v>
      </c>
      <c r="I15" s="222">
        <f>ROUND(data!P63,0)</f>
        <v>227758</v>
      </c>
      <c r="J15" s="222">
        <f>ROUND(data!P64,0)</f>
        <v>485231</v>
      </c>
      <c r="K15" s="222">
        <f>ROUND(data!P65,0)</f>
        <v>0</v>
      </c>
      <c r="L15" s="222">
        <f>ROUND(data!P66,0)</f>
        <v>0</v>
      </c>
      <c r="M15" s="66">
        <f>ROUND(data!P67,0)</f>
        <v>40999</v>
      </c>
      <c r="N15" s="222">
        <f>ROUND(data!P68,0)</f>
        <v>49826</v>
      </c>
      <c r="O15" s="222">
        <f>ROUND(data!P69,0)</f>
        <v>6217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6217</v>
      </c>
      <c r="AD15" s="222">
        <f>ROUND(data!P84,0)</f>
        <v>0</v>
      </c>
      <c r="AE15" s="222">
        <f>ROUND(data!P89,0)</f>
        <v>1689493</v>
      </c>
      <c r="AF15" s="222">
        <f>ROUND(data!P87,0)</f>
        <v>140610</v>
      </c>
      <c r="AG15" s="222">
        <f>IF(data!P90&gt;0,ROUND(data!P90,0),0)</f>
        <v>3603</v>
      </c>
      <c r="AH15" s="222">
        <f>IF(data!P91&gt;0,ROUND(data!P91,0),0)</f>
        <v>0</v>
      </c>
      <c r="AI15" s="222">
        <f>IF(data!P92&gt;0,ROUND(data!P92,0),0)</f>
        <v>312</v>
      </c>
      <c r="AJ15" s="222">
        <f>IF(data!P93&gt;0,ROUND(data!P93,0),0)</f>
        <v>4198</v>
      </c>
      <c r="AK15" s="212">
        <f>IF(data!P94&gt;0,ROUND(data!P94,2),0)</f>
        <v>2.89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" customHeight="1" x14ac:dyDescent="0.25">
      <c r="A16" s="16" t="str">
        <f>RIGHT(data!$C$97,3)</f>
        <v>023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10314</v>
      </c>
      <c r="F16" s="212">
        <f>ROUND(data!Q60,2)</f>
        <v>1.5</v>
      </c>
      <c r="G16" s="222">
        <f>ROUND(data!Q61,0)</f>
        <v>114048</v>
      </c>
      <c r="H16" s="222">
        <f>ROUND(data!Q62,0)</f>
        <v>25391</v>
      </c>
      <c r="I16" s="222">
        <f>ROUND(data!Q63,0)</f>
        <v>0</v>
      </c>
      <c r="J16" s="222">
        <f>ROUND(data!Q64,0)</f>
        <v>1747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96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96</v>
      </c>
      <c r="AD16" s="222">
        <f>ROUND(data!Q84,0)</f>
        <v>0</v>
      </c>
      <c r="AE16" s="222">
        <f>ROUND(data!Q89,0)</f>
        <v>73112</v>
      </c>
      <c r="AF16" s="222">
        <f>ROUND(data!Q87,0)</f>
        <v>-319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97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" customHeight="1" x14ac:dyDescent="0.25">
      <c r="A17" s="16" t="str">
        <f>RIGHT(data!$C$97,3)</f>
        <v>023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14759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565966</v>
      </c>
      <c r="J17" s="222">
        <f>ROUND(data!R64,0)</f>
        <v>7413</v>
      </c>
      <c r="K17" s="222">
        <f>ROUND(data!R65,0)</f>
        <v>0</v>
      </c>
      <c r="L17" s="222">
        <f>ROUND(data!R66,0)</f>
        <v>0</v>
      </c>
      <c r="M17" s="66">
        <f>ROUND(data!R67,0)</f>
        <v>307</v>
      </c>
      <c r="N17" s="222">
        <f>ROUND(data!R68,0)</f>
        <v>0</v>
      </c>
      <c r="O17" s="222">
        <f>ROUND(data!R69,0)</f>
        <v>9893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9893</v>
      </c>
      <c r="AD17" s="222">
        <f>ROUND(data!R84,0)</f>
        <v>0</v>
      </c>
      <c r="AE17" s="222">
        <f>ROUND(data!R89,0)</f>
        <v>776211</v>
      </c>
      <c r="AF17" s="222">
        <f>ROUND(data!R87,0)</f>
        <v>68060</v>
      </c>
      <c r="AG17" s="222">
        <f>IF(data!R90&gt;0,ROUND(data!R90,0),0)</f>
        <v>27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" customHeight="1" x14ac:dyDescent="0.25">
      <c r="A18" s="16" t="str">
        <f>RIGHT(data!$C$97,3)</f>
        <v>023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1.85</v>
      </c>
      <c r="G18" s="222">
        <f>ROUND(data!S61,0)</f>
        <v>60378</v>
      </c>
      <c r="H18" s="222">
        <f>ROUND(data!S62,0)</f>
        <v>13442</v>
      </c>
      <c r="I18" s="222">
        <f>ROUND(data!S63,0)</f>
        <v>0</v>
      </c>
      <c r="J18" s="222">
        <f>ROUND(data!S64,0)</f>
        <v>9017</v>
      </c>
      <c r="K18" s="222">
        <f>ROUND(data!S65,0)</f>
        <v>0</v>
      </c>
      <c r="L18" s="222">
        <f>ROUND(data!S66,0)</f>
        <v>0</v>
      </c>
      <c r="M18" s="66">
        <f>ROUND(data!S67,0)</f>
        <v>22804</v>
      </c>
      <c r="N18" s="222">
        <f>ROUND(data!S68,0)</f>
        <v>0</v>
      </c>
      <c r="O18" s="222">
        <f>ROUND(data!S69,0)</f>
        <v>4553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4553</v>
      </c>
      <c r="AD18" s="222">
        <f>ROUND(data!S84,0)</f>
        <v>10113</v>
      </c>
      <c r="AE18" s="222">
        <f>ROUND(data!S89,0)</f>
        <v>2446167</v>
      </c>
      <c r="AF18" s="222">
        <f>ROUND(data!S87,0)</f>
        <v>430419</v>
      </c>
      <c r="AG18" s="222">
        <f>IF(data!S90&gt;0,ROUND(data!S90,0),0)</f>
        <v>2004</v>
      </c>
      <c r="AH18" s="222">
        <f>IF(data!S91&gt;0,ROUND(data!S91,0),0)</f>
        <v>0</v>
      </c>
      <c r="AI18" s="222">
        <f>IF(data!S92&gt;0,ROUND(data!S92,0),0)</f>
        <v>484</v>
      </c>
      <c r="AJ18" s="222">
        <f>IF(data!S93&gt;0,ROUND(data!S93,0),0)</f>
        <v>355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" customHeight="1" x14ac:dyDescent="0.25">
      <c r="A19" s="16" t="str">
        <f>RIGHT(data!$C$97,3)</f>
        <v>023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" customHeight="1" x14ac:dyDescent="0.25">
      <c r="A20" s="16" t="str">
        <f>RIGHT(data!$C$97,3)</f>
        <v>023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22964</v>
      </c>
      <c r="F20" s="212">
        <f>ROUND(data!U60,2)</f>
        <v>4.46</v>
      </c>
      <c r="G20" s="222">
        <f>ROUND(data!U61,0)</f>
        <v>314726</v>
      </c>
      <c r="H20" s="222">
        <f>ROUND(data!U62,0)</f>
        <v>70069</v>
      </c>
      <c r="I20" s="222">
        <f>ROUND(data!U63,0)</f>
        <v>160642</v>
      </c>
      <c r="J20" s="222">
        <f>ROUND(data!U64,0)</f>
        <v>285930</v>
      </c>
      <c r="K20" s="222">
        <f>ROUND(data!U65,0)</f>
        <v>0</v>
      </c>
      <c r="L20" s="222">
        <f>ROUND(data!U66,0)</f>
        <v>89290</v>
      </c>
      <c r="M20" s="66">
        <f>ROUND(data!U67,0)</f>
        <v>14190</v>
      </c>
      <c r="N20" s="222">
        <f>ROUND(data!U68,0)</f>
        <v>0</v>
      </c>
      <c r="O20" s="222">
        <f>ROUND(data!U69,0)</f>
        <v>88015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88015</v>
      </c>
      <c r="AD20" s="222">
        <f>ROUND(data!U84,0)</f>
        <v>0</v>
      </c>
      <c r="AE20" s="222">
        <f>ROUND(data!U89,0)</f>
        <v>2235813</v>
      </c>
      <c r="AF20" s="222">
        <f>ROUND(data!U87,0)</f>
        <v>132308</v>
      </c>
      <c r="AG20" s="222">
        <f>IF(data!U90&gt;0,ROUND(data!U90,0),0)</f>
        <v>1247</v>
      </c>
      <c r="AH20" s="222">
        <f>IF(data!U91&gt;0,ROUND(data!U91,0),0)</f>
        <v>0</v>
      </c>
      <c r="AI20" s="222">
        <f>IF(data!U92&gt;0,ROUND(data!U92,0),0)</f>
        <v>356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" customHeight="1" x14ac:dyDescent="0.25">
      <c r="A21" s="16" t="str">
        <f>RIGHT(data!$C$97,3)</f>
        <v>023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" customHeight="1" x14ac:dyDescent="0.25">
      <c r="A22" s="16" t="str">
        <f>RIGHT(data!$C$97,3)</f>
        <v>023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109</v>
      </c>
      <c r="F22" s="212">
        <f>ROUND(data!W60,2)</f>
        <v>0.08</v>
      </c>
      <c r="G22" s="222">
        <f>ROUND(data!W61,0)</f>
        <v>7261</v>
      </c>
      <c r="H22" s="222">
        <f>ROUND(data!W62,0)</f>
        <v>1617</v>
      </c>
      <c r="I22" s="222">
        <f>ROUND(data!W63,0)</f>
        <v>5162</v>
      </c>
      <c r="J22" s="222">
        <f>ROUND(data!W64,0)</f>
        <v>189</v>
      </c>
      <c r="K22" s="222">
        <f>ROUND(data!W65,0)</f>
        <v>51</v>
      </c>
      <c r="L22" s="222">
        <f>ROUND(data!W66,0)</f>
        <v>63095</v>
      </c>
      <c r="M22" s="66">
        <f>ROUND(data!W67,0)</f>
        <v>580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428222</v>
      </c>
      <c r="AF22" s="222">
        <f>ROUND(data!W87,0)</f>
        <v>15086</v>
      </c>
      <c r="AG22" s="222">
        <f>IF(data!W90&gt;0,ROUND(data!W90,0),0)</f>
        <v>51</v>
      </c>
      <c r="AH22" s="222">
        <f>IF(data!W91&gt;0,ROUND(data!W91,0),0)</f>
        <v>0</v>
      </c>
      <c r="AI22" s="222">
        <f>IF(data!W92&gt;0,ROUND(data!W92,0),0)</f>
        <v>17</v>
      </c>
      <c r="AJ22" s="222">
        <f>IF(data!W93&gt;0,ROUND(data!W93,0),0)</f>
        <v>122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" customHeight="1" x14ac:dyDescent="0.25">
      <c r="A23" s="16" t="str">
        <f>RIGHT(data!$C$97,3)</f>
        <v>023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1389</v>
      </c>
      <c r="F23" s="212">
        <f>ROUND(data!X60,2)</f>
        <v>1.03</v>
      </c>
      <c r="G23" s="222">
        <f>ROUND(data!X61,0)</f>
        <v>92526</v>
      </c>
      <c r="H23" s="222">
        <f>ROUND(data!X62,0)</f>
        <v>20599</v>
      </c>
      <c r="I23" s="222">
        <f>ROUND(data!X63,0)</f>
        <v>65786</v>
      </c>
      <c r="J23" s="222">
        <f>ROUND(data!X64,0)</f>
        <v>2422</v>
      </c>
      <c r="K23" s="222">
        <f>ROUND(data!X65,0)</f>
        <v>638</v>
      </c>
      <c r="L23" s="222">
        <f>ROUND(data!X66,0)</f>
        <v>0</v>
      </c>
      <c r="M23" s="66">
        <f>ROUND(data!X67,0)</f>
        <v>7465</v>
      </c>
      <c r="N23" s="222">
        <f>ROUND(data!X68,0)</f>
        <v>0</v>
      </c>
      <c r="O23" s="222">
        <f>ROUND(data!X69,0)</f>
        <v>81034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81034</v>
      </c>
      <c r="AD23" s="222">
        <f>ROUND(data!X84,0)</f>
        <v>0</v>
      </c>
      <c r="AE23" s="222">
        <f>ROUND(data!X89,0)</f>
        <v>2186455</v>
      </c>
      <c r="AF23" s="222">
        <f>ROUND(data!X87,0)</f>
        <v>87881</v>
      </c>
      <c r="AG23" s="222">
        <f>IF(data!X90&gt;0,ROUND(data!X90,0),0)</f>
        <v>656</v>
      </c>
      <c r="AH23" s="222">
        <f>IF(data!X91&gt;0,ROUND(data!X91,0),0)</f>
        <v>0</v>
      </c>
      <c r="AI23" s="222">
        <f>IF(data!X92&gt;0,ROUND(data!X92,0),0)</f>
        <v>211</v>
      </c>
      <c r="AJ23" s="222">
        <f>IF(data!X93&gt;0,ROUND(data!X93,0),0)</f>
        <v>1549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" customHeight="1" x14ac:dyDescent="0.25">
      <c r="A24" s="16" t="str">
        <f>RIGHT(data!$C$97,3)</f>
        <v>023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4132</v>
      </c>
      <c r="F24" s="212">
        <f>ROUND(data!Y60,2)</f>
        <v>3.06</v>
      </c>
      <c r="G24" s="222">
        <f>ROUND(data!Y61,0)</f>
        <v>275246</v>
      </c>
      <c r="H24" s="222">
        <f>ROUND(data!Y62,0)</f>
        <v>61279</v>
      </c>
      <c r="I24" s="222">
        <f>ROUND(data!Y63,0)</f>
        <v>195700</v>
      </c>
      <c r="J24" s="222">
        <f>ROUND(data!Y64,0)</f>
        <v>7202</v>
      </c>
      <c r="K24" s="222">
        <f>ROUND(data!Y65,0)</f>
        <v>1902</v>
      </c>
      <c r="L24" s="222">
        <f>ROUND(data!Y66,0)</f>
        <v>12530</v>
      </c>
      <c r="M24" s="66">
        <f>ROUND(data!Y67,0)</f>
        <v>22212</v>
      </c>
      <c r="N24" s="222">
        <f>ROUND(data!Y68,0)</f>
        <v>343</v>
      </c>
      <c r="O24" s="222">
        <f>ROUND(data!Y69,0)</f>
        <v>119650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119650</v>
      </c>
      <c r="AD24" s="222">
        <f>ROUND(data!Y84,0)</f>
        <v>0</v>
      </c>
      <c r="AE24" s="222">
        <f>ROUND(data!Y89,0)</f>
        <v>3264885</v>
      </c>
      <c r="AF24" s="222">
        <f>ROUND(data!Y87,0)</f>
        <v>29271</v>
      </c>
      <c r="AG24" s="222">
        <f>IF(data!Y90&gt;0,ROUND(data!Y90,0),0)</f>
        <v>1952</v>
      </c>
      <c r="AH24" s="222">
        <f>IF(data!Y91&gt;0,ROUND(data!Y91,0),0)</f>
        <v>0</v>
      </c>
      <c r="AI24" s="222">
        <f>IF(data!Y92&gt;0,ROUND(data!Y92,0),0)</f>
        <v>629</v>
      </c>
      <c r="AJ24" s="222">
        <f>IF(data!Y93&gt;0,ROUND(data!Y93,0),0)</f>
        <v>4608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" customHeight="1" x14ac:dyDescent="0.25">
      <c r="A25" s="16" t="str">
        <f>RIGHT(data!$C$97,3)</f>
        <v>023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" customHeight="1" x14ac:dyDescent="0.25">
      <c r="A26" s="16" t="str">
        <f>RIGHT(data!$C$97,3)</f>
        <v>023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" customHeight="1" x14ac:dyDescent="0.25">
      <c r="A27" s="16" t="str">
        <f>RIGHT(data!$C$97,3)</f>
        <v>023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1.02</v>
      </c>
      <c r="G27" s="222">
        <f>ROUND(data!AB61,0)</f>
        <v>54930</v>
      </c>
      <c r="H27" s="222">
        <f>ROUND(data!AB62,0)</f>
        <v>12229</v>
      </c>
      <c r="I27" s="222">
        <f>ROUND(data!AB63,0)</f>
        <v>0</v>
      </c>
      <c r="J27" s="222">
        <f>ROUND(data!AB64,0)</f>
        <v>390531</v>
      </c>
      <c r="K27" s="222">
        <f>ROUND(data!AB65,0)</f>
        <v>62</v>
      </c>
      <c r="L27" s="222">
        <f>ROUND(data!AB66,0)</f>
        <v>135999</v>
      </c>
      <c r="M27" s="66">
        <f>ROUND(data!AB67,0)</f>
        <v>11436</v>
      </c>
      <c r="N27" s="222">
        <f>ROUND(data!AB68,0)</f>
        <v>164</v>
      </c>
      <c r="O27" s="222">
        <f>ROUND(data!AB69,0)</f>
        <v>33397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33397</v>
      </c>
      <c r="AD27" s="222">
        <f>ROUND(data!AB84,0)</f>
        <v>1902</v>
      </c>
      <c r="AE27" s="222">
        <f>ROUND(data!AB89,0)</f>
        <v>1606359</v>
      </c>
      <c r="AF27" s="222">
        <f>ROUND(data!AB87,0)</f>
        <v>483895</v>
      </c>
      <c r="AG27" s="222">
        <f>IF(data!AB90&gt;0,ROUND(data!AB90,0),0)</f>
        <v>1005</v>
      </c>
      <c r="AH27" s="222">
        <f>IF(data!AB91&gt;0,ROUND(data!AB91,0),0)</f>
        <v>0</v>
      </c>
      <c r="AI27" s="222">
        <f>IF(data!AB92&gt;0,ROUND(data!AB92,0),0)</f>
        <v>144</v>
      </c>
      <c r="AJ27" s="222">
        <f>IF(data!AB93&gt;0,ROUND(data!AB93,0),0)</f>
        <v>0</v>
      </c>
      <c r="AK27" s="212">
        <f>IF(data!AB94&gt;0,ROUND(data!AB94,2),0)</f>
        <v>1.02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" customHeight="1" x14ac:dyDescent="0.25">
      <c r="A28" s="16" t="str">
        <f>RIGHT(data!$C$97,3)</f>
        <v>023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567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39397</v>
      </c>
      <c r="K28" s="222">
        <f>ROUND(data!AC65,0)</f>
        <v>0</v>
      </c>
      <c r="L28" s="222">
        <f>ROUND(data!AC66,0)</f>
        <v>0</v>
      </c>
      <c r="M28" s="66">
        <f>ROUND(data!AC67,0)</f>
        <v>2845</v>
      </c>
      <c r="N28" s="222">
        <f>ROUND(data!AC68,0)</f>
        <v>6234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154571</v>
      </c>
      <c r="AF28" s="222">
        <f>ROUND(data!AC87,0)</f>
        <v>3441</v>
      </c>
      <c r="AG28" s="222">
        <f>IF(data!AC90&gt;0,ROUND(data!AC90,0),0)</f>
        <v>250</v>
      </c>
      <c r="AH28" s="222">
        <f>IF(data!AC91&gt;0,ROUND(data!AC91,0),0)</f>
        <v>0</v>
      </c>
      <c r="AI28" s="222">
        <f>IF(data!AC92&gt;0,ROUND(data!AC92,0),0)</f>
        <v>234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" customHeight="1" x14ac:dyDescent="0.25">
      <c r="A29" s="16" t="str">
        <f>RIGHT(data!$C$97,3)</f>
        <v>023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" customHeight="1" x14ac:dyDescent="0.25">
      <c r="A30" s="16" t="str">
        <f>RIGHT(data!$C$97,3)</f>
        <v>023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830</v>
      </c>
      <c r="F30" s="212">
        <f>ROUND(data!AE60,2)</f>
        <v>0.71</v>
      </c>
      <c r="G30" s="222">
        <f>ROUND(data!AE61,0)</f>
        <v>43678</v>
      </c>
      <c r="H30" s="222">
        <f>ROUND(data!AE62,0)</f>
        <v>9724</v>
      </c>
      <c r="I30" s="222">
        <f>ROUND(data!AE63,0)</f>
        <v>65016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9217</v>
      </c>
      <c r="N30" s="222">
        <f>ROUND(data!AE68,0)</f>
        <v>0</v>
      </c>
      <c r="O30" s="222">
        <f>ROUND(data!AE69,0)</f>
        <v>96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96</v>
      </c>
      <c r="AD30" s="222">
        <f>ROUND(data!AE84,0)</f>
        <v>0</v>
      </c>
      <c r="AE30" s="222">
        <f>ROUND(data!AE89,0)</f>
        <v>140632</v>
      </c>
      <c r="AF30" s="222">
        <f>ROUND(data!AE87,0)</f>
        <v>115931</v>
      </c>
      <c r="AG30" s="222">
        <f>IF(data!AE90&gt;0,ROUND(data!AE90,0),0)</f>
        <v>810</v>
      </c>
      <c r="AH30" s="222">
        <f>IF(data!AE91&gt;0,ROUND(data!AE91,0),0)</f>
        <v>0</v>
      </c>
      <c r="AI30" s="222">
        <f>IF(data!AE92&gt;0,ROUND(data!AE92,0),0)</f>
        <v>58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" customHeight="1" x14ac:dyDescent="0.25">
      <c r="A31" s="16" t="str">
        <f>RIGHT(data!$C$97,3)</f>
        <v>023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" customHeight="1" x14ac:dyDescent="0.25">
      <c r="A32" s="16" t="str">
        <f>RIGHT(data!$C$97,3)</f>
        <v>023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7500</v>
      </c>
      <c r="F32" s="212">
        <f>ROUND(data!AG60,2)</f>
        <v>4.88</v>
      </c>
      <c r="G32" s="222">
        <f>ROUND(data!AG61,0)</f>
        <v>430431</v>
      </c>
      <c r="H32" s="222">
        <f>ROUND(data!AG62,0)</f>
        <v>95829</v>
      </c>
      <c r="I32" s="222">
        <f>ROUND(data!AG63,0)</f>
        <v>1820696</v>
      </c>
      <c r="J32" s="222">
        <f>ROUND(data!AG64,0)</f>
        <v>79491</v>
      </c>
      <c r="K32" s="222">
        <f>ROUND(data!AG65,0)</f>
        <v>0</v>
      </c>
      <c r="L32" s="222">
        <f>ROUND(data!AG66,0)</f>
        <v>0</v>
      </c>
      <c r="M32" s="66">
        <f>ROUND(data!AG67,0)</f>
        <v>56827</v>
      </c>
      <c r="N32" s="222">
        <f>ROUND(data!AG68,0)</f>
        <v>0</v>
      </c>
      <c r="O32" s="222">
        <f>ROUND(data!AG69,0)</f>
        <v>62974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62974</v>
      </c>
      <c r="AD32" s="222">
        <f>ROUND(data!AG84,0)</f>
        <v>0</v>
      </c>
      <c r="AE32" s="222">
        <f>ROUND(data!AG89,0)</f>
        <v>4743147</v>
      </c>
      <c r="AF32" s="222">
        <f>ROUND(data!AG87,0)</f>
        <v>69762</v>
      </c>
      <c r="AG32" s="222">
        <f>IF(data!AG90&gt;0,ROUND(data!AG90,0),0)</f>
        <v>4994</v>
      </c>
      <c r="AH32" s="222">
        <f>IF(data!AG91&gt;0,ROUND(data!AG91,0),0)</f>
        <v>0</v>
      </c>
      <c r="AI32" s="222">
        <f>IF(data!AG92&gt;0,ROUND(data!AG92,0),0)</f>
        <v>2516</v>
      </c>
      <c r="AJ32" s="222">
        <f>IF(data!AG93&gt;0,ROUND(data!AG93,0),0)</f>
        <v>23732</v>
      </c>
      <c r="AK32" s="212">
        <f>IF(data!AG94&gt;0,ROUND(data!AG94,2),0)</f>
        <v>4.88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" customHeight="1" x14ac:dyDescent="0.25">
      <c r="A33" s="16" t="str">
        <f>RIGHT(data!$C$97,3)</f>
        <v>023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" customHeight="1" x14ac:dyDescent="0.25">
      <c r="A34" s="16" t="str">
        <f>RIGHT(data!$C$97,3)</f>
        <v>023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" customHeight="1" x14ac:dyDescent="0.25">
      <c r="A35" s="16" t="str">
        <f>RIGHT(data!$C$97,3)</f>
        <v>023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4444</v>
      </c>
      <c r="F35" s="212">
        <f>ROUND(data!AJ60,2)</f>
        <v>15.35</v>
      </c>
      <c r="G35" s="222">
        <f>ROUND(data!AJ61,0)</f>
        <v>1098578</v>
      </c>
      <c r="H35" s="222">
        <f>ROUND(data!AJ62,0)</f>
        <v>244581</v>
      </c>
      <c r="I35" s="222">
        <f>ROUND(data!AJ63,0)</f>
        <v>239675</v>
      </c>
      <c r="J35" s="222">
        <f>ROUND(data!AJ64,0)</f>
        <v>106097</v>
      </c>
      <c r="K35" s="222">
        <f>ROUND(data!AJ65,0)</f>
        <v>461</v>
      </c>
      <c r="L35" s="222">
        <f>ROUND(data!AJ66,0)</f>
        <v>82581</v>
      </c>
      <c r="M35" s="66">
        <f>ROUND(data!AJ67,0)</f>
        <v>67762</v>
      </c>
      <c r="N35" s="222">
        <f>ROUND(data!AJ68,0)</f>
        <v>3357</v>
      </c>
      <c r="O35" s="222">
        <f>ROUND(data!AJ69,0)</f>
        <v>13783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13783</v>
      </c>
      <c r="AD35" s="222">
        <f>ROUND(data!AJ84,0)</f>
        <v>0</v>
      </c>
      <c r="AE35" s="222">
        <f>ROUND(data!AJ89,0)</f>
        <v>787243</v>
      </c>
      <c r="AF35" s="222">
        <f>ROUND(data!AJ87,0)</f>
        <v>0</v>
      </c>
      <c r="AG35" s="222">
        <f>IF(data!AJ90&gt;0,ROUND(data!AJ90,0),0)</f>
        <v>5955</v>
      </c>
      <c r="AH35" s="222">
        <f>IF(data!AJ91&gt;0,ROUND(data!AJ91,0),0)</f>
        <v>0</v>
      </c>
      <c r="AI35" s="222">
        <f>IF(data!AJ92&gt;0,ROUND(data!AJ92,0),0)</f>
        <v>896</v>
      </c>
      <c r="AJ35" s="222">
        <f>IF(data!AJ93&gt;0,ROUND(data!AJ93,0),0)</f>
        <v>169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" customHeight="1" x14ac:dyDescent="0.25">
      <c r="A36" s="16" t="str">
        <f>RIGHT(data!$C$97,3)</f>
        <v>023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" customHeight="1" x14ac:dyDescent="0.25">
      <c r="A37" s="16" t="str">
        <f>RIGHT(data!$C$97,3)</f>
        <v>023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" customHeight="1" x14ac:dyDescent="0.25">
      <c r="A38" s="16" t="str">
        <f>RIGHT(data!$C$97,3)</f>
        <v>023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" customHeight="1" x14ac:dyDescent="0.25">
      <c r="A39" s="16" t="str">
        <f>RIGHT(data!$C$97,3)</f>
        <v>023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" customHeight="1" x14ac:dyDescent="0.25">
      <c r="A40" s="16" t="str">
        <f>RIGHT(data!$C$97,3)</f>
        <v>023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2544</v>
      </c>
      <c r="F40" s="212">
        <f>ROUND(data!AO60,2)</f>
        <v>1.25</v>
      </c>
      <c r="G40" s="222">
        <f>ROUND(data!AO61,0)</f>
        <v>113788</v>
      </c>
      <c r="H40" s="222">
        <f>ROUND(data!AO62,0)</f>
        <v>25333</v>
      </c>
      <c r="I40" s="222">
        <f>ROUND(data!AO63,0)</f>
        <v>87463</v>
      </c>
      <c r="J40" s="222">
        <f>ROUND(data!AO64,0)</f>
        <v>4445</v>
      </c>
      <c r="K40" s="222">
        <f>ROUND(data!AO65,0)</f>
        <v>407</v>
      </c>
      <c r="L40" s="222">
        <f>ROUND(data!AO66,0)</f>
        <v>3558</v>
      </c>
      <c r="M40" s="66">
        <f>ROUND(data!AO67,0)</f>
        <v>9706</v>
      </c>
      <c r="N40" s="222">
        <f>ROUND(data!AO68,0)</f>
        <v>3033</v>
      </c>
      <c r="O40" s="222">
        <f>ROUND(data!AO69,0)</f>
        <v>7166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7166</v>
      </c>
      <c r="AD40" s="222">
        <f>ROUND(data!AO84,0)</f>
        <v>0</v>
      </c>
      <c r="AE40" s="222">
        <f>ROUND(data!AO89,0)</f>
        <v>346579</v>
      </c>
      <c r="AF40" s="222">
        <f>ROUND(data!AO87,0)</f>
        <v>-16685</v>
      </c>
      <c r="AG40" s="222">
        <f>IF(data!AO90&gt;0,ROUND(data!AO90,0),0)</f>
        <v>853</v>
      </c>
      <c r="AH40" s="222">
        <f>IF(data!AO91&gt;0,ROUND(data!AO91,0),0)</f>
        <v>320</v>
      </c>
      <c r="AI40" s="222">
        <f>IF(data!AO92&gt;0,ROUND(data!AO92,0),0)</f>
        <v>269</v>
      </c>
      <c r="AJ40" s="222">
        <f>IF(data!AO93&gt;0,ROUND(data!AO93,0),0)</f>
        <v>1316</v>
      </c>
      <c r="AK40" s="212">
        <f>IF(data!AO94&gt;0,ROUND(data!AO94,2),0)</f>
        <v>1.25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" customHeight="1" x14ac:dyDescent="0.25">
      <c r="A41" s="16" t="str">
        <f>RIGHT(data!$C$97,3)</f>
        <v>023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" customHeight="1" x14ac:dyDescent="0.25">
      <c r="A42" s="16" t="str">
        <f>RIGHT(data!$C$97,3)</f>
        <v>023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" customHeight="1" x14ac:dyDescent="0.25">
      <c r="A43" s="16" t="str">
        <f>RIGHT(data!$C$97,3)</f>
        <v>023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" customHeight="1" x14ac:dyDescent="0.25">
      <c r="A44" s="16" t="str">
        <f>RIGHT(data!$C$97,3)</f>
        <v>023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" customHeight="1" x14ac:dyDescent="0.25">
      <c r="A45" s="16" t="str">
        <f>RIGHT(data!$C$97,3)</f>
        <v>023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" customHeight="1" x14ac:dyDescent="0.25">
      <c r="A46" s="16" t="str">
        <f>RIGHT(data!$C$97,3)</f>
        <v>023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" customHeight="1" x14ac:dyDescent="0.25">
      <c r="A47" s="16" t="str">
        <f>RIGHT(data!$C$97,3)</f>
        <v>023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" customHeight="1" x14ac:dyDescent="0.25">
      <c r="A48" s="16" t="str">
        <f>RIGHT(data!$C$97,3)</f>
        <v>023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" customHeight="1" x14ac:dyDescent="0.25">
      <c r="A49" s="16" t="str">
        <f>RIGHT(data!$C$97,3)</f>
        <v>023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" customHeight="1" x14ac:dyDescent="0.25">
      <c r="A50" s="16" t="str">
        <f>RIGHT(data!$C$97,3)</f>
        <v>023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5163</v>
      </c>
      <c r="F50" s="212">
        <f>ROUND(data!AY60,2)</f>
        <v>4.22</v>
      </c>
      <c r="G50" s="222">
        <f>ROUND(data!AY61,0)</f>
        <v>181896</v>
      </c>
      <c r="H50" s="222">
        <f>ROUND(data!AY62,0)</f>
        <v>40496</v>
      </c>
      <c r="I50" s="222">
        <f>ROUND(data!AY63,0)</f>
        <v>0</v>
      </c>
      <c r="J50" s="222">
        <f>ROUND(data!AY64,0)</f>
        <v>58638</v>
      </c>
      <c r="K50" s="222">
        <f>ROUND(data!AY65,0)</f>
        <v>0</v>
      </c>
      <c r="L50" s="222">
        <f>ROUND(data!AY66,0)</f>
        <v>2175</v>
      </c>
      <c r="M50" s="66">
        <f>ROUND(data!AY67,0)</f>
        <v>30177</v>
      </c>
      <c r="N50" s="222">
        <f>ROUND(data!AY68,0)</f>
        <v>0</v>
      </c>
      <c r="O50" s="222">
        <f>ROUND(data!AY69,0)</f>
        <v>9465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9465</v>
      </c>
      <c r="AD50" s="222">
        <f>ROUND(data!AY84,0)</f>
        <v>31459</v>
      </c>
      <c r="AE50" s="222"/>
      <c r="AF50" s="222"/>
      <c r="AG50" s="222">
        <f>IF(data!AY90&gt;0,ROUND(data!AY90,0),0)</f>
        <v>2652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" customHeight="1" x14ac:dyDescent="0.25">
      <c r="A51" s="16" t="str">
        <f>RIGHT(data!$C$97,3)</f>
        <v>023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1745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" customHeight="1" x14ac:dyDescent="0.25">
      <c r="A52" s="16" t="str">
        <f>RIGHT(data!$C$97,3)</f>
        <v>023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0.77</v>
      </c>
      <c r="G52" s="222">
        <f>ROUND(data!BA61,0)</f>
        <v>30673</v>
      </c>
      <c r="H52" s="222">
        <f>ROUND(data!BA62,0)</f>
        <v>6829</v>
      </c>
      <c r="I52" s="222">
        <f>ROUND(data!BA63,0)</f>
        <v>0</v>
      </c>
      <c r="J52" s="222">
        <f>ROUND(data!BA64,0)</f>
        <v>1446</v>
      </c>
      <c r="K52" s="222">
        <f>ROUND(data!BA65,0)</f>
        <v>11982</v>
      </c>
      <c r="L52" s="222">
        <f>ROUND(data!BA66,0)</f>
        <v>0</v>
      </c>
      <c r="M52" s="66">
        <f>ROUND(data!BA67,0)</f>
        <v>17808</v>
      </c>
      <c r="N52" s="222">
        <f>ROUND(data!BA68,0)</f>
        <v>0</v>
      </c>
      <c r="O52" s="222">
        <f>ROUND(data!BA69,0)</f>
        <v>147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147</v>
      </c>
      <c r="AD52" s="222">
        <f>ROUND(data!BA84,0)</f>
        <v>1885</v>
      </c>
      <c r="AE52" s="222"/>
      <c r="AF52" s="222"/>
      <c r="AG52" s="222">
        <f>IF(data!BA90&gt;0,ROUND(data!BA90,0),0)</f>
        <v>1565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" customHeight="1" x14ac:dyDescent="0.25">
      <c r="A53" s="16" t="str">
        <f>RIGHT(data!$C$97,3)</f>
        <v>023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" customHeight="1" x14ac:dyDescent="0.25">
      <c r="A54" s="16" t="str">
        <f>RIGHT(data!$C$97,3)</f>
        <v>023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" customHeight="1" x14ac:dyDescent="0.25">
      <c r="A55" s="16" t="str">
        <f>RIGHT(data!$C$97,3)</f>
        <v>023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0.65</v>
      </c>
      <c r="G55" s="222">
        <f>ROUND(data!BD61,0)</f>
        <v>48727</v>
      </c>
      <c r="H55" s="222">
        <f>ROUND(data!BD62,0)</f>
        <v>10848</v>
      </c>
      <c r="I55" s="222">
        <f>ROUND(data!BD63,0)</f>
        <v>0</v>
      </c>
      <c r="J55" s="222">
        <f>ROUND(data!BD64,0)</f>
        <v>74049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25004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25004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" customHeight="1" x14ac:dyDescent="0.25">
      <c r="A56" s="16" t="str">
        <f>RIGHT(data!$C$97,3)</f>
        <v>023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55657</v>
      </c>
      <c r="F56" s="212">
        <f>ROUND(data!BE60,2)</f>
        <v>4.07</v>
      </c>
      <c r="G56" s="222">
        <f>ROUND(data!BE61,0)</f>
        <v>232719</v>
      </c>
      <c r="H56" s="222">
        <f>ROUND(data!BE62,0)</f>
        <v>51811</v>
      </c>
      <c r="I56" s="222">
        <f>ROUND(data!BE63,0)</f>
        <v>0</v>
      </c>
      <c r="J56" s="222">
        <f>ROUND(data!BE64,0)</f>
        <v>8574</v>
      </c>
      <c r="K56" s="222">
        <f>ROUND(data!BE65,0)</f>
        <v>176193</v>
      </c>
      <c r="L56" s="222">
        <f>ROUND(data!BE66,0)</f>
        <v>6571</v>
      </c>
      <c r="M56" s="66">
        <f>ROUND(data!BE67,0)</f>
        <v>60525</v>
      </c>
      <c r="N56" s="222">
        <f>ROUND(data!BE68,0)</f>
        <v>1642</v>
      </c>
      <c r="O56" s="222">
        <f>ROUND(data!BE69,0)</f>
        <v>60162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60162</v>
      </c>
      <c r="AD56" s="222">
        <f>ROUND(data!BE84,0)</f>
        <v>0</v>
      </c>
      <c r="AE56" s="222"/>
      <c r="AF56" s="222"/>
      <c r="AG56" s="222">
        <f>IF(data!BE90&gt;0,ROUND(data!BE90,0),0)</f>
        <v>5319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" customHeight="1" x14ac:dyDescent="0.25">
      <c r="A57" s="16" t="str">
        <f>RIGHT(data!$C$97,3)</f>
        <v>023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5.1100000000000003</v>
      </c>
      <c r="G57" s="222">
        <f>ROUND(data!BF61,0)</f>
        <v>215594</v>
      </c>
      <c r="H57" s="222">
        <f>ROUND(data!BF62,0)</f>
        <v>47999</v>
      </c>
      <c r="I57" s="222">
        <f>ROUND(data!BF63,0)</f>
        <v>0</v>
      </c>
      <c r="J57" s="222">
        <f>ROUND(data!BF64,0)</f>
        <v>24682</v>
      </c>
      <c r="K57" s="222">
        <f>ROUND(data!BF65,0)</f>
        <v>0</v>
      </c>
      <c r="L57" s="222">
        <f>ROUND(data!BF66,0)</f>
        <v>0</v>
      </c>
      <c r="M57" s="66">
        <f>ROUND(data!BF67,0)</f>
        <v>4893</v>
      </c>
      <c r="N57" s="222">
        <f>ROUND(data!BF68,0)</f>
        <v>0</v>
      </c>
      <c r="O57" s="222">
        <f>ROUND(data!BF69,0)</f>
        <v>411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411</v>
      </c>
      <c r="AD57" s="222">
        <f>ROUND(data!BF84,0)</f>
        <v>0</v>
      </c>
      <c r="AE57" s="222"/>
      <c r="AF57" s="222"/>
      <c r="AG57" s="222">
        <f>IF(data!BF90&gt;0,ROUND(data!BF90,0),0)</f>
        <v>430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" customHeight="1" x14ac:dyDescent="0.25">
      <c r="A58" s="16" t="str">
        <f>RIGHT(data!$C$97,3)</f>
        <v>023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" customHeight="1" x14ac:dyDescent="0.25">
      <c r="A59" s="16" t="str">
        <f>RIGHT(data!$C$97,3)</f>
        <v>023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1</v>
      </c>
      <c r="G59" s="222">
        <f>ROUND(data!BH61,0)</f>
        <v>58066</v>
      </c>
      <c r="H59" s="222">
        <f>ROUND(data!BH62,0)</f>
        <v>12927</v>
      </c>
      <c r="I59" s="222">
        <f>ROUND(data!BH63,0)</f>
        <v>0</v>
      </c>
      <c r="J59" s="222">
        <f>ROUND(data!BH64,0)</f>
        <v>13188</v>
      </c>
      <c r="K59" s="222">
        <f>ROUND(data!BH65,0)</f>
        <v>1459</v>
      </c>
      <c r="L59" s="222">
        <f>ROUND(data!BH66,0)</f>
        <v>603592</v>
      </c>
      <c r="M59" s="66">
        <f>ROUND(data!BH67,0)</f>
        <v>8238</v>
      </c>
      <c r="N59" s="222">
        <f>ROUND(data!BH68,0)</f>
        <v>8312</v>
      </c>
      <c r="O59" s="222">
        <f>ROUND(data!BH69,0)</f>
        <v>215604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215604</v>
      </c>
      <c r="AD59" s="222">
        <f>ROUND(data!BH84,0)</f>
        <v>0</v>
      </c>
      <c r="AE59" s="222"/>
      <c r="AF59" s="222"/>
      <c r="AG59" s="222">
        <f>IF(data!BH90&gt;0,ROUND(data!BH90,0),0)</f>
        <v>724</v>
      </c>
      <c r="AH59" s="222">
        <f>IFERROR(IF(data!BH$91&gt;0,ROUND(data!BH$91,0),0),0)</f>
        <v>0</v>
      </c>
      <c r="AI59" s="222">
        <f>IFERROR(IF(data!BH$92&gt;0,ROUND(data!BH$92,0),0),0)</f>
        <v>10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" customHeight="1" x14ac:dyDescent="0.25">
      <c r="A60" s="16" t="str">
        <f>RIGHT(data!$C$97,3)</f>
        <v>023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" customHeight="1" x14ac:dyDescent="0.25">
      <c r="A61" s="16" t="str">
        <f>RIGHT(data!$C$97,3)</f>
        <v>023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4.21</v>
      </c>
      <c r="G61" s="222">
        <f>ROUND(data!BJ61,0)</f>
        <v>394626</v>
      </c>
      <c r="H61" s="222">
        <f>ROUND(data!BJ62,0)</f>
        <v>87857</v>
      </c>
      <c r="I61" s="222">
        <f>ROUND(data!BJ63,0)</f>
        <v>0</v>
      </c>
      <c r="J61" s="222">
        <f>ROUND(data!BJ64,0)</f>
        <v>3358</v>
      </c>
      <c r="K61" s="222">
        <f>ROUND(data!BJ65,0)</f>
        <v>0</v>
      </c>
      <c r="L61" s="222">
        <f>ROUND(data!BJ66,0)</f>
        <v>99184</v>
      </c>
      <c r="M61" s="66">
        <f>ROUND(data!BJ67,0)</f>
        <v>0</v>
      </c>
      <c r="N61" s="222">
        <f>ROUND(data!BJ68,0)</f>
        <v>0</v>
      </c>
      <c r="O61" s="222">
        <f>ROUND(data!BJ69,0)</f>
        <v>4849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4849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" customHeight="1" x14ac:dyDescent="0.25">
      <c r="A62" s="16" t="str">
        <f>RIGHT(data!$C$97,3)</f>
        <v>023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6.43</v>
      </c>
      <c r="G62" s="222">
        <f>ROUND(data!BK61,0)</f>
        <v>401224</v>
      </c>
      <c r="H62" s="222">
        <f>ROUND(data!BK62,0)</f>
        <v>89326</v>
      </c>
      <c r="I62" s="222">
        <f>ROUND(data!BK63,0)</f>
        <v>0</v>
      </c>
      <c r="J62" s="222">
        <f>ROUND(data!BK64,0)</f>
        <v>12528</v>
      </c>
      <c r="K62" s="222">
        <f>ROUND(data!BK65,0)</f>
        <v>116</v>
      </c>
      <c r="L62" s="222">
        <f>ROUND(data!BK66,0)</f>
        <v>346633</v>
      </c>
      <c r="M62" s="66">
        <f>ROUND(data!BK67,0)</f>
        <v>11902</v>
      </c>
      <c r="N62" s="222">
        <f>ROUND(data!BK68,0)</f>
        <v>2663</v>
      </c>
      <c r="O62" s="222">
        <f>ROUND(data!BK69,0)</f>
        <v>5721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5721</v>
      </c>
      <c r="AD62" s="222">
        <f>ROUND(data!BK84,0)</f>
        <v>0</v>
      </c>
      <c r="AE62" s="222"/>
      <c r="AF62" s="222"/>
      <c r="AG62" s="222">
        <f>IF(data!BK90&gt;0,ROUND(data!BK90,0),0)</f>
        <v>1046</v>
      </c>
      <c r="AH62" s="222">
        <f>IFERROR(IF(data!BK$91&gt;0,ROUND(data!BK$91,0),0),0)</f>
        <v>0</v>
      </c>
      <c r="AI62" s="222">
        <f>IFERROR(IF(data!BK$92&gt;0,ROUND(data!BK$92,0),0),0)</f>
        <v>130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" customHeight="1" x14ac:dyDescent="0.25">
      <c r="A63" s="16" t="str">
        <f>RIGHT(data!$C$97,3)</f>
        <v>023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4.8</v>
      </c>
      <c r="G63" s="222">
        <f>ROUND(data!BL61,0)</f>
        <v>180923</v>
      </c>
      <c r="H63" s="222">
        <f>ROUND(data!BL62,0)</f>
        <v>40280</v>
      </c>
      <c r="I63" s="222">
        <f>ROUND(data!BL63,0)</f>
        <v>0</v>
      </c>
      <c r="J63" s="222">
        <f>ROUND(data!BL64,0)</f>
        <v>3204</v>
      </c>
      <c r="K63" s="222">
        <f>ROUND(data!BL65,0)</f>
        <v>0</v>
      </c>
      <c r="L63" s="222">
        <f>ROUND(data!BL66,0)</f>
        <v>0</v>
      </c>
      <c r="M63" s="66">
        <f>ROUND(data!BL67,0)</f>
        <v>9501</v>
      </c>
      <c r="N63" s="222">
        <f>ROUND(data!BL68,0)</f>
        <v>914</v>
      </c>
      <c r="O63" s="222">
        <f>ROUND(data!BL69,0)</f>
        <v>616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616</v>
      </c>
      <c r="AD63" s="222">
        <f>ROUND(data!BL84,0)</f>
        <v>0</v>
      </c>
      <c r="AE63" s="222"/>
      <c r="AF63" s="222"/>
      <c r="AG63" s="222">
        <f>IF(data!BL90&gt;0,ROUND(data!BL90,0),0)</f>
        <v>835</v>
      </c>
      <c r="AH63" s="222">
        <f>IFERROR(IF(data!BL$91&gt;0,ROUND(data!BL$91,0),0),0)</f>
        <v>0</v>
      </c>
      <c r="AI63" s="222">
        <f>IFERROR(IF(data!BL$92&gt;0,ROUND(data!BL$92,0),0),0)</f>
        <v>239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" customHeight="1" x14ac:dyDescent="0.25">
      <c r="A64" s="16" t="str">
        <f>RIGHT(data!$C$97,3)</f>
        <v>023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" customHeight="1" x14ac:dyDescent="0.25">
      <c r="A65" s="16" t="str">
        <f>RIGHT(data!$C$97,3)</f>
        <v>023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2.2999999999999998</v>
      </c>
      <c r="G65" s="222">
        <f>ROUND(data!BN61,0)</f>
        <v>397273</v>
      </c>
      <c r="H65" s="222">
        <f>ROUND(data!BN62,0)</f>
        <v>88447</v>
      </c>
      <c r="I65" s="222">
        <f>ROUND(data!BN63,0)</f>
        <v>0</v>
      </c>
      <c r="J65" s="222">
        <f>ROUND(data!BN64,0)</f>
        <v>10478</v>
      </c>
      <c r="K65" s="222">
        <f>ROUND(data!BN65,0)</f>
        <v>25279</v>
      </c>
      <c r="L65" s="222">
        <f>ROUND(data!BN66,0)</f>
        <v>81313</v>
      </c>
      <c r="M65" s="66">
        <f>ROUND(data!BN67,0)</f>
        <v>79505</v>
      </c>
      <c r="N65" s="222">
        <f>ROUND(data!BN68,0)</f>
        <v>11651</v>
      </c>
      <c r="O65" s="222">
        <f>ROUND(data!BN69,0)</f>
        <v>31063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31063</v>
      </c>
      <c r="AD65" s="222">
        <f>ROUND(data!BN84,0)</f>
        <v>11636</v>
      </c>
      <c r="AE65" s="222"/>
      <c r="AF65" s="222"/>
      <c r="AG65" s="222">
        <f>IF(data!BN90&gt;0,ROUND(data!BN90,0),0)</f>
        <v>6987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" customHeight="1" x14ac:dyDescent="0.25">
      <c r="A66" s="16" t="str">
        <f>RIGHT(data!$C$97,3)</f>
        <v>023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1155</v>
      </c>
      <c r="K66" s="222">
        <f>ROUND(data!BO65,0)</f>
        <v>0</v>
      </c>
      <c r="L66" s="222">
        <f>ROUND(data!BO66,0)</f>
        <v>7467</v>
      </c>
      <c r="M66" s="66">
        <f>ROUND(data!BO67,0)</f>
        <v>0</v>
      </c>
      <c r="N66" s="222">
        <f>ROUND(data!BO68,0)</f>
        <v>0</v>
      </c>
      <c r="O66" s="222">
        <f>ROUND(data!BO69,0)</f>
        <v>205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205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" customHeight="1" x14ac:dyDescent="0.25">
      <c r="A67" s="16" t="str">
        <f>RIGHT(data!$C$97,3)</f>
        <v>023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0.98</v>
      </c>
      <c r="G67" s="222">
        <f>ROUND(data!BP61,0)</f>
        <v>81903</v>
      </c>
      <c r="H67" s="222">
        <f>ROUND(data!BP62,0)</f>
        <v>18234</v>
      </c>
      <c r="I67" s="222">
        <f>ROUND(data!BP63,0)</f>
        <v>0</v>
      </c>
      <c r="J67" s="222">
        <f>ROUND(data!BP64,0)</f>
        <v>8477</v>
      </c>
      <c r="K67" s="222">
        <f>ROUND(data!BP65,0)</f>
        <v>500</v>
      </c>
      <c r="L67" s="222">
        <f>ROUND(data!BP66,0)</f>
        <v>639</v>
      </c>
      <c r="M67" s="66">
        <f>ROUND(data!BP67,0)</f>
        <v>0</v>
      </c>
      <c r="N67" s="222">
        <f>ROUND(data!BP68,0)</f>
        <v>0</v>
      </c>
      <c r="O67" s="222">
        <f>ROUND(data!BP69,0)</f>
        <v>70560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70560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" customHeight="1" x14ac:dyDescent="0.25">
      <c r="A68" s="16" t="str">
        <f>RIGHT(data!$C$97,3)</f>
        <v>023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" customHeight="1" x14ac:dyDescent="0.25">
      <c r="A69" s="16" t="str">
        <f>RIGHT(data!$C$97,3)</f>
        <v>023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1.82</v>
      </c>
      <c r="G69" s="222">
        <f>ROUND(data!BR61,0)</f>
        <v>161157</v>
      </c>
      <c r="H69" s="222">
        <f>ROUND(data!BR62,0)</f>
        <v>35879</v>
      </c>
      <c r="I69" s="222">
        <f>ROUND(data!BR63,0)</f>
        <v>0</v>
      </c>
      <c r="J69" s="222">
        <f>ROUND(data!BR64,0)</f>
        <v>809</v>
      </c>
      <c r="K69" s="222">
        <f>ROUND(data!BR65,0)</f>
        <v>0</v>
      </c>
      <c r="L69" s="222">
        <f>ROUND(data!BR66,0)</f>
        <v>30801</v>
      </c>
      <c r="M69" s="66">
        <f>ROUND(data!BR67,0)</f>
        <v>20960</v>
      </c>
      <c r="N69" s="222">
        <f>ROUND(data!BR68,0)</f>
        <v>0</v>
      </c>
      <c r="O69" s="222">
        <f>ROUND(data!BR69,0)</f>
        <v>3615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3615</v>
      </c>
      <c r="AD69" s="222">
        <f>ROUND(data!BR84,0)</f>
        <v>0</v>
      </c>
      <c r="AE69" s="222"/>
      <c r="AF69" s="222"/>
      <c r="AG69" s="222">
        <f>IF(data!BR90&gt;0,ROUND(data!BR90,0),0)</f>
        <v>1842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" customHeight="1" x14ac:dyDescent="0.25">
      <c r="A70" s="16" t="str">
        <f>RIGHT(data!$C$97,3)</f>
        <v>023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" customHeight="1" x14ac:dyDescent="0.25">
      <c r="A71" s="16" t="str">
        <f>RIGHT(data!$C$97,3)</f>
        <v>023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" customHeight="1" x14ac:dyDescent="0.25">
      <c r="A72" s="16" t="str">
        <f>RIGHT(data!$C$97,3)</f>
        <v>023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" customHeight="1" x14ac:dyDescent="0.25">
      <c r="A73" s="16" t="str">
        <f>RIGHT(data!$C$97,3)</f>
        <v>023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3.8</v>
      </c>
      <c r="G73" s="222">
        <f>ROUND(data!BV61,0)</f>
        <v>177615</v>
      </c>
      <c r="H73" s="222">
        <f>ROUND(data!BV62,0)</f>
        <v>39543</v>
      </c>
      <c r="I73" s="222">
        <f>ROUND(data!BV63,0)</f>
        <v>0</v>
      </c>
      <c r="J73" s="222">
        <f>ROUND(data!BV64,0)</f>
        <v>7304</v>
      </c>
      <c r="K73" s="222">
        <f>ROUND(data!BV65,0)</f>
        <v>0</v>
      </c>
      <c r="L73" s="222">
        <f>ROUND(data!BV66,0)</f>
        <v>16489</v>
      </c>
      <c r="M73" s="66">
        <f>ROUND(data!BV67,0)</f>
        <v>15840</v>
      </c>
      <c r="N73" s="222">
        <f>ROUND(data!BV68,0)</f>
        <v>1996</v>
      </c>
      <c r="O73" s="222">
        <f>ROUND(data!BV69,0)</f>
        <v>17596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17596</v>
      </c>
      <c r="AD73" s="222">
        <f>ROUND(data!BV84,0)</f>
        <v>471</v>
      </c>
      <c r="AE73" s="222"/>
      <c r="AF73" s="222"/>
      <c r="AG73" s="222">
        <f>IF(data!BV90&gt;0,ROUND(data!BV90,0),0)</f>
        <v>1392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" customHeight="1" x14ac:dyDescent="0.25">
      <c r="A74" s="16" t="str">
        <f>RIGHT(data!$C$97,3)</f>
        <v>023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" customHeight="1" x14ac:dyDescent="0.25">
      <c r="A75" s="16" t="str">
        <f>RIGHT(data!$C$97,3)</f>
        <v>023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1.97</v>
      </c>
      <c r="G75" s="222">
        <f>ROUND(data!BX61,0)</f>
        <v>177039</v>
      </c>
      <c r="H75" s="222">
        <f>ROUND(data!BX62,0)</f>
        <v>39415</v>
      </c>
      <c r="I75" s="222">
        <f>ROUND(data!BX63,0)</f>
        <v>0</v>
      </c>
      <c r="J75" s="222">
        <f>ROUND(data!BX64,0)</f>
        <v>842</v>
      </c>
      <c r="K75" s="222">
        <f>ROUND(data!BX65,0)</f>
        <v>0</v>
      </c>
      <c r="L75" s="222">
        <f>ROUND(data!BX66,0)</f>
        <v>39106</v>
      </c>
      <c r="M75" s="66">
        <f>ROUND(data!BX67,0)</f>
        <v>0</v>
      </c>
      <c r="N75" s="222">
        <f>ROUND(data!BX68,0)</f>
        <v>0</v>
      </c>
      <c r="O75" s="222">
        <f>ROUND(data!BX69,0)</f>
        <v>28339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28339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114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" customHeight="1" x14ac:dyDescent="0.25">
      <c r="A76" s="16" t="str">
        <f>RIGHT(data!$C$97,3)</f>
        <v>023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2.3199999999999998</v>
      </c>
      <c r="G76" s="222">
        <f>ROUND(data!BY61,0)</f>
        <v>194915</v>
      </c>
      <c r="H76" s="222">
        <f>ROUND(data!BY62,0)</f>
        <v>43395</v>
      </c>
      <c r="I76" s="222">
        <f>ROUND(data!BY63,0)</f>
        <v>0</v>
      </c>
      <c r="J76" s="222">
        <f>ROUND(data!BY64,0)</f>
        <v>13822</v>
      </c>
      <c r="K76" s="222">
        <f>ROUND(data!BY65,0)</f>
        <v>0</v>
      </c>
      <c r="L76" s="222">
        <f>ROUND(data!BY66,0)</f>
        <v>19559</v>
      </c>
      <c r="M76" s="66">
        <f>ROUND(data!BY67,0)</f>
        <v>13723</v>
      </c>
      <c r="N76" s="222">
        <f>ROUND(data!BY68,0)</f>
        <v>317</v>
      </c>
      <c r="O76" s="222">
        <f>ROUND(data!BY69,0)</f>
        <v>941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941</v>
      </c>
      <c r="AD76" s="222">
        <f>ROUND(data!BY84,0)</f>
        <v>2080</v>
      </c>
      <c r="AE76" s="222"/>
      <c r="AF76" s="222"/>
      <c r="AG76" s="222">
        <f>IF(data!BY90&gt;0,ROUND(data!BY90,0),0)</f>
        <v>1206</v>
      </c>
      <c r="AH76" s="222">
        <f>IF(data!BY91&gt;0,ROUND(data!BY91,0),0)</f>
        <v>0</v>
      </c>
      <c r="AI76" s="222">
        <f>IF(data!BY92&gt;0,ROUND(data!BY92,0),0)</f>
        <v>83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" customHeight="1" x14ac:dyDescent="0.25">
      <c r="A77" s="16" t="str">
        <f>RIGHT(data!$C$97,3)</f>
        <v>023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" customHeight="1" x14ac:dyDescent="0.25">
      <c r="A78" s="16" t="str">
        <f>RIGHT(data!$C$97,3)</f>
        <v>023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" customHeight="1" x14ac:dyDescent="0.25">
      <c r="A79" s="16" t="str">
        <f>RIGHT(data!$C$97,3)</f>
        <v>023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" customHeight="1" x14ac:dyDescent="0.25">
      <c r="A80" s="16" t="str">
        <f>RIGHT(data!$C$97,3)</f>
        <v>023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6" workbookViewId="0">
      <selection activeCell="O32" sqref="O32"/>
    </sheetView>
  </sheetViews>
  <sheetFormatPr defaultColWidth="10.77734375" defaultRowHeight="15" x14ac:dyDescent="0.25"/>
  <cols>
    <col min="1" max="1" width="2.77734375" style="12" customWidth="1"/>
    <col min="2" max="3" width="10.77734375" style="12" customWidth="1"/>
    <col min="4" max="4" width="2.77734375" style="12" customWidth="1"/>
    <col min="5" max="6" width="10.77734375" style="12" customWidth="1"/>
    <col min="7" max="7" width="2.77734375" style="12" customWidth="1"/>
    <col min="8" max="8" width="10.77734375" style="12" customWidth="1"/>
    <col min="9" max="10" width="8.77734375" style="12" customWidth="1"/>
    <col min="11" max="11" width="2.77734375" style="12" customWidth="1"/>
    <col min="12" max="13" width="10.77734375" style="12" customWidth="1"/>
    <col min="14" max="16384" width="10.77734375" style="12"/>
  </cols>
  <sheetData>
    <row r="1" spans="2:10" x14ac:dyDescent="0.25">
      <c r="J1" s="108" t="s">
        <v>671</v>
      </c>
    </row>
    <row r="2" spans="2:10" x14ac:dyDescent="0.2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25">
      <c r="B3" s="112"/>
      <c r="F3" s="10" t="s">
        <v>672</v>
      </c>
      <c r="G3" s="10"/>
      <c r="J3" s="113"/>
    </row>
    <row r="4" spans="2:10" x14ac:dyDescent="0.25">
      <c r="B4" s="112"/>
      <c r="F4" s="10" t="s">
        <v>673</v>
      </c>
      <c r="G4" s="10"/>
      <c r="J4" s="113"/>
    </row>
    <row r="5" spans="2:10" x14ac:dyDescent="0.25">
      <c r="B5" s="112"/>
      <c r="J5" s="113"/>
    </row>
    <row r="6" spans="2:10" x14ac:dyDescent="0.2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25">
      <c r="B7" s="112"/>
      <c r="J7" s="113"/>
    </row>
    <row r="8" spans="2:10" x14ac:dyDescent="0.25">
      <c r="B8" s="112"/>
      <c r="F8" s="10" t="s">
        <v>674</v>
      </c>
      <c r="G8" s="10"/>
      <c r="J8" s="113"/>
    </row>
    <row r="9" spans="2:10" x14ac:dyDescent="0.2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25">
      <c r="B10" s="112"/>
      <c r="F10" s="10" t="s">
        <v>676</v>
      </c>
      <c r="G10" s="10"/>
      <c r="J10" s="113"/>
    </row>
    <row r="11" spans="2:10" x14ac:dyDescent="0.25">
      <c r="B11" s="112"/>
      <c r="F11" s="10"/>
      <c r="G11" s="10"/>
      <c r="J11" s="113"/>
    </row>
    <row r="12" spans="2:10" x14ac:dyDescent="0.25">
      <c r="B12" s="112"/>
      <c r="F12" s="10" t="s">
        <v>677</v>
      </c>
      <c r="G12" s="10"/>
      <c r="J12" s="113"/>
    </row>
    <row r="13" spans="2:10" x14ac:dyDescent="0.25">
      <c r="B13" s="112"/>
      <c r="F13" s="10" t="s">
        <v>678</v>
      </c>
      <c r="G13" s="10"/>
      <c r="J13" s="113"/>
    </row>
    <row r="14" spans="2:10" x14ac:dyDescent="0.2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25">
      <c r="B15" s="112"/>
      <c r="J15" s="113"/>
    </row>
    <row r="16" spans="2:10" x14ac:dyDescent="0.25">
      <c r="B16" s="112"/>
      <c r="F16" s="12" t="s">
        <v>679</v>
      </c>
      <c r="J16" s="113"/>
    </row>
    <row r="17" spans="2:10" x14ac:dyDescent="0.25">
      <c r="B17" s="109"/>
      <c r="C17" s="118" t="s">
        <v>680</v>
      </c>
      <c r="D17" s="118"/>
      <c r="E17" s="110" t="str">
        <f>+data!C98</f>
        <v>Three Rivers Hospital</v>
      </c>
      <c r="F17" s="117"/>
      <c r="G17" s="117"/>
      <c r="H17" s="110"/>
      <c r="I17" s="110"/>
      <c r="J17" s="111"/>
    </row>
    <row r="18" spans="2:10" x14ac:dyDescent="0.25">
      <c r="B18" s="112"/>
      <c r="C18" s="66" t="s">
        <v>681</v>
      </c>
      <c r="D18" s="66"/>
      <c r="E18" s="12" t="str">
        <f>+"H-"&amp;data!C97</f>
        <v>H-023</v>
      </c>
      <c r="F18" s="10"/>
      <c r="G18" s="10"/>
      <c r="J18" s="113"/>
    </row>
    <row r="19" spans="2:10" x14ac:dyDescent="0.25">
      <c r="B19" s="112"/>
      <c r="C19" s="66" t="s">
        <v>682</v>
      </c>
      <c r="D19" s="66"/>
      <c r="E19" s="12" t="str">
        <f>+data!C99</f>
        <v>507 Hospital Way P.O. Box 577</v>
      </c>
      <c r="F19" s="10"/>
      <c r="G19" s="10"/>
      <c r="J19" s="113"/>
    </row>
    <row r="20" spans="2:10" x14ac:dyDescent="0.25">
      <c r="B20" s="112"/>
      <c r="C20" s="66" t="s">
        <v>683</v>
      </c>
      <c r="D20" s="66"/>
      <c r="E20" s="12" t="str">
        <f>E19</f>
        <v>507 Hospital Way P.O. Box 577</v>
      </c>
      <c r="F20" s="10"/>
      <c r="G20" s="10"/>
      <c r="J20" s="113"/>
    </row>
    <row r="21" spans="2:10" x14ac:dyDescent="0.25">
      <c r="B21" s="112"/>
      <c r="C21" s="66" t="s">
        <v>684</v>
      </c>
      <c r="D21" s="66"/>
      <c r="E21" s="12" t="str">
        <f>+data!C100</f>
        <v>Brewster</v>
      </c>
      <c r="F21" s="12" t="str">
        <f>+data!C101</f>
        <v>WA</v>
      </c>
      <c r="G21" s="10"/>
      <c r="J21" s="113"/>
    </row>
    <row r="22" spans="2:10" x14ac:dyDescent="0.2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25">
      <c r="B23" s="112"/>
      <c r="J23" s="113"/>
    </row>
    <row r="24" spans="2:10" x14ac:dyDescent="0.25">
      <c r="B24" s="112"/>
      <c r="J24" s="113"/>
    </row>
    <row r="25" spans="2:10" x14ac:dyDescent="0.25">
      <c r="B25" s="112"/>
      <c r="J25" s="113"/>
    </row>
    <row r="26" spans="2:10" x14ac:dyDescent="0.2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2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2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25">
      <c r="B29" s="112" t="s">
        <v>687</v>
      </c>
      <c r="J29" s="113"/>
    </row>
    <row r="30" spans="2:10" x14ac:dyDescent="0.2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2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25">
      <c r="B32" s="112"/>
      <c r="J32" s="113"/>
    </row>
    <row r="33" spans="2:10" x14ac:dyDescent="0.2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2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2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2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2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25">
      <c r="B38" s="112"/>
      <c r="J38" s="113"/>
    </row>
    <row r="39" spans="2:10" x14ac:dyDescent="0.2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2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2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2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6" sqref="I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2" width="8.6640625" style="1" customWidth="1"/>
    <col min="13" max="16384" width="8.6640625" style="1"/>
  </cols>
  <sheetData>
    <row r="2" spans="1:13" x14ac:dyDescent="0.25">
      <c r="A2" s="67" t="s">
        <v>1380</v>
      </c>
    </row>
    <row r="3" spans="1:13" x14ac:dyDescent="0.25">
      <c r="A3" s="67"/>
    </row>
    <row r="4" spans="1:13" x14ac:dyDescent="0.25">
      <c r="A4" s="163" t="s">
        <v>693</v>
      </c>
    </row>
    <row r="5" spans="1:13" x14ac:dyDescent="0.25">
      <c r="A5" s="163" t="s">
        <v>694</v>
      </c>
    </row>
    <row r="6" spans="1:13" x14ac:dyDescent="0.25">
      <c r="A6" s="163" t="s">
        <v>695</v>
      </c>
    </row>
    <row r="7" spans="1:13" x14ac:dyDescent="0.25">
      <c r="A7" s="163"/>
    </row>
    <row r="8" spans="1:13" x14ac:dyDescent="0.25">
      <c r="A8" s="2" t="s">
        <v>696</v>
      </c>
    </row>
    <row r="9" spans="1:13" x14ac:dyDescent="0.25">
      <c r="A9" s="163" t="s">
        <v>17</v>
      </c>
    </row>
    <row r="12" spans="1:13" x14ac:dyDescent="0.25">
      <c r="A12" s="1" t="str">
        <f>data!C97</f>
        <v>023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25">
      <c r="A13" s="2"/>
      <c r="B13" s="275" t="s">
        <v>697</v>
      </c>
      <c r="C13" s="275" t="s">
        <v>697</v>
      </c>
      <c r="D13" s="5" t="s">
        <v>698</v>
      </c>
      <c r="E13" s="5" t="s">
        <v>698</v>
      </c>
      <c r="F13" s="3" t="s">
        <v>699</v>
      </c>
      <c r="G13" s="3" t="s">
        <v>699</v>
      </c>
      <c r="H13" s="3" t="s">
        <v>700</v>
      </c>
    </row>
    <row r="14" spans="1:13" x14ac:dyDescent="0.25">
      <c r="A14" s="1" t="s">
        <v>701</v>
      </c>
      <c r="B14" s="275" t="s">
        <v>337</v>
      </c>
      <c r="C14" s="275" t="s">
        <v>337</v>
      </c>
      <c r="D14" s="4" t="s">
        <v>702</v>
      </c>
      <c r="E14" s="4" t="s">
        <v>702</v>
      </c>
      <c r="F14" s="3" t="s">
        <v>703</v>
      </c>
      <c r="G14" s="3" t="s">
        <v>703</v>
      </c>
      <c r="H14" s="3" t="s">
        <v>704</v>
      </c>
      <c r="I14" s="8" t="s">
        <v>705</v>
      </c>
      <c r="J14" s="68" t="s">
        <v>706</v>
      </c>
    </row>
    <row r="15" spans="1:13" x14ac:dyDescent="0.25">
      <c r="A15" s="1" t="s">
        <v>707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25">
      <c r="A16" s="1" t="s">
        <v>708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ht="30" x14ac:dyDescent="0.25">
      <c r="A17" s="1" t="s">
        <v>709</v>
      </c>
      <c r="B17" s="275">
        <f>'Prior Year'!E86</f>
        <v>754784</v>
      </c>
      <c r="C17" s="275">
        <f>data!E85</f>
        <v>1058091</v>
      </c>
      <c r="D17" s="275">
        <f>'Prior Year'!E60</f>
        <v>436</v>
      </c>
      <c r="E17" s="1">
        <f>data!E59</f>
        <v>440</v>
      </c>
      <c r="F17" s="238">
        <f t="shared" si="0"/>
        <v>1731.1559633027523</v>
      </c>
      <c r="G17" s="238">
        <f t="shared" si="1"/>
        <v>2404.7522727272726</v>
      </c>
      <c r="H17" s="6">
        <f t="shared" si="2"/>
        <v>0.38910203569377577</v>
      </c>
      <c r="I17" s="346" t="s">
        <v>1381</v>
      </c>
      <c r="M17" s="7"/>
    </row>
    <row r="18" spans="1:13" x14ac:dyDescent="0.25">
      <c r="A18" s="1" t="s">
        <v>710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25">
      <c r="A19" s="1" t="s">
        <v>711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25">
      <c r="A20" s="1" t="s">
        <v>712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 t="str">
        <f t="shared" si="3"/>
        <v>Please provide explanation for the fluctuation noted here</v>
      </c>
      <c r="M20" s="7"/>
    </row>
    <row r="21" spans="1:13" x14ac:dyDescent="0.25">
      <c r="A21" s="1" t="s">
        <v>713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25">
      <c r="A22" s="1" t="s">
        <v>714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25">
      <c r="A23" s="1" t="s">
        <v>715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ht="30" x14ac:dyDescent="0.25">
      <c r="A24" s="1" t="s">
        <v>716</v>
      </c>
      <c r="B24" s="275">
        <f>'Prior Year'!L86</f>
        <v>1055999</v>
      </c>
      <c r="C24" s="275">
        <f>data!L85</f>
        <v>1406779</v>
      </c>
      <c r="D24" s="275">
        <f>'Prior Year'!L60</f>
        <v>610</v>
      </c>
      <c r="E24" s="1">
        <f>data!L59</f>
        <v>585</v>
      </c>
      <c r="F24" s="238">
        <f t="shared" si="0"/>
        <v>1731.1459016393442</v>
      </c>
      <c r="G24" s="238">
        <f t="shared" si="1"/>
        <v>2404.7504273504273</v>
      </c>
      <c r="H24" s="6">
        <f t="shared" si="2"/>
        <v>0.38910904336439778</v>
      </c>
      <c r="I24" s="346" t="str">
        <f>I17</f>
        <v>The Hospital has a significant increase in contract nursing expenses as they struggled to recruit employees in FY22.</v>
      </c>
      <c r="M24" s="7"/>
    </row>
    <row r="25" spans="1:13" x14ac:dyDescent="0.25">
      <c r="A25" s="1" t="s">
        <v>717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25">
      <c r="A26" s="1" t="s">
        <v>718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25">
      <c r="A27" s="1" t="s">
        <v>719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25">
      <c r="A28" s="1" t="s">
        <v>720</v>
      </c>
      <c r="B28" s="275">
        <f>'Prior Year'!P86</f>
        <v>795015</v>
      </c>
      <c r="C28" s="275">
        <f>data!P85</f>
        <v>938291</v>
      </c>
      <c r="D28" s="275">
        <f>'Prior Year'!P60</f>
        <v>16092</v>
      </c>
      <c r="E28" s="1">
        <f>data!P59</f>
        <v>15425</v>
      </c>
      <c r="F28" s="238">
        <f t="shared" si="0"/>
        <v>49.404362416107382</v>
      </c>
      <c r="G28" s="238">
        <f t="shared" si="1"/>
        <v>60.829238249594816</v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25">
      <c r="A29" s="1" t="s">
        <v>721</v>
      </c>
      <c r="B29" s="275">
        <f>'Prior Year'!Q86</f>
        <v>123040</v>
      </c>
      <c r="C29" s="275">
        <f>data!Q85</f>
        <v>141282</v>
      </c>
      <c r="D29" s="275">
        <f>'Prior Year'!Q60</f>
        <v>11206</v>
      </c>
      <c r="E29" s="1">
        <f>data!Q59</f>
        <v>10314</v>
      </c>
      <c r="F29" s="238">
        <f t="shared" si="0"/>
        <v>10.979832232732464</v>
      </c>
      <c r="G29" s="238">
        <f t="shared" si="1"/>
        <v>13.698080279232112</v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25">
      <c r="A30" s="1" t="s">
        <v>722</v>
      </c>
      <c r="B30" s="275">
        <f>'Prior Year'!R86</f>
        <v>570790</v>
      </c>
      <c r="C30" s="275">
        <f>data!R85</f>
        <v>583579</v>
      </c>
      <c r="D30" s="275">
        <f>'Prior Year'!R60</f>
        <v>15984</v>
      </c>
      <c r="E30" s="1">
        <f>data!R59</f>
        <v>14759</v>
      </c>
      <c r="F30" s="238">
        <f t="shared" si="0"/>
        <v>35.710085085085083</v>
      </c>
      <c r="G30" s="238">
        <f>IFERROR(IF(C30=0,"",IF(E30=0,"",C30/E30)),"")</f>
        <v>39.540551527881291</v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25">
      <c r="A31" s="1" t="s">
        <v>723</v>
      </c>
      <c r="B31" s="275">
        <f>'Prior Year'!S86</f>
        <v>100726</v>
      </c>
      <c r="C31" s="275">
        <f>data!S85</f>
        <v>100081</v>
      </c>
      <c r="D31" s="275" t="s">
        <v>724</v>
      </c>
      <c r="E31" s="4" t="s">
        <v>724</v>
      </c>
      <c r="F31" s="238"/>
      <c r="G31" s="238" t="str">
        <f t="shared" ref="G31:G32" si="4">IFERROR(IF(C31=0,"",IF(E31=0,"",C31/E31)),"")</f>
        <v/>
      </c>
      <c r="H31" s="6"/>
      <c r="I31" s="275" t="str">
        <f t="shared" si="3"/>
        <v/>
      </c>
      <c r="M31" s="7"/>
    </row>
    <row r="32" spans="1:13" x14ac:dyDescent="0.25">
      <c r="A32" s="1" t="s">
        <v>725</v>
      </c>
      <c r="B32" s="275">
        <f>'Prior Year'!T86</f>
        <v>0</v>
      </c>
      <c r="C32" s="275">
        <f>data!T85</f>
        <v>0</v>
      </c>
      <c r="D32" s="275" t="s">
        <v>724</v>
      </c>
      <c r="E32" s="4" t="s">
        <v>724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25">
      <c r="A33" s="1" t="s">
        <v>726</v>
      </c>
      <c r="B33" s="275">
        <f>'Prior Year'!U86</f>
        <v>1030755</v>
      </c>
      <c r="C33" s="275">
        <f>data!U85</f>
        <v>1022862</v>
      </c>
      <c r="D33" s="275">
        <f>'Prior Year'!U60</f>
        <v>24582</v>
      </c>
      <c r="E33" s="1">
        <f>data!U59</f>
        <v>22964</v>
      </c>
      <c r="F33" s="238">
        <f t="shared" si="0"/>
        <v>41.931291188674642</v>
      </c>
      <c r="G33" s="238">
        <f t="shared" ref="G33:G69" si="5">IF(C33=0,"",IF(E33=0,"",C33/E33))</f>
        <v>44.541978749346804</v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25">
      <c r="A34" s="1" t="s">
        <v>727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25">
      <c r="A35" s="1" t="s">
        <v>728</v>
      </c>
      <c r="B35" s="275">
        <f>'Prior Year'!W86</f>
        <v>88442</v>
      </c>
      <c r="C35" s="275">
        <f>data!W85</f>
        <v>77955</v>
      </c>
      <c r="D35" s="275">
        <f>'Prior Year'!W60</f>
        <v>137</v>
      </c>
      <c r="E35" s="1">
        <f>data!W59</f>
        <v>109</v>
      </c>
      <c r="F35" s="238">
        <f t="shared" si="0"/>
        <v>645.56204379562041</v>
      </c>
      <c r="G35" s="238">
        <f t="shared" si="5"/>
        <v>715.18348623853205</v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25">
      <c r="A36" s="1" t="s">
        <v>729</v>
      </c>
      <c r="B36" s="275">
        <f>'Prior Year'!X86</f>
        <v>244079</v>
      </c>
      <c r="C36" s="275">
        <f>data!X85</f>
        <v>270470</v>
      </c>
      <c r="D36" s="275">
        <f>'Prior Year'!X60</f>
        <v>1527</v>
      </c>
      <c r="E36" s="1">
        <f>data!X59</f>
        <v>1389</v>
      </c>
      <c r="F36" s="238">
        <f t="shared" si="0"/>
        <v>159.8421741977734</v>
      </c>
      <c r="G36" s="238">
        <f t="shared" si="5"/>
        <v>194.72282217422605</v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ht="30" x14ac:dyDescent="0.25">
      <c r="A37" s="1" t="s">
        <v>730</v>
      </c>
      <c r="B37" s="275">
        <f>'Prior Year'!Y86</f>
        <v>652243</v>
      </c>
      <c r="C37" s="275">
        <f>data!Y85</f>
        <v>696064</v>
      </c>
      <c r="D37" s="275">
        <f>'Prior Year'!Y60</f>
        <v>4952</v>
      </c>
      <c r="E37" s="1">
        <f>data!Y59</f>
        <v>4132</v>
      </c>
      <c r="F37" s="238">
        <f t="shared" si="0"/>
        <v>131.7130452342488</v>
      </c>
      <c r="G37" s="238">
        <f t="shared" si="5"/>
        <v>168.45692158760892</v>
      </c>
      <c r="H37" s="6">
        <f t="shared" si="2"/>
        <v>0.27896915061079897</v>
      </c>
      <c r="I37" s="346" t="s">
        <v>1378</v>
      </c>
      <c r="M37" s="7"/>
    </row>
    <row r="38" spans="1:13" x14ac:dyDescent="0.25">
      <c r="A38" s="1" t="s">
        <v>731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25">
      <c r="A39" s="1" t="s">
        <v>732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25">
      <c r="A40" s="1" t="s">
        <v>733</v>
      </c>
      <c r="B40" s="275">
        <f>'Prior Year'!AB86</f>
        <v>791702</v>
      </c>
      <c r="C40" s="275">
        <f>data!AB85</f>
        <v>636846</v>
      </c>
      <c r="D40" s="275" t="s">
        <v>724</v>
      </c>
      <c r="E40" s="4" t="s">
        <v>724</v>
      </c>
      <c r="F40" s="238"/>
      <c r="G40" s="238" t="str">
        <f>IFERROR(IF(C40=0,"",IF(E40=0,"",C40/E40)),"")</f>
        <v/>
      </c>
      <c r="H40" s="6"/>
      <c r="I40" s="275" t="str">
        <f t="shared" si="3"/>
        <v/>
      </c>
      <c r="M40" s="7"/>
    </row>
    <row r="41" spans="1:13" x14ac:dyDescent="0.25">
      <c r="A41" s="1" t="s">
        <v>734</v>
      </c>
      <c r="B41" s="275">
        <f>'Prior Year'!AC86</f>
        <v>56400</v>
      </c>
      <c r="C41" s="275">
        <f>data!AC85</f>
        <v>48476</v>
      </c>
      <c r="D41" s="275">
        <f>'Prior Year'!AC60</f>
        <v>500</v>
      </c>
      <c r="E41" s="1">
        <f>data!AC59</f>
        <v>567</v>
      </c>
      <c r="F41" s="238">
        <f t="shared" si="0"/>
        <v>112.8</v>
      </c>
      <c r="G41" s="238">
        <f t="shared" si="5"/>
        <v>85.495590828924165</v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25">
      <c r="A42" s="1" t="s">
        <v>735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25">
      <c r="A43" s="1" t="s">
        <v>736</v>
      </c>
      <c r="B43" s="275">
        <f>'Prior Year'!AE86</f>
        <v>165652</v>
      </c>
      <c r="C43" s="275">
        <f>data!AE85</f>
        <v>127731</v>
      </c>
      <c r="D43" s="275">
        <f>'Prior Year'!AE60</f>
        <v>1318</v>
      </c>
      <c r="E43" s="1">
        <f>data!AE59</f>
        <v>830</v>
      </c>
      <c r="F43" s="238">
        <f t="shared" si="0"/>
        <v>125.68437025796662</v>
      </c>
      <c r="G43" s="238">
        <f t="shared" si="5"/>
        <v>153.89277108433734</v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25">
      <c r="A44" s="1" t="s">
        <v>737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25">
      <c r="A45" s="1" t="s">
        <v>738</v>
      </c>
      <c r="B45" s="275">
        <f>'Prior Year'!AG86</f>
        <v>2214571</v>
      </c>
      <c r="C45" s="275">
        <f>data!AG85</f>
        <v>2546248</v>
      </c>
      <c r="D45" s="275">
        <f>'Prior Year'!AG60</f>
        <v>8287</v>
      </c>
      <c r="E45" s="1">
        <f>data!AG59</f>
        <v>7500</v>
      </c>
      <c r="F45" s="238">
        <f t="shared" si="0"/>
        <v>267.23434294678412</v>
      </c>
      <c r="G45" s="238">
        <f t="shared" si="5"/>
        <v>339.49973333333332</v>
      </c>
      <c r="H45" s="6">
        <f t="shared" si="2"/>
        <v>0.27041954858676154</v>
      </c>
      <c r="I45" s="275" t="s">
        <v>1379</v>
      </c>
      <c r="M45" s="7"/>
    </row>
    <row r="46" spans="1:13" x14ac:dyDescent="0.25">
      <c r="A46" s="1" t="s">
        <v>739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25">
      <c r="A47" s="1" t="s">
        <v>740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25">
      <c r="A48" s="1" t="s">
        <v>741</v>
      </c>
      <c r="B48" s="275">
        <f>'Prior Year'!AJ86</f>
        <v>2124655</v>
      </c>
      <c r="C48" s="275">
        <f>data!AJ85</f>
        <v>1856875</v>
      </c>
      <c r="D48" s="275">
        <f>'Prior Year'!AJ60</f>
        <v>4583</v>
      </c>
      <c r="E48" s="1">
        <f>data!AJ59</f>
        <v>4444</v>
      </c>
      <c r="F48" s="238">
        <f t="shared" si="0"/>
        <v>463.59480689504693</v>
      </c>
      <c r="G48" s="238">
        <f t="shared" si="5"/>
        <v>417.8386588658866</v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25">
      <c r="A49" s="1" t="s">
        <v>742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25">
      <c r="A50" s="1" t="s">
        <v>743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25">
      <c r="A51" s="1" t="s">
        <v>744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25">
      <c r="A52" s="1" t="s">
        <v>745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ht="30" x14ac:dyDescent="0.25">
      <c r="A53" s="1" t="s">
        <v>746</v>
      </c>
      <c r="B53" s="275">
        <f>'Prior Year'!AO86</f>
        <v>192155</v>
      </c>
      <c r="C53" s="275">
        <f>data!AO85</f>
        <v>254899</v>
      </c>
      <c r="D53" s="275">
        <f>'Prior Year'!AO60</f>
        <v>2664</v>
      </c>
      <c r="E53" s="1">
        <f>data!AO59</f>
        <v>2544</v>
      </c>
      <c r="F53" s="238">
        <f t="shared" si="0"/>
        <v>72.13025525525525</v>
      </c>
      <c r="G53" s="238">
        <f t="shared" si="5"/>
        <v>100.19614779874213</v>
      </c>
      <c r="H53" s="6">
        <f t="shared" si="2"/>
        <v>0.38910014173895591</v>
      </c>
      <c r="I53" s="346" t="str">
        <f>I17</f>
        <v>The Hospital has a significant increase in contract nursing expenses as they struggled to recruit employees in FY22.</v>
      </c>
      <c r="M53" s="7"/>
    </row>
    <row r="54" spans="1:13" x14ac:dyDescent="0.25">
      <c r="A54" s="1" t="s">
        <v>747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25">
      <c r="A55" s="1" t="s">
        <v>748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25">
      <c r="A56" s="1" t="s">
        <v>749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25">
      <c r="A57" s="1" t="s">
        <v>750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25">
      <c r="A58" s="1" t="s">
        <v>751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25">
      <c r="A59" s="1" t="s">
        <v>752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25">
      <c r="A60" s="1" t="s">
        <v>753</v>
      </c>
      <c r="B60" s="275">
        <f>'Prior Year'!AV86</f>
        <v>0</v>
      </c>
      <c r="C60" s="275">
        <f>data!AV85</f>
        <v>0</v>
      </c>
      <c r="D60" s="275" t="s">
        <v>724</v>
      </c>
      <c r="E60" s="4" t="s">
        <v>724</v>
      </c>
      <c r="F60" s="238"/>
      <c r="G60" s="238"/>
      <c r="H60" s="6"/>
      <c r="I60" s="275" t="str">
        <f t="shared" si="6"/>
        <v/>
      </c>
      <c r="M60" s="7"/>
    </row>
    <row r="61" spans="1:13" x14ac:dyDescent="0.25">
      <c r="A61" s="1" t="s">
        <v>754</v>
      </c>
      <c r="B61" s="275">
        <f>'Prior Year'!AW86</f>
        <v>0</v>
      </c>
      <c r="C61" s="275">
        <f>data!AW85</f>
        <v>0</v>
      </c>
      <c r="D61" s="275" t="s">
        <v>724</v>
      </c>
      <c r="E61" s="4" t="s">
        <v>724</v>
      </c>
      <c r="F61" s="238"/>
      <c r="G61" s="238"/>
      <c r="H61" s="6"/>
      <c r="I61" s="275" t="str">
        <f t="shared" si="6"/>
        <v/>
      </c>
      <c r="M61" s="7"/>
    </row>
    <row r="62" spans="1:13" x14ac:dyDescent="0.25">
      <c r="A62" s="1" t="s">
        <v>755</v>
      </c>
      <c r="B62" s="275">
        <f>'Prior Year'!AX86</f>
        <v>0</v>
      </c>
      <c r="C62" s="275">
        <f>data!AX85</f>
        <v>0</v>
      </c>
      <c r="D62" s="275" t="s">
        <v>724</v>
      </c>
      <c r="E62" s="4" t="s">
        <v>724</v>
      </c>
      <c r="F62" s="238"/>
      <c r="G62" s="238"/>
      <c r="H62" s="6"/>
      <c r="I62" s="275" t="str">
        <f t="shared" si="6"/>
        <v/>
      </c>
      <c r="M62" s="7"/>
    </row>
    <row r="63" spans="1:13" x14ac:dyDescent="0.25">
      <c r="A63" s="1" t="s">
        <v>756</v>
      </c>
      <c r="B63" s="275">
        <f>'Prior Year'!AY86</f>
        <v>271923</v>
      </c>
      <c r="C63" s="275">
        <f>data!AY85</f>
        <v>291388</v>
      </c>
      <c r="D63" s="275">
        <f>'Prior Year'!AY60</f>
        <v>4185</v>
      </c>
      <c r="E63" s="1">
        <f>data!AY59</f>
        <v>5163</v>
      </c>
      <c r="F63" s="238">
        <f>IF(B63=0,"",IF(D63=0,"",B63/D63))</f>
        <v>64.975627240143368</v>
      </c>
      <c r="G63" s="238">
        <f t="shared" si="5"/>
        <v>56.437730001936856</v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25">
      <c r="A64" s="1" t="s">
        <v>757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25">
      <c r="A65" s="1" t="s">
        <v>758</v>
      </c>
      <c r="B65" s="275">
        <f>'Prior Year'!BA86</f>
        <v>65624</v>
      </c>
      <c r="C65" s="275">
        <f>data!BA85</f>
        <v>67000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25">
      <c r="A66" s="1" t="s">
        <v>759</v>
      </c>
      <c r="B66" s="275">
        <f>'Prior Year'!BB86</f>
        <v>0</v>
      </c>
      <c r="C66" s="275">
        <f>data!BB85</f>
        <v>0</v>
      </c>
      <c r="D66" s="275" t="s">
        <v>724</v>
      </c>
      <c r="E66" s="4" t="s">
        <v>724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25">
      <c r="A67" s="1" t="s">
        <v>760</v>
      </c>
      <c r="B67" s="275">
        <f>'Prior Year'!BC86</f>
        <v>0</v>
      </c>
      <c r="C67" s="275">
        <f>data!BC85</f>
        <v>0</v>
      </c>
      <c r="D67" s="275" t="s">
        <v>724</v>
      </c>
      <c r="E67" s="4" t="s">
        <v>724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25">
      <c r="A68" s="1" t="s">
        <v>761</v>
      </c>
      <c r="B68" s="275">
        <f>'Prior Year'!BD86</f>
        <v>165642</v>
      </c>
      <c r="C68" s="275">
        <f>data!BD85</f>
        <v>158628</v>
      </c>
      <c r="D68" s="275" t="s">
        <v>724</v>
      </c>
      <c r="E68" s="4" t="s">
        <v>724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25">
      <c r="A69" s="1" t="s">
        <v>762</v>
      </c>
      <c r="B69" s="275">
        <f>'Prior Year'!BE86</f>
        <v>571860</v>
      </c>
      <c r="C69" s="275">
        <f>data!BE85</f>
        <v>598197</v>
      </c>
      <c r="D69" s="275">
        <f>'Prior Year'!BE60</f>
        <v>57328</v>
      </c>
      <c r="E69" s="1">
        <f>data!BE59</f>
        <v>55657</v>
      </c>
      <c r="F69" s="238">
        <f>IF(B69=0,"",IF(D69=0,"",B69/D69))</f>
        <v>9.9752302539771147</v>
      </c>
      <c r="G69" s="238">
        <f t="shared" si="5"/>
        <v>10.747920297536698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25">
      <c r="A70" s="1" t="s">
        <v>763</v>
      </c>
      <c r="B70" s="275">
        <f>'Prior Year'!BF86</f>
        <v>263854</v>
      </c>
      <c r="C70" s="275">
        <f>data!BF85</f>
        <v>293579</v>
      </c>
      <c r="D70" s="275" t="s">
        <v>724</v>
      </c>
      <c r="E70" s="4" t="s">
        <v>724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25">
      <c r="A71" s="1" t="s">
        <v>764</v>
      </c>
      <c r="B71" s="275">
        <f>'Prior Year'!BG86</f>
        <v>0</v>
      </c>
      <c r="C71" s="275">
        <f>data!BG85</f>
        <v>0</v>
      </c>
      <c r="D71" s="275" t="s">
        <v>724</v>
      </c>
      <c r="E71" s="4" t="s">
        <v>724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25">
      <c r="A72" s="1" t="s">
        <v>765</v>
      </c>
      <c r="B72" s="275">
        <f>'Prior Year'!BH86</f>
        <v>742090</v>
      </c>
      <c r="C72" s="275">
        <f>data!BH85</f>
        <v>921386</v>
      </c>
      <c r="D72" s="275" t="s">
        <v>724</v>
      </c>
      <c r="E72" s="4" t="s">
        <v>724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25">
      <c r="A73" s="1" t="s">
        <v>766</v>
      </c>
      <c r="B73" s="275">
        <f>'Prior Year'!BI86</f>
        <v>0</v>
      </c>
      <c r="C73" s="275">
        <f>data!BI85</f>
        <v>0</v>
      </c>
      <c r="D73" s="275" t="s">
        <v>724</v>
      </c>
      <c r="E73" s="4" t="s">
        <v>724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25">
      <c r="A74" s="1" t="s">
        <v>767</v>
      </c>
      <c r="B74" s="275">
        <f>'Prior Year'!BJ86</f>
        <v>530408</v>
      </c>
      <c r="C74" s="275">
        <f>data!BJ85</f>
        <v>589874</v>
      </c>
      <c r="D74" s="275" t="s">
        <v>724</v>
      </c>
      <c r="E74" s="4" t="s">
        <v>724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25">
      <c r="A75" s="1" t="s">
        <v>768</v>
      </c>
      <c r="B75" s="275">
        <f>'Prior Year'!BK86</f>
        <v>677566</v>
      </c>
      <c r="C75" s="275">
        <f>data!BK85</f>
        <v>870113</v>
      </c>
      <c r="D75" s="275" t="s">
        <v>724</v>
      </c>
      <c r="E75" s="4" t="s">
        <v>724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25">
      <c r="A76" s="1" t="s">
        <v>769</v>
      </c>
      <c r="B76" s="275">
        <f>'Prior Year'!BL86</f>
        <v>263309</v>
      </c>
      <c r="C76" s="275">
        <f>data!BL85</f>
        <v>235438</v>
      </c>
      <c r="D76" s="275" t="s">
        <v>724</v>
      </c>
      <c r="E76" s="4" t="s">
        <v>724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25">
      <c r="A77" s="1" t="s">
        <v>770</v>
      </c>
      <c r="B77" s="275">
        <f>'Prior Year'!BM86</f>
        <v>0</v>
      </c>
      <c r="C77" s="275">
        <f>data!BM85</f>
        <v>0</v>
      </c>
      <c r="D77" s="275" t="s">
        <v>724</v>
      </c>
      <c r="E77" s="4" t="s">
        <v>724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25">
      <c r="A78" s="1" t="s">
        <v>771</v>
      </c>
      <c r="B78" s="275">
        <f>'Prior Year'!BN86</f>
        <v>705366</v>
      </c>
      <c r="C78" s="275">
        <f>data!BN85</f>
        <v>713373</v>
      </c>
      <c r="D78" s="275" t="s">
        <v>724</v>
      </c>
      <c r="E78" s="4" t="s">
        <v>724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25">
      <c r="A79" s="1" t="s">
        <v>772</v>
      </c>
      <c r="B79" s="275">
        <f>'Prior Year'!BO86</f>
        <v>58035</v>
      </c>
      <c r="C79" s="275">
        <f>data!BO85</f>
        <v>8827</v>
      </c>
      <c r="D79" s="275" t="s">
        <v>724</v>
      </c>
      <c r="E79" s="4" t="s">
        <v>724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25">
      <c r="A80" s="1" t="s">
        <v>773</v>
      </c>
      <c r="B80" s="275">
        <f>'Prior Year'!BP86</f>
        <v>159074</v>
      </c>
      <c r="C80" s="275">
        <f>data!BP85</f>
        <v>180313</v>
      </c>
      <c r="D80" s="275" t="s">
        <v>724</v>
      </c>
      <c r="E80" s="4" t="s">
        <v>724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25">
      <c r="A81" s="1" t="s">
        <v>774</v>
      </c>
      <c r="B81" s="275">
        <f>'Prior Year'!BQ86</f>
        <v>0</v>
      </c>
      <c r="C81" s="275">
        <f>data!BQ85</f>
        <v>0</v>
      </c>
      <c r="D81" s="275" t="s">
        <v>724</v>
      </c>
      <c r="E81" s="4" t="s">
        <v>724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25">
      <c r="A82" s="1" t="s">
        <v>775</v>
      </c>
      <c r="B82" s="275">
        <f>'Prior Year'!BR86</f>
        <v>241650</v>
      </c>
      <c r="C82" s="275">
        <f>data!BR85</f>
        <v>253221</v>
      </c>
      <c r="D82" s="275" t="s">
        <v>724</v>
      </c>
      <c r="E82" s="4" t="s">
        <v>724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25">
      <c r="A83" s="1" t="s">
        <v>776</v>
      </c>
      <c r="B83" s="275">
        <f>'Prior Year'!BS86</f>
        <v>0</v>
      </c>
      <c r="C83" s="275">
        <f>data!BS85</f>
        <v>0</v>
      </c>
      <c r="D83" s="275" t="s">
        <v>724</v>
      </c>
      <c r="E83" s="4" t="s">
        <v>724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25">
      <c r="A84" s="1" t="s">
        <v>777</v>
      </c>
      <c r="B84" s="275">
        <f>'Prior Year'!BT86</f>
        <v>0</v>
      </c>
      <c r="C84" s="275">
        <f>data!BT85</f>
        <v>0</v>
      </c>
      <c r="D84" s="275" t="s">
        <v>724</v>
      </c>
      <c r="E84" s="4" t="s">
        <v>724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25">
      <c r="A85" s="1" t="s">
        <v>778</v>
      </c>
      <c r="B85" s="275">
        <f>'Prior Year'!BU86</f>
        <v>0</v>
      </c>
      <c r="C85" s="275">
        <f>data!BU85</f>
        <v>0</v>
      </c>
      <c r="D85" s="275" t="s">
        <v>724</v>
      </c>
      <c r="E85" s="4" t="s">
        <v>724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25">
      <c r="A86" s="1" t="s">
        <v>779</v>
      </c>
      <c r="B86" s="275">
        <f>'Prior Year'!BV86</f>
        <v>261320</v>
      </c>
      <c r="C86" s="275">
        <f>data!BV85</f>
        <v>275912</v>
      </c>
      <c r="D86" s="275" t="s">
        <v>724</v>
      </c>
      <c r="E86" s="4" t="s">
        <v>724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25">
      <c r="A87" s="1" t="s">
        <v>780</v>
      </c>
      <c r="B87" s="275">
        <f>'Prior Year'!BW86</f>
        <v>0</v>
      </c>
      <c r="C87" s="275">
        <f>data!BW85</f>
        <v>0</v>
      </c>
      <c r="D87" s="275" t="s">
        <v>724</v>
      </c>
      <c r="E87" s="4" t="s">
        <v>724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25">
      <c r="A88" s="1" t="s">
        <v>781</v>
      </c>
      <c r="B88" s="275">
        <f>'Prior Year'!BX86</f>
        <v>237902</v>
      </c>
      <c r="C88" s="275">
        <f>data!BX85</f>
        <v>284741</v>
      </c>
      <c r="D88" s="275" t="s">
        <v>724</v>
      </c>
      <c r="E88" s="4" t="s">
        <v>724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25">
      <c r="A89" s="1" t="s">
        <v>782</v>
      </c>
      <c r="B89" s="275">
        <f>'Prior Year'!BY86</f>
        <v>533146</v>
      </c>
      <c r="C89" s="275">
        <f>data!BY85</f>
        <v>284592</v>
      </c>
      <c r="D89" s="275" t="s">
        <v>724</v>
      </c>
      <c r="E89" s="4" t="s">
        <v>724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25">
      <c r="A90" s="1" t="s">
        <v>783</v>
      </c>
      <c r="B90" s="275">
        <f>'Prior Year'!BZ86</f>
        <v>0</v>
      </c>
      <c r="C90" s="275">
        <f>data!BZ85</f>
        <v>0</v>
      </c>
      <c r="D90" s="275" t="s">
        <v>724</v>
      </c>
      <c r="E90" s="4" t="s">
        <v>724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25">
      <c r="A91" s="1" t="s">
        <v>784</v>
      </c>
      <c r="B91" s="275">
        <f>'Prior Year'!CA86</f>
        <v>0</v>
      </c>
      <c r="C91" s="275">
        <f>data!CA85</f>
        <v>0</v>
      </c>
      <c r="D91" s="275" t="s">
        <v>724</v>
      </c>
      <c r="E91" s="4" t="s">
        <v>724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25">
      <c r="A92" s="1" t="s">
        <v>785</v>
      </c>
      <c r="B92" s="275">
        <f>'Prior Year'!CB86</f>
        <v>0</v>
      </c>
      <c r="C92" s="275">
        <f>data!CB85</f>
        <v>0</v>
      </c>
      <c r="D92" s="275" t="s">
        <v>724</v>
      </c>
      <c r="E92" s="4" t="s">
        <v>724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25">
      <c r="A93" s="1" t="s">
        <v>786</v>
      </c>
      <c r="B93" s="275">
        <f>'Prior Year'!CC86</f>
        <v>0</v>
      </c>
      <c r="C93" s="275">
        <f>data!CC85</f>
        <v>0</v>
      </c>
      <c r="D93" s="275" t="s">
        <v>724</v>
      </c>
      <c r="E93" s="4" t="s">
        <v>724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25">
      <c r="A94" s="1" t="s">
        <v>787</v>
      </c>
      <c r="B94" s="275">
        <f>'Prior Year'!CD86</f>
        <v>156781</v>
      </c>
      <c r="C94" s="275">
        <f>data!CD85</f>
        <v>415508</v>
      </c>
      <c r="D94" s="275" t="s">
        <v>724</v>
      </c>
      <c r="E94" s="4" t="s">
        <v>724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topLeftCell="A16" workbookViewId="0">
      <selection activeCell="D29" sqref="D29"/>
    </sheetView>
  </sheetViews>
  <sheetFormatPr defaultColWidth="8.6640625" defaultRowHeight="15" x14ac:dyDescent="0.2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25">
      <c r="A1" s="331" t="s">
        <v>1347</v>
      </c>
    </row>
    <row r="3" spans="1:4" x14ac:dyDescent="0.25">
      <c r="A3" s="11" t="s">
        <v>788</v>
      </c>
    </row>
    <row r="4" spans="1:4" x14ac:dyDescent="0.25">
      <c r="A4" s="329" t="s">
        <v>1345</v>
      </c>
    </row>
    <row r="5" spans="1:4" x14ac:dyDescent="0.25">
      <c r="A5" s="330" t="s">
        <v>1343</v>
      </c>
    </row>
    <row r="6" spans="1:4" x14ac:dyDescent="0.25">
      <c r="A6" s="328"/>
    </row>
    <row r="7" spans="1:4" x14ac:dyDescent="0.25">
      <c r="A7" s="329" t="s">
        <v>1346</v>
      </c>
    </row>
    <row r="8" spans="1:4" x14ac:dyDescent="0.25">
      <c r="A8" s="330" t="s">
        <v>1344</v>
      </c>
    </row>
    <row r="11" spans="1:4" x14ac:dyDescent="0.25">
      <c r="A11" s="13" t="s">
        <v>789</v>
      </c>
      <c r="D11" s="276">
        <f>data!C380</f>
        <v>102834</v>
      </c>
    </row>
    <row r="12" spans="1:4" x14ac:dyDescent="0.25">
      <c r="A12" s="13" t="s">
        <v>790</v>
      </c>
      <c r="D12" s="276" t="str">
        <f>IF(OR(data!C380&gt;1000000,data!C380/(data!D360+data!D383)&gt;0.01),"Yes","No")</f>
        <v>No</v>
      </c>
    </row>
    <row r="14" spans="1:4" x14ac:dyDescent="0.25">
      <c r="A14" s="13" t="s">
        <v>791</v>
      </c>
      <c r="D14" s="14" t="s">
        <v>792</v>
      </c>
    </row>
    <row r="15" spans="1:4" x14ac:dyDescent="0.25">
      <c r="A15" s="12" t="s">
        <v>793</v>
      </c>
      <c r="D15" s="15"/>
    </row>
    <row r="16" spans="1:4" x14ac:dyDescent="0.25">
      <c r="A16" s="12" t="s">
        <v>793</v>
      </c>
      <c r="D16" s="15"/>
    </row>
    <row r="17" spans="1:4" x14ac:dyDescent="0.25">
      <c r="A17" s="12" t="s">
        <v>793</v>
      </c>
      <c r="D17" s="15"/>
    </row>
    <row r="18" spans="1:4" x14ac:dyDescent="0.25">
      <c r="A18" s="12" t="s">
        <v>793</v>
      </c>
      <c r="D18" s="15"/>
    </row>
    <row r="19" spans="1:4" x14ac:dyDescent="0.25">
      <c r="A19" s="12" t="s">
        <v>793</v>
      </c>
      <c r="D19" s="15"/>
    </row>
    <row r="20" spans="1:4" x14ac:dyDescent="0.25">
      <c r="A20" s="12" t="s">
        <v>793</v>
      </c>
      <c r="D20" s="15"/>
    </row>
    <row r="21" spans="1:4" x14ac:dyDescent="0.25">
      <c r="A21" s="12" t="s">
        <v>793</v>
      </c>
      <c r="D21" s="15"/>
    </row>
    <row r="25" spans="1:4" x14ac:dyDescent="0.25">
      <c r="A25" s="13" t="s">
        <v>794</v>
      </c>
      <c r="D25" s="277">
        <f>data!C414</f>
        <v>264925</v>
      </c>
    </row>
    <row r="26" spans="1:4" x14ac:dyDescent="0.25">
      <c r="A26" s="13" t="s">
        <v>790</v>
      </c>
      <c r="D26" s="277" t="str">
        <f>IF(OR(data!C414&gt;1000000,data!C414/(data!D416)&gt;0.01),"Yes","No")</f>
        <v>Yes</v>
      </c>
    </row>
    <row r="28" spans="1:4" x14ac:dyDescent="0.25">
      <c r="A28" s="13" t="s">
        <v>791</v>
      </c>
      <c r="D28" s="14" t="s">
        <v>792</v>
      </c>
    </row>
    <row r="29" spans="1:4" x14ac:dyDescent="0.25">
      <c r="A29" s="12" t="s">
        <v>795</v>
      </c>
      <c r="D29" s="15"/>
    </row>
    <row r="30" spans="1:4" x14ac:dyDescent="0.25">
      <c r="A30" s="12" t="s">
        <v>795</v>
      </c>
      <c r="D30" s="15"/>
    </row>
    <row r="31" spans="1:4" x14ac:dyDescent="0.25">
      <c r="A31" s="12" t="s">
        <v>795</v>
      </c>
      <c r="D31" s="15"/>
    </row>
    <row r="32" spans="1:4" x14ac:dyDescent="0.25">
      <c r="A32" s="12" t="s">
        <v>795</v>
      </c>
      <c r="D32" s="15"/>
    </row>
    <row r="33" spans="1:4" x14ac:dyDescent="0.25">
      <c r="A33" s="12" t="s">
        <v>795</v>
      </c>
      <c r="D33" s="15"/>
    </row>
    <row r="34" spans="1:4" x14ac:dyDescent="0.25">
      <c r="A34" s="12" t="s">
        <v>795</v>
      </c>
      <c r="D34" s="15"/>
    </row>
    <row r="35" spans="1:4" x14ac:dyDescent="0.25">
      <c r="A35" s="12" t="s">
        <v>795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opLeftCell="A40" workbookViewId="0">
      <selection activeCell="O32" sqref="O3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G1" s="75" t="s">
        <v>796</v>
      </c>
    </row>
    <row r="2" spans="1:7" ht="20.100000000000001" customHeight="1" x14ac:dyDescent="0.25">
      <c r="A2" s="76" t="s">
        <v>797</v>
      </c>
      <c r="B2" s="76"/>
      <c r="C2" s="76"/>
      <c r="D2" s="76"/>
      <c r="E2" s="76"/>
      <c r="F2" s="76"/>
    </row>
    <row r="3" spans="1:7" ht="20.100000000000001" customHeight="1" x14ac:dyDescent="0.25">
      <c r="B3" s="76"/>
      <c r="C3" s="76"/>
      <c r="D3" s="76"/>
      <c r="E3" s="76"/>
      <c r="F3" s="76"/>
      <c r="G3" s="76"/>
    </row>
    <row r="4" spans="1:7" ht="20.100000000000001" customHeight="1" x14ac:dyDescent="0.2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H-23</v>
      </c>
      <c r="G4" s="81"/>
    </row>
    <row r="5" spans="1:7" ht="20.100000000000001" customHeight="1" x14ac:dyDescent="0.25">
      <c r="A5" s="77">
        <v>2</v>
      </c>
      <c r="B5" s="78" t="s">
        <v>285</v>
      </c>
      <c r="C5" s="81"/>
      <c r="D5" s="78" t="str">
        <f>"  "&amp;data!C98</f>
        <v xml:space="preserve">  Three Rivers Hospital</v>
      </c>
      <c r="E5" s="80"/>
      <c r="F5" s="80"/>
      <c r="G5" s="81"/>
    </row>
    <row r="6" spans="1:7" ht="20.100000000000001" customHeight="1" x14ac:dyDescent="0.25">
      <c r="A6" s="77">
        <v>3</v>
      </c>
      <c r="B6" s="78" t="s">
        <v>290</v>
      </c>
      <c r="C6" s="81"/>
      <c r="D6" s="78" t="str">
        <f>"  "&amp;data!C103</f>
        <v xml:space="preserve">  Okanogan</v>
      </c>
      <c r="E6" s="80"/>
      <c r="F6" s="80"/>
      <c r="G6" s="81"/>
    </row>
    <row r="7" spans="1:7" ht="20.100000000000001" customHeight="1" x14ac:dyDescent="0.25">
      <c r="A7" s="77">
        <v>4</v>
      </c>
      <c r="B7" s="78" t="s">
        <v>798</v>
      </c>
      <c r="C7" s="81"/>
      <c r="D7" s="78" t="str">
        <f>"  "&amp;data!C104</f>
        <v xml:space="preserve">  J. Scott Graham</v>
      </c>
      <c r="E7" s="80"/>
      <c r="F7" s="80"/>
      <c r="G7" s="81"/>
    </row>
    <row r="8" spans="1:7" ht="20.100000000000001" customHeight="1" x14ac:dyDescent="0.25">
      <c r="A8" s="77">
        <v>5</v>
      </c>
      <c r="B8" s="78" t="s">
        <v>799</v>
      </c>
      <c r="C8" s="81"/>
      <c r="D8" s="78" t="str">
        <f>"  "&amp;data!C105</f>
        <v xml:space="preserve">  Jennifer Munson</v>
      </c>
      <c r="E8" s="80"/>
      <c r="F8" s="80"/>
      <c r="G8" s="81"/>
    </row>
    <row r="9" spans="1:7" ht="20.100000000000001" customHeight="1" x14ac:dyDescent="0.25">
      <c r="A9" s="77">
        <v>6</v>
      </c>
      <c r="B9" s="78" t="s">
        <v>800</v>
      </c>
      <c r="C9" s="81"/>
      <c r="D9" s="78" t="str">
        <f>"  "&amp;data!C106</f>
        <v xml:space="preserve">  Mike Pruett</v>
      </c>
      <c r="E9" s="80"/>
      <c r="F9" s="80"/>
      <c r="G9" s="81"/>
    </row>
    <row r="10" spans="1:7" ht="20.100000000000001" customHeight="1" x14ac:dyDescent="0.25">
      <c r="A10" s="77">
        <v>7</v>
      </c>
      <c r="B10" s="78" t="s">
        <v>801</v>
      </c>
      <c r="C10" s="81"/>
      <c r="D10" s="78" t="str">
        <f>"  "&amp;data!C107</f>
        <v xml:space="preserve">  (509) 689-2517</v>
      </c>
      <c r="E10" s="80"/>
      <c r="F10" s="80"/>
      <c r="G10" s="81"/>
    </row>
    <row r="11" spans="1:7" ht="20.100000000000001" customHeight="1" x14ac:dyDescent="0.25">
      <c r="A11" s="77">
        <v>8</v>
      </c>
      <c r="B11" s="78" t="s">
        <v>802</v>
      </c>
      <c r="C11" s="81"/>
      <c r="D11" s="78" t="str">
        <f>"  "&amp;data!C108</f>
        <v xml:space="preserve">  (509) 689-2086</v>
      </c>
      <c r="E11" s="80"/>
      <c r="F11" s="80"/>
      <c r="G11" s="81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85"/>
      <c r="G13" s="86"/>
    </row>
    <row r="14" spans="1:7" ht="20.100000000000001" customHeight="1" x14ac:dyDescent="0.2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00000000000001" customHeight="1" x14ac:dyDescent="0.2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00000000000001" customHeight="1" x14ac:dyDescent="0.2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8" t="str">
        <f>IF(data!C120&gt;0," X","")</f>
        <v/>
      </c>
      <c r="F16" s="95" t="s">
        <v>304</v>
      </c>
      <c r="G16" s="81"/>
    </row>
    <row r="17" spans="1:7" ht="20.100000000000001" customHeight="1" x14ac:dyDescent="0.2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00000000000001" customHeight="1" x14ac:dyDescent="0.25">
      <c r="A18" s="77"/>
      <c r="B18" s="81" t="s">
        <v>805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00000000000001" customHeight="1" x14ac:dyDescent="0.2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00000000000001" customHeight="1" x14ac:dyDescent="0.25">
      <c r="A20" s="82"/>
      <c r="B20" s="83"/>
      <c r="C20" s="83"/>
      <c r="D20" s="83"/>
      <c r="E20" s="83"/>
      <c r="F20" s="83"/>
      <c r="G20" s="84"/>
    </row>
    <row r="21" spans="1:7" ht="20.100000000000001" customHeight="1" x14ac:dyDescent="0.25">
      <c r="A21" s="85"/>
      <c r="G21" s="96"/>
    </row>
    <row r="22" spans="1:7" ht="20.100000000000001" customHeight="1" x14ac:dyDescent="0.2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00000000000001" customHeight="1" x14ac:dyDescent="0.25">
      <c r="A23" s="77"/>
      <c r="B23" s="78" t="s">
        <v>808</v>
      </c>
      <c r="C23" s="78"/>
      <c r="D23" s="78"/>
      <c r="E23" s="78"/>
      <c r="F23" s="77">
        <f>data!C127</f>
        <v>111</v>
      </c>
      <c r="G23" s="81">
        <f>data!D127</f>
        <v>440</v>
      </c>
    </row>
    <row r="24" spans="1:7" ht="20.100000000000001" customHeight="1" x14ac:dyDescent="0.25">
      <c r="A24" s="77"/>
      <c r="B24" s="78" t="s">
        <v>809</v>
      </c>
      <c r="C24" s="78"/>
      <c r="D24" s="78"/>
      <c r="E24" s="78"/>
      <c r="F24" s="77">
        <f>data!C128</f>
        <v>36</v>
      </c>
      <c r="G24" s="81">
        <f>data!D128</f>
        <v>585</v>
      </c>
    </row>
    <row r="25" spans="1:7" ht="20.100000000000001" customHeight="1" x14ac:dyDescent="0.2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00000000000001" customHeight="1" x14ac:dyDescent="0.2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00000000000001" customHeight="1" x14ac:dyDescent="0.25">
      <c r="A27" s="82"/>
      <c r="B27" s="83"/>
      <c r="C27" s="83"/>
      <c r="D27" s="83"/>
      <c r="E27" s="83"/>
      <c r="F27" s="83"/>
      <c r="G27" s="84"/>
    </row>
    <row r="28" spans="1:7" ht="20.100000000000001" customHeight="1" x14ac:dyDescent="0.25">
      <c r="A28" s="85"/>
      <c r="G28" s="96"/>
    </row>
    <row r="29" spans="1:7" ht="20.100000000000001" customHeight="1" x14ac:dyDescent="0.2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00000000000001" customHeight="1" x14ac:dyDescent="0.25">
      <c r="A30" s="77"/>
      <c r="B30" s="78" t="s">
        <v>315</v>
      </c>
      <c r="C30" s="81"/>
      <c r="D30" s="81">
        <f>data!C132</f>
        <v>2</v>
      </c>
      <c r="E30" s="78" t="s">
        <v>321</v>
      </c>
      <c r="F30" s="81"/>
      <c r="G30" s="81">
        <f>data!C139</f>
        <v>0</v>
      </c>
    </row>
    <row r="31" spans="1:7" ht="20.100000000000001" customHeight="1" x14ac:dyDescent="0.2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5</v>
      </c>
    </row>
    <row r="32" spans="1:7" ht="20.100000000000001" customHeight="1" x14ac:dyDescent="0.25">
      <c r="A32" s="77"/>
      <c r="B32" s="97" t="s">
        <v>813</v>
      </c>
      <c r="C32" s="81"/>
      <c r="D32" s="81">
        <f>data!C134</f>
        <v>18</v>
      </c>
      <c r="E32" s="78" t="s">
        <v>814</v>
      </c>
      <c r="F32" s="81"/>
      <c r="G32" s="81">
        <f>data!C141</f>
        <v>0</v>
      </c>
    </row>
    <row r="33" spans="1:7" ht="20.100000000000001" customHeight="1" x14ac:dyDescent="0.2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00000000000001" customHeight="1" x14ac:dyDescent="0.2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25</v>
      </c>
    </row>
    <row r="35" spans="1:7" ht="20.100000000000001" customHeight="1" x14ac:dyDescent="0.2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00000000000001" customHeight="1" x14ac:dyDescent="0.2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25</v>
      </c>
    </row>
    <row r="37" spans="1:7" ht="20.100000000000001" customHeight="1" x14ac:dyDescent="0.25">
      <c r="A37" s="77"/>
      <c r="E37" s="78" t="s">
        <v>326</v>
      </c>
      <c r="F37" s="81"/>
      <c r="G37" s="81">
        <f>data!C145</f>
        <v>6</v>
      </c>
    </row>
    <row r="38" spans="1:7" ht="20.100000000000001" customHeight="1" x14ac:dyDescent="0.25">
      <c r="A38" s="77"/>
      <c r="B38" s="78"/>
      <c r="C38" s="78"/>
      <c r="D38" s="78"/>
      <c r="E38" s="78"/>
      <c r="F38" s="78"/>
      <c r="G38" s="81"/>
    </row>
    <row r="39" spans="1:7" ht="20.100000000000001" customHeight="1" x14ac:dyDescent="0.2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00000000000001" customHeight="1" x14ac:dyDescent="0.2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4" zoomScaleNormal="100" workbookViewId="0">
      <selection activeCell="O32" sqref="O32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9" width="8.77734375" style="1" customWidth="1"/>
    <col min="10" max="16384" width="8.77734375" style="1"/>
  </cols>
  <sheetData>
    <row r="1" spans="1:7" ht="20.100000000000001" customHeight="1" x14ac:dyDescent="0.25">
      <c r="A1" s="134" t="s">
        <v>821</v>
      </c>
      <c r="G1" s="75" t="s">
        <v>822</v>
      </c>
    </row>
    <row r="2" spans="1:7" ht="20.100000000000001" customHeight="1" x14ac:dyDescent="0.25">
      <c r="A2" s="1" t="str">
        <f>"Hospital: "&amp;data!C98</f>
        <v>Hospital: Three Rivers Hospital</v>
      </c>
      <c r="G2" s="4" t="s">
        <v>823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5" t="s">
        <v>824</v>
      </c>
      <c r="B4" s="136"/>
      <c r="C4" s="136"/>
      <c r="D4" s="136"/>
      <c r="E4" s="136"/>
      <c r="F4" s="136"/>
      <c r="G4" s="137"/>
    </row>
    <row r="5" spans="1:7" ht="20.100000000000001" customHeight="1" x14ac:dyDescent="0.2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00000000000001" customHeight="1" x14ac:dyDescent="0.2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00000000000001" customHeight="1" x14ac:dyDescent="0.25">
      <c r="A7" s="77" t="s">
        <v>330</v>
      </c>
      <c r="B7" s="141">
        <f>data!B154</f>
        <v>47</v>
      </c>
      <c r="C7" s="141">
        <f>data!B155</f>
        <v>187</v>
      </c>
      <c r="D7" s="141">
        <f>data!B156</f>
        <v>0</v>
      </c>
      <c r="E7" s="141">
        <f>data!B157</f>
        <v>1216258</v>
      </c>
      <c r="F7" s="141">
        <f>data!B158</f>
        <v>7811306</v>
      </c>
      <c r="G7" s="141">
        <f>data!B157+data!B158</f>
        <v>9027564</v>
      </c>
    </row>
    <row r="8" spans="1:7" ht="20.100000000000001" customHeight="1" x14ac:dyDescent="0.25">
      <c r="A8" s="77" t="s">
        <v>331</v>
      </c>
      <c r="B8" s="141">
        <f>data!C154</f>
        <v>30</v>
      </c>
      <c r="C8" s="141">
        <f>data!C155</f>
        <v>120</v>
      </c>
      <c r="D8" s="141">
        <f>data!C156</f>
        <v>0</v>
      </c>
      <c r="E8" s="141">
        <f>data!C157</f>
        <v>780486</v>
      </c>
      <c r="F8" s="141">
        <f>data!C158</f>
        <v>5012603</v>
      </c>
      <c r="G8" s="141">
        <f>data!C157+data!C158</f>
        <v>5793089</v>
      </c>
    </row>
    <row r="9" spans="1:7" ht="20.100000000000001" customHeight="1" x14ac:dyDescent="0.25">
      <c r="A9" s="77" t="s">
        <v>828</v>
      </c>
      <c r="B9" s="141">
        <f>data!D154</f>
        <v>34</v>
      </c>
      <c r="C9" s="141">
        <f>data!D155</f>
        <v>133</v>
      </c>
      <c r="D9" s="141">
        <f>data!D156</f>
        <v>0</v>
      </c>
      <c r="E9" s="141">
        <f>data!D157</f>
        <v>865039</v>
      </c>
      <c r="F9" s="141">
        <f>data!D158</f>
        <v>5555635</v>
      </c>
      <c r="G9" s="141">
        <f>data!D157+data!D158</f>
        <v>6420674</v>
      </c>
    </row>
    <row r="10" spans="1:7" ht="20.100000000000001" customHeight="1" x14ac:dyDescent="0.25">
      <c r="A10" s="92" t="s">
        <v>215</v>
      </c>
      <c r="B10" s="141">
        <f>data!E154</f>
        <v>111</v>
      </c>
      <c r="C10" s="141">
        <f>data!E155</f>
        <v>440</v>
      </c>
      <c r="D10" s="141">
        <f>data!E156</f>
        <v>0</v>
      </c>
      <c r="E10" s="141">
        <f>data!E157</f>
        <v>2861783</v>
      </c>
      <c r="F10" s="141">
        <f>data!E158</f>
        <v>18379544</v>
      </c>
      <c r="G10" s="141">
        <f>E10+F10</f>
        <v>21241327</v>
      </c>
    </row>
    <row r="11" spans="1:7" ht="20.100000000000001" customHeight="1" x14ac:dyDescent="0.25">
      <c r="A11" s="142"/>
      <c r="B11" s="143"/>
      <c r="C11" s="143"/>
      <c r="D11" s="143"/>
      <c r="E11" s="143"/>
      <c r="F11" s="143"/>
      <c r="G11" s="144"/>
    </row>
    <row r="12" spans="1:7" ht="20.100000000000001" customHeight="1" x14ac:dyDescent="0.25">
      <c r="A12" s="82"/>
      <c r="B12" s="83"/>
      <c r="C12" s="83"/>
      <c r="D12" s="83"/>
      <c r="E12" s="83"/>
      <c r="F12" s="83"/>
      <c r="G12" s="84"/>
    </row>
    <row r="13" spans="1:7" ht="20.100000000000001" customHeight="1" x14ac:dyDescent="0.25">
      <c r="A13" s="145" t="s">
        <v>829</v>
      </c>
      <c r="B13" s="76"/>
      <c r="C13" s="76"/>
      <c r="D13" s="76"/>
      <c r="E13" s="76"/>
      <c r="F13" s="76"/>
      <c r="G13" s="146"/>
    </row>
    <row r="14" spans="1:7" ht="20.100000000000001" customHeight="1" x14ac:dyDescent="0.2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00000000000001" customHeight="1" x14ac:dyDescent="0.2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00000000000001" customHeight="1" x14ac:dyDescent="0.25">
      <c r="A16" s="77" t="s">
        <v>330</v>
      </c>
      <c r="B16" s="141">
        <f>data!B160</f>
        <v>25</v>
      </c>
      <c r="C16" s="141">
        <f>data!B161</f>
        <v>411</v>
      </c>
      <c r="D16" s="141">
        <f>data!B162</f>
        <v>0</v>
      </c>
      <c r="E16" s="141">
        <f>data!B163</f>
        <v>573023</v>
      </c>
      <c r="F16" s="141">
        <f>data!B164</f>
        <v>0</v>
      </c>
      <c r="G16" s="141">
        <f>data!B163+data!B164</f>
        <v>573023</v>
      </c>
    </row>
    <row r="17" spans="1:7" ht="20.100000000000001" customHeight="1" x14ac:dyDescent="0.25">
      <c r="A17" s="77" t="s">
        <v>331</v>
      </c>
      <c r="B17" s="141">
        <f>data!C160</f>
        <v>5</v>
      </c>
      <c r="C17" s="141">
        <f>data!C161</f>
        <v>78</v>
      </c>
      <c r="D17" s="141">
        <f>data!C162</f>
        <v>0</v>
      </c>
      <c r="E17" s="141">
        <f>data!C163</f>
        <v>108749</v>
      </c>
      <c r="F17" s="141">
        <f>data!C164</f>
        <v>0</v>
      </c>
      <c r="G17" s="141">
        <f>data!C163+data!C164</f>
        <v>108749</v>
      </c>
    </row>
    <row r="18" spans="1:7" ht="20.100000000000001" customHeight="1" x14ac:dyDescent="0.25">
      <c r="A18" s="77" t="s">
        <v>828</v>
      </c>
      <c r="B18" s="141">
        <f>data!D160</f>
        <v>6</v>
      </c>
      <c r="C18" s="141">
        <f>data!D161</f>
        <v>96</v>
      </c>
      <c r="D18" s="141">
        <f>data!D162</f>
        <v>0</v>
      </c>
      <c r="E18" s="141">
        <f>data!D163</f>
        <v>133845</v>
      </c>
      <c r="F18" s="141">
        <f>data!D164</f>
        <v>0</v>
      </c>
      <c r="G18" s="141">
        <f>data!D163+data!D164</f>
        <v>133845</v>
      </c>
    </row>
    <row r="19" spans="1:7" ht="20.100000000000001" customHeight="1" x14ac:dyDescent="0.25">
      <c r="A19" s="92" t="s">
        <v>215</v>
      </c>
      <c r="B19" s="141">
        <f>data!E160</f>
        <v>36</v>
      </c>
      <c r="C19" s="141">
        <f>data!E161</f>
        <v>585</v>
      </c>
      <c r="D19" s="141">
        <f>data!E162</f>
        <v>0</v>
      </c>
      <c r="E19" s="141">
        <f>data!E163</f>
        <v>815617</v>
      </c>
      <c r="F19" s="141">
        <f>data!E164</f>
        <v>0</v>
      </c>
      <c r="G19" s="141">
        <f>data!E163+data!E164</f>
        <v>815617</v>
      </c>
    </row>
    <row r="20" spans="1:7" ht="20.100000000000001" customHeight="1" x14ac:dyDescent="0.25">
      <c r="A20" s="142"/>
      <c r="B20" s="143"/>
      <c r="C20" s="143"/>
      <c r="D20" s="143"/>
      <c r="E20" s="143"/>
      <c r="F20" s="143"/>
      <c r="G20" s="144"/>
    </row>
    <row r="21" spans="1:7" ht="20.100000000000001" customHeight="1" x14ac:dyDescent="0.25">
      <c r="A21" s="82"/>
      <c r="B21" s="83"/>
      <c r="C21" s="83"/>
      <c r="D21" s="83"/>
      <c r="E21" s="83"/>
      <c r="F21" s="83"/>
      <c r="G21" s="84"/>
    </row>
    <row r="22" spans="1:7" ht="20.100000000000001" customHeight="1" x14ac:dyDescent="0.25">
      <c r="A22" s="145" t="s">
        <v>830</v>
      </c>
      <c r="B22" s="76"/>
      <c r="C22" s="76"/>
      <c r="D22" s="76"/>
      <c r="E22" s="76"/>
      <c r="F22" s="76"/>
      <c r="G22" s="146"/>
    </row>
    <row r="23" spans="1:7" ht="20.100000000000001" customHeight="1" x14ac:dyDescent="0.2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00000000000001" customHeight="1" x14ac:dyDescent="0.2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00000000000001" customHeight="1" x14ac:dyDescent="0.2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00000000000001" customHeight="1" x14ac:dyDescent="0.2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00000000000001" customHeight="1" x14ac:dyDescent="0.2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00000000000001" customHeight="1" x14ac:dyDescent="0.2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00000000000001" customHeight="1" x14ac:dyDescent="0.25">
      <c r="A29" s="142"/>
      <c r="B29" s="143"/>
      <c r="C29" s="143"/>
      <c r="D29" s="143"/>
      <c r="E29" s="143"/>
      <c r="F29" s="143"/>
      <c r="G29" s="144"/>
    </row>
    <row r="30" spans="1:7" ht="20.100000000000001" customHeight="1" x14ac:dyDescent="0.25">
      <c r="A30" s="82"/>
      <c r="B30" s="95"/>
      <c r="C30" s="83"/>
      <c r="D30" s="83"/>
      <c r="E30" s="83"/>
      <c r="F30" s="83"/>
      <c r="G30" s="84"/>
    </row>
    <row r="31" spans="1:7" ht="20.100000000000001" customHeight="1" x14ac:dyDescent="0.25">
      <c r="A31" s="148" t="s">
        <v>831</v>
      </c>
      <c r="B31" s="149"/>
      <c r="C31" s="80"/>
      <c r="D31" s="79"/>
      <c r="E31" s="79"/>
      <c r="F31" s="79"/>
      <c r="G31" s="150"/>
    </row>
    <row r="32" spans="1:7" ht="20.100000000000001" customHeight="1" x14ac:dyDescent="0.25">
      <c r="A32" s="151"/>
      <c r="B32" s="152" t="s">
        <v>832</v>
      </c>
      <c r="C32" s="153">
        <f>data!B173</f>
        <v>3072457</v>
      </c>
      <c r="D32" s="80"/>
      <c r="E32" s="80"/>
      <c r="F32" s="80"/>
      <c r="G32" s="98"/>
    </row>
    <row r="33" spans="1:7" ht="20.100000000000001" customHeight="1" x14ac:dyDescent="0.25">
      <c r="A33" s="151"/>
      <c r="B33" s="154" t="s">
        <v>833</v>
      </c>
      <c r="C33" s="149">
        <f>data!C173</f>
        <v>971850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O32" sqref="O3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5" width="8.77734375" style="1" customWidth="1"/>
    <col min="6" max="16384" width="8.77734375" style="1"/>
  </cols>
  <sheetData>
    <row r="1" spans="1:3" ht="20.100000000000001" customHeight="1" x14ac:dyDescent="0.25">
      <c r="A1" s="155" t="s">
        <v>339</v>
      </c>
      <c r="B1" s="76"/>
      <c r="C1" s="75" t="s">
        <v>834</v>
      </c>
    </row>
    <row r="2" spans="1:3" ht="20.100000000000001" customHeight="1" x14ac:dyDescent="0.25">
      <c r="A2" s="100"/>
    </row>
    <row r="3" spans="1:3" ht="20.100000000000001" customHeight="1" x14ac:dyDescent="0.25">
      <c r="A3" s="134" t="str">
        <f>"Hospital: "&amp;data!C98</f>
        <v>Hospital: Three Rivers Hospital</v>
      </c>
      <c r="B3" s="83"/>
      <c r="C3" s="156" t="str">
        <f>"FYE: "&amp;data!C96</f>
        <v>FYE: 12/31/2022</v>
      </c>
    </row>
    <row r="4" spans="1:3" ht="20.100000000000001" customHeight="1" x14ac:dyDescent="0.25">
      <c r="A4" s="83"/>
    </row>
    <row r="5" spans="1:3" ht="20.100000000000001" customHeight="1" x14ac:dyDescent="0.25">
      <c r="A5" s="77">
        <v>1</v>
      </c>
      <c r="B5" s="89" t="s">
        <v>340</v>
      </c>
      <c r="C5" s="137"/>
    </row>
    <row r="6" spans="1:3" ht="20.100000000000001" customHeight="1" x14ac:dyDescent="0.25">
      <c r="A6" s="157">
        <v>2</v>
      </c>
      <c r="B6" s="78" t="s">
        <v>835</v>
      </c>
      <c r="C6" s="77">
        <f>data!C181</f>
        <v>491197</v>
      </c>
    </row>
    <row r="7" spans="1:3" ht="20.100000000000001" customHeight="1" x14ac:dyDescent="0.25">
      <c r="A7" s="158">
        <v>3</v>
      </c>
      <c r="B7" s="97" t="s">
        <v>342</v>
      </c>
      <c r="C7" s="77">
        <f>data!C182</f>
        <v>13195</v>
      </c>
    </row>
    <row r="8" spans="1:3" ht="20.100000000000001" customHeight="1" x14ac:dyDescent="0.25">
      <c r="A8" s="158">
        <v>4</v>
      </c>
      <c r="B8" s="78" t="s">
        <v>343</v>
      </c>
      <c r="C8" s="77">
        <f>data!C183</f>
        <v>74716</v>
      </c>
    </row>
    <row r="9" spans="1:3" ht="20.100000000000001" customHeight="1" x14ac:dyDescent="0.25">
      <c r="A9" s="158">
        <v>5</v>
      </c>
      <c r="B9" s="78" t="s">
        <v>344</v>
      </c>
      <c r="C9" s="77">
        <f>data!C184</f>
        <v>760809</v>
      </c>
    </row>
    <row r="10" spans="1:3" ht="20.100000000000001" customHeight="1" x14ac:dyDescent="0.25">
      <c r="A10" s="158">
        <v>6</v>
      </c>
      <c r="B10" s="78" t="s">
        <v>345</v>
      </c>
      <c r="C10" s="77">
        <f>data!C185</f>
        <v>15543</v>
      </c>
    </row>
    <row r="11" spans="1:3" ht="20.100000000000001" customHeight="1" x14ac:dyDescent="0.25">
      <c r="A11" s="158">
        <v>7</v>
      </c>
      <c r="B11" s="78" t="s">
        <v>346</v>
      </c>
      <c r="C11" s="77">
        <f>data!C186</f>
        <v>143787</v>
      </c>
    </row>
    <row r="12" spans="1:3" ht="20.100000000000001" customHeight="1" x14ac:dyDescent="0.25">
      <c r="A12" s="158">
        <v>8</v>
      </c>
      <c r="B12" s="78" t="s">
        <v>347</v>
      </c>
      <c r="C12" s="77">
        <f>data!C187</f>
        <v>2457</v>
      </c>
    </row>
    <row r="13" spans="1:3" ht="20.100000000000001" customHeight="1" x14ac:dyDescent="0.25">
      <c r="A13" s="158">
        <v>9</v>
      </c>
      <c r="B13" s="78" t="s">
        <v>347</v>
      </c>
      <c r="C13" s="77">
        <f>data!C188</f>
        <v>0</v>
      </c>
    </row>
    <row r="14" spans="1:3" ht="20.100000000000001" customHeight="1" x14ac:dyDescent="0.25">
      <c r="A14" s="158">
        <v>10</v>
      </c>
      <c r="B14" s="78" t="s">
        <v>836</v>
      </c>
      <c r="C14" s="77">
        <f>data!D189</f>
        <v>1501704</v>
      </c>
    </row>
    <row r="15" spans="1:3" ht="20.100000000000001" customHeight="1" x14ac:dyDescent="0.25">
      <c r="A15" s="82"/>
      <c r="B15" s="83"/>
      <c r="C15" s="84"/>
    </row>
    <row r="16" spans="1:3" ht="20.100000000000001" customHeight="1" x14ac:dyDescent="0.25">
      <c r="A16" s="82"/>
      <c r="B16" s="83"/>
      <c r="C16" s="84"/>
    </row>
    <row r="17" spans="1:3" ht="20.100000000000001" customHeight="1" x14ac:dyDescent="0.25">
      <c r="A17" s="159">
        <v>11</v>
      </c>
      <c r="B17" s="90" t="s">
        <v>348</v>
      </c>
      <c r="C17" s="91"/>
    </row>
    <row r="18" spans="1:3" ht="20.100000000000001" customHeight="1" x14ac:dyDescent="0.25">
      <c r="A18" s="77">
        <v>12</v>
      </c>
      <c r="B18" s="78" t="s">
        <v>837</v>
      </c>
      <c r="C18" s="77">
        <f>data!C191</f>
        <v>0</v>
      </c>
    </row>
    <row r="19" spans="1:3" ht="20.100000000000001" customHeight="1" x14ac:dyDescent="0.25">
      <c r="A19" s="77">
        <v>13</v>
      </c>
      <c r="B19" s="78" t="s">
        <v>838</v>
      </c>
      <c r="C19" s="77">
        <f>data!C192</f>
        <v>119784</v>
      </c>
    </row>
    <row r="20" spans="1:3" ht="20.100000000000001" customHeight="1" x14ac:dyDescent="0.25">
      <c r="A20" s="77">
        <v>14</v>
      </c>
      <c r="B20" s="78" t="s">
        <v>839</v>
      </c>
      <c r="C20" s="77">
        <f>data!D193</f>
        <v>119784</v>
      </c>
    </row>
    <row r="21" spans="1:3" ht="20.100000000000001" customHeight="1" x14ac:dyDescent="0.25">
      <c r="A21" s="82"/>
      <c r="B21" s="83"/>
      <c r="C21" s="84"/>
    </row>
    <row r="22" spans="1:3" ht="20.100000000000001" customHeight="1" x14ac:dyDescent="0.25">
      <c r="A22" s="82"/>
      <c r="C22" s="160"/>
    </row>
    <row r="23" spans="1:3" ht="20.100000000000001" customHeight="1" x14ac:dyDescent="0.25">
      <c r="A23" s="138">
        <v>15</v>
      </c>
      <c r="B23" s="161" t="s">
        <v>351</v>
      </c>
      <c r="C23" s="137"/>
    </row>
    <row r="24" spans="1:3" ht="20.100000000000001" customHeight="1" x14ac:dyDescent="0.25">
      <c r="A24" s="77">
        <v>16</v>
      </c>
      <c r="B24" s="89" t="s">
        <v>840</v>
      </c>
      <c r="C24" s="162"/>
    </row>
    <row r="25" spans="1:3" ht="20.100000000000001" customHeight="1" x14ac:dyDescent="0.25">
      <c r="A25" s="77">
        <v>17</v>
      </c>
      <c r="B25" s="78" t="s">
        <v>841</v>
      </c>
      <c r="C25" s="77">
        <f>data!C195</f>
        <v>170981</v>
      </c>
    </row>
    <row r="26" spans="1:3" ht="20.100000000000001" customHeight="1" x14ac:dyDescent="0.25">
      <c r="A26" s="77">
        <v>18</v>
      </c>
      <c r="B26" s="78" t="s">
        <v>353</v>
      </c>
      <c r="C26" s="77">
        <f>data!C196</f>
        <v>82627</v>
      </c>
    </row>
    <row r="27" spans="1:3" ht="20.100000000000001" customHeight="1" x14ac:dyDescent="0.25">
      <c r="A27" s="77">
        <v>19</v>
      </c>
      <c r="B27" s="78" t="s">
        <v>842</v>
      </c>
      <c r="C27" s="77">
        <f>data!D197</f>
        <v>253608</v>
      </c>
    </row>
    <row r="28" spans="1:3" ht="20.100000000000001" customHeight="1" x14ac:dyDescent="0.25">
      <c r="A28" s="82"/>
      <c r="B28" s="83"/>
      <c r="C28" s="84"/>
    </row>
    <row r="29" spans="1:3" ht="20.100000000000001" customHeight="1" x14ac:dyDescent="0.25">
      <c r="A29" s="82"/>
      <c r="B29" s="83"/>
      <c r="C29" s="84"/>
    </row>
    <row r="30" spans="1:3" ht="20.100000000000001" customHeight="1" x14ac:dyDescent="0.25">
      <c r="A30" s="138">
        <v>20</v>
      </c>
      <c r="B30" s="161" t="s">
        <v>843</v>
      </c>
      <c r="C30" s="147"/>
    </row>
    <row r="31" spans="1:3" ht="20.100000000000001" customHeight="1" x14ac:dyDescent="0.25">
      <c r="A31" s="77">
        <v>21</v>
      </c>
      <c r="B31" s="78" t="s">
        <v>355</v>
      </c>
      <c r="C31" s="77">
        <f>data!C199</f>
        <v>135197</v>
      </c>
    </row>
    <row r="32" spans="1:3" ht="20.100000000000001" customHeight="1" x14ac:dyDescent="0.25">
      <c r="A32" s="77">
        <v>22</v>
      </c>
      <c r="B32" s="78" t="s">
        <v>844</v>
      </c>
      <c r="C32" s="77">
        <f>data!C200</f>
        <v>0</v>
      </c>
    </row>
    <row r="33" spans="1:3" ht="20.100000000000001" customHeight="1" x14ac:dyDescent="0.25">
      <c r="A33" s="77">
        <v>23</v>
      </c>
      <c r="B33" s="78" t="s">
        <v>144</v>
      </c>
      <c r="C33" s="77">
        <f>data!C201</f>
        <v>0</v>
      </c>
    </row>
    <row r="34" spans="1:3" ht="20.100000000000001" customHeight="1" x14ac:dyDescent="0.25">
      <c r="A34" s="77">
        <v>24</v>
      </c>
      <c r="B34" s="78" t="s">
        <v>845</v>
      </c>
      <c r="C34" s="77">
        <f>data!D202</f>
        <v>135197</v>
      </c>
    </row>
    <row r="35" spans="1:3" ht="20.100000000000001" customHeight="1" x14ac:dyDescent="0.25">
      <c r="A35" s="82"/>
      <c r="B35" s="83"/>
      <c r="C35" s="84"/>
    </row>
    <row r="36" spans="1:3" ht="20.100000000000001" customHeight="1" x14ac:dyDescent="0.25">
      <c r="A36" s="82"/>
      <c r="B36" s="83"/>
      <c r="C36" s="84"/>
    </row>
    <row r="37" spans="1:3" ht="20.100000000000001" customHeight="1" x14ac:dyDescent="0.25">
      <c r="A37" s="138">
        <v>25</v>
      </c>
      <c r="B37" s="161" t="s">
        <v>357</v>
      </c>
      <c r="C37" s="137"/>
    </row>
    <row r="38" spans="1:3" ht="20.100000000000001" customHeight="1" x14ac:dyDescent="0.25">
      <c r="A38" s="77">
        <v>26</v>
      </c>
      <c r="B38" s="78" t="s">
        <v>846</v>
      </c>
      <c r="C38" s="77">
        <f>data!C204</f>
        <v>0</v>
      </c>
    </row>
    <row r="39" spans="1:3" ht="20.100000000000001" customHeight="1" x14ac:dyDescent="0.25">
      <c r="A39" s="77">
        <v>27</v>
      </c>
      <c r="B39" s="78" t="s">
        <v>359</v>
      </c>
      <c r="C39" s="77">
        <f>data!C205</f>
        <v>69991</v>
      </c>
    </row>
    <row r="40" spans="1:3" ht="20.100000000000001" customHeight="1" x14ac:dyDescent="0.25">
      <c r="A40" s="77">
        <v>28</v>
      </c>
      <c r="B40" s="78" t="s">
        <v>847</v>
      </c>
      <c r="C40" s="77">
        <f>data!D206</f>
        <v>69991</v>
      </c>
    </row>
    <row r="41" spans="1:3" x14ac:dyDescent="0.2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Formulas="1" tabSelected="1" workbookViewId="0">
      <selection activeCell="E18" sqref="E18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8" width="8.77734375" style="1" customWidth="1"/>
    <col min="9" max="16384" width="8.77734375" style="1"/>
  </cols>
  <sheetData>
    <row r="1" spans="1:6" ht="20.100000000000001" customHeight="1" x14ac:dyDescent="0.25">
      <c r="A1" s="155" t="s">
        <v>360</v>
      </c>
      <c r="B1" s="76"/>
      <c r="C1" s="76"/>
      <c r="D1" s="76"/>
      <c r="E1" s="76"/>
      <c r="F1" s="75" t="s">
        <v>848</v>
      </c>
    </row>
    <row r="3" spans="1:6" ht="20.100000000000001" customHeight="1" x14ac:dyDescent="0.25">
      <c r="A3" s="134" t="str">
        <f>"Hospital: "&amp;data!C98</f>
        <v>Hospital: Three Rivers Hospital</v>
      </c>
      <c r="F3" s="156" t="str">
        <f>"FYE: "&amp;data!C96</f>
        <v>FYE: 12/31/2022</v>
      </c>
    </row>
    <row r="4" spans="1:6" ht="20.100000000000001" customHeight="1" x14ac:dyDescent="0.25">
      <c r="A4" s="162" t="s">
        <v>361</v>
      </c>
      <c r="B4" s="88"/>
      <c r="C4" s="88"/>
      <c r="D4" s="89"/>
      <c r="E4" s="89"/>
      <c r="F4" s="88"/>
    </row>
    <row r="5" spans="1:6" ht="20.100000000000001" customHeight="1" x14ac:dyDescent="0.25">
      <c r="A5" s="138"/>
      <c r="B5" s="164"/>
      <c r="C5" s="165" t="s">
        <v>849</v>
      </c>
      <c r="D5" s="165"/>
      <c r="E5" s="165"/>
      <c r="F5" s="165" t="s">
        <v>850</v>
      </c>
    </row>
    <row r="6" spans="1:6" ht="20.100000000000001" customHeight="1" x14ac:dyDescent="0.2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00000000000001" customHeight="1" x14ac:dyDescent="0.25">
      <c r="A7" s="77">
        <v>1</v>
      </c>
      <c r="B7" s="81" t="s">
        <v>366</v>
      </c>
      <c r="C7" s="81">
        <f>data!B211</f>
        <v>10750</v>
      </c>
      <c r="D7" s="81">
        <f>data!C211</f>
        <v>0</v>
      </c>
      <c r="E7" s="81">
        <f>data!D211</f>
        <v>0</v>
      </c>
      <c r="F7" s="81">
        <f>data!E211</f>
        <v>10750</v>
      </c>
    </row>
    <row r="8" spans="1:6" ht="20.100000000000001" customHeight="1" x14ac:dyDescent="0.25">
      <c r="A8" s="77">
        <v>2</v>
      </c>
      <c r="B8" s="81" t="s">
        <v>367</v>
      </c>
      <c r="C8" s="81">
        <f>data!B212</f>
        <v>282766</v>
      </c>
      <c r="D8" s="81">
        <f>data!C212</f>
        <v>10182</v>
      </c>
      <c r="E8" s="81">
        <f>data!D212</f>
        <v>0</v>
      </c>
      <c r="F8" s="81">
        <f>data!E212</f>
        <v>292948</v>
      </c>
    </row>
    <row r="9" spans="1:6" ht="20.100000000000001" customHeight="1" x14ac:dyDescent="0.25">
      <c r="A9" s="77">
        <v>3</v>
      </c>
      <c r="B9" s="81" t="s">
        <v>368</v>
      </c>
      <c r="C9" s="81">
        <f>data!B213</f>
        <v>3790436</v>
      </c>
      <c r="D9" s="81">
        <f>data!C213</f>
        <v>0</v>
      </c>
      <c r="E9" s="81">
        <f>data!D213</f>
        <v>0</v>
      </c>
      <c r="F9" s="81">
        <f>data!E213</f>
        <v>3790436</v>
      </c>
    </row>
    <row r="10" spans="1:6" ht="20.100000000000001" customHeight="1" x14ac:dyDescent="0.25">
      <c r="A10" s="77">
        <v>4</v>
      </c>
      <c r="B10" s="81" t="s">
        <v>853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00000000000001" customHeight="1" x14ac:dyDescent="0.25">
      <c r="A11" s="77">
        <v>5</v>
      </c>
      <c r="B11" s="81" t="s">
        <v>854</v>
      </c>
      <c r="C11" s="81">
        <f>data!B215</f>
        <v>1660986</v>
      </c>
      <c r="D11" s="81">
        <f>data!C215</f>
        <v>0</v>
      </c>
      <c r="E11" s="81">
        <f>data!D215</f>
        <v>0</v>
      </c>
      <c r="F11" s="81">
        <f>data!E215</f>
        <v>1660986</v>
      </c>
    </row>
    <row r="12" spans="1:6" ht="20.100000000000001" customHeight="1" x14ac:dyDescent="0.25">
      <c r="A12" s="77">
        <v>6</v>
      </c>
      <c r="B12" s="81" t="s">
        <v>855</v>
      </c>
      <c r="C12" s="81">
        <f>data!B216</f>
        <v>6151770</v>
      </c>
      <c r="D12" s="81">
        <f>data!C216</f>
        <v>439817</v>
      </c>
      <c r="E12" s="81">
        <f>data!D216</f>
        <v>5442</v>
      </c>
      <c r="F12" s="81">
        <f>data!E216</f>
        <v>6586145</v>
      </c>
    </row>
    <row r="13" spans="1:6" ht="20.100000000000001" customHeight="1" x14ac:dyDescent="0.2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00000000000001" customHeight="1" x14ac:dyDescent="0.2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00000000000001" customHeight="1" x14ac:dyDescent="0.25">
      <c r="A15" s="77">
        <v>9</v>
      </c>
      <c r="B15" s="81" t="s">
        <v>857</v>
      </c>
      <c r="C15" s="81">
        <f>data!B219</f>
        <v>29795</v>
      </c>
      <c r="D15" s="81">
        <f>data!C219</f>
        <v>81829</v>
      </c>
      <c r="E15" s="81">
        <f>data!D219</f>
        <v>0</v>
      </c>
      <c r="F15" s="81">
        <f>data!E219</f>
        <v>111624</v>
      </c>
    </row>
    <row r="16" spans="1:6" ht="20.100000000000001" customHeight="1" x14ac:dyDescent="0.25">
      <c r="A16" s="77">
        <v>10</v>
      </c>
      <c r="B16" s="81" t="s">
        <v>587</v>
      </c>
      <c r="C16" s="81">
        <f>data!B220</f>
        <v>11926503</v>
      </c>
      <c r="D16" s="81">
        <f>data!C220</f>
        <v>531828</v>
      </c>
      <c r="E16" s="81">
        <f>data!D220</f>
        <v>5442</v>
      </c>
      <c r="F16" s="81">
        <f>data!E220</f>
        <v>12452889</v>
      </c>
    </row>
    <row r="17" spans="1:6" ht="20.100000000000001" customHeight="1" x14ac:dyDescent="0.25">
      <c r="A17" s="82"/>
      <c r="B17" s="83"/>
      <c r="C17" s="83"/>
      <c r="D17" s="83"/>
      <c r="E17" s="83"/>
      <c r="F17" s="84"/>
    </row>
    <row r="18" spans="1:6" ht="20.100000000000001" customHeight="1" x14ac:dyDescent="0.25">
      <c r="A18" s="85"/>
      <c r="F18" s="96"/>
    </row>
    <row r="19" spans="1:6" ht="20.100000000000001" customHeight="1" x14ac:dyDescent="0.25">
      <c r="A19" s="85"/>
      <c r="F19" s="96"/>
    </row>
    <row r="20" spans="1:6" ht="20.100000000000001" customHeight="1" x14ac:dyDescent="0.25">
      <c r="A20" s="162" t="s">
        <v>375</v>
      </c>
      <c r="B20" s="88"/>
      <c r="C20" s="88"/>
      <c r="D20" s="88"/>
      <c r="E20" s="88"/>
      <c r="F20" s="88"/>
    </row>
    <row r="21" spans="1:6" ht="20.100000000000001" customHeight="1" x14ac:dyDescent="0.2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00000000000001" customHeight="1" x14ac:dyDescent="0.2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00000000000001" customHeight="1" x14ac:dyDescent="0.25">
      <c r="A23" s="77">
        <v>11</v>
      </c>
      <c r="B23" s="169" t="s">
        <v>366</v>
      </c>
      <c r="C23" s="169"/>
      <c r="D23" s="169"/>
      <c r="E23" s="169"/>
      <c r="F23" s="169"/>
    </row>
    <row r="24" spans="1:6" ht="20.100000000000001" customHeight="1" x14ac:dyDescent="0.25">
      <c r="A24" s="77">
        <v>12</v>
      </c>
      <c r="B24" s="81" t="s">
        <v>367</v>
      </c>
      <c r="C24" s="81">
        <f>data!B225</f>
        <v>272794</v>
      </c>
      <c r="D24" s="81">
        <f>data!C225</f>
        <v>2629</v>
      </c>
      <c r="E24" s="81">
        <f>data!D225</f>
        <v>0</v>
      </c>
      <c r="F24" s="81">
        <f>data!E225</f>
        <v>275423</v>
      </c>
    </row>
    <row r="25" spans="1:6" ht="20.100000000000001" customHeight="1" x14ac:dyDescent="0.25">
      <c r="A25" s="77">
        <v>13</v>
      </c>
      <c r="B25" s="81" t="s">
        <v>368</v>
      </c>
      <c r="C25" s="81">
        <f>data!B226</f>
        <v>3551730</v>
      </c>
      <c r="D25" s="81">
        <f>data!C226</f>
        <v>97327</v>
      </c>
      <c r="E25" s="81">
        <f>data!D226</f>
        <v>0</v>
      </c>
      <c r="F25" s="81">
        <f>data!E226</f>
        <v>3649057</v>
      </c>
    </row>
    <row r="26" spans="1:6" ht="20.100000000000001" customHeight="1" x14ac:dyDescent="0.25">
      <c r="A26" s="77">
        <v>14</v>
      </c>
      <c r="B26" s="81" t="s">
        <v>853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00000000000001" customHeight="1" x14ac:dyDescent="0.25">
      <c r="A27" s="77">
        <v>15</v>
      </c>
      <c r="B27" s="81" t="s">
        <v>854</v>
      </c>
      <c r="C27" s="81">
        <f>data!B228</f>
        <v>1322098</v>
      </c>
      <c r="D27" s="81">
        <f>data!C228</f>
        <v>27811</v>
      </c>
      <c r="E27" s="81">
        <f>data!D228</f>
        <v>0</v>
      </c>
      <c r="F27" s="81">
        <f>data!E228</f>
        <v>1349909</v>
      </c>
    </row>
    <row r="28" spans="1:6" ht="20.100000000000001" customHeight="1" x14ac:dyDescent="0.25">
      <c r="A28" s="77">
        <v>16</v>
      </c>
      <c r="B28" s="81" t="s">
        <v>855</v>
      </c>
      <c r="C28" s="81">
        <f>data!B229</f>
        <v>4182851</v>
      </c>
      <c r="D28" s="81">
        <f>data!C229</f>
        <v>505555</v>
      </c>
      <c r="E28" s="81">
        <f>data!D229</f>
        <v>5443</v>
      </c>
      <c r="F28" s="81">
        <f>data!E229</f>
        <v>4682963</v>
      </c>
    </row>
    <row r="29" spans="1:6" ht="20.100000000000001" customHeight="1" x14ac:dyDescent="0.2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00000000000001" customHeight="1" x14ac:dyDescent="0.2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00000000000001" customHeight="1" x14ac:dyDescent="0.2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00000000000001" customHeight="1" x14ac:dyDescent="0.25">
      <c r="A32" s="77">
        <v>20</v>
      </c>
      <c r="B32" s="81" t="s">
        <v>587</v>
      </c>
      <c r="C32" s="81">
        <f>data!B233</f>
        <v>9329473</v>
      </c>
      <c r="D32" s="81">
        <f>data!C233</f>
        <v>633322</v>
      </c>
      <c r="E32" s="81">
        <f>data!D233</f>
        <v>5443</v>
      </c>
      <c r="F32" s="81">
        <f>data!E233</f>
        <v>9957352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13" workbookViewId="0">
      <selection activeCell="O32" sqref="O32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6" width="8.77734375" style="1" customWidth="1"/>
    <col min="7" max="16384" width="8.77734375" style="1"/>
  </cols>
  <sheetData>
    <row r="1" spans="1:4" ht="20.100000000000001" customHeight="1" x14ac:dyDescent="0.25">
      <c r="A1" s="76" t="s">
        <v>859</v>
      </c>
      <c r="B1" s="76"/>
      <c r="C1" s="76"/>
      <c r="D1" s="75" t="s">
        <v>860</v>
      </c>
    </row>
    <row r="2" spans="1:4" ht="20.100000000000001" customHeight="1" x14ac:dyDescent="0.25">
      <c r="A2" s="134" t="str">
        <f>"Hospital: "&amp;data!C98</f>
        <v>Hospital: Three Rivers Hospital</v>
      </c>
      <c r="B2" s="83"/>
      <c r="C2" s="83"/>
      <c r="D2" s="156" t="str">
        <f>"FYE: "&amp;data!C96</f>
        <v>FYE: 12/31/2022</v>
      </c>
    </row>
    <row r="3" spans="1:4" ht="20.100000000000001" customHeight="1" x14ac:dyDescent="0.25">
      <c r="A3" s="138"/>
      <c r="B3" s="164"/>
      <c r="C3" s="164"/>
      <c r="D3" s="164"/>
    </row>
    <row r="4" spans="1:4" ht="20.100000000000001" customHeight="1" x14ac:dyDescent="0.25">
      <c r="A4" s="158"/>
      <c r="B4" s="170" t="s">
        <v>861</v>
      </c>
      <c r="C4" s="170" t="s">
        <v>862</v>
      </c>
      <c r="D4" s="171"/>
    </row>
    <row r="5" spans="1:4" ht="20.100000000000001" customHeight="1" x14ac:dyDescent="0.25">
      <c r="A5" s="138">
        <v>1</v>
      </c>
      <c r="B5" s="172"/>
      <c r="C5" s="94" t="s">
        <v>377</v>
      </c>
      <c r="D5" s="81">
        <f>data!D237</f>
        <v>788596</v>
      </c>
    </row>
    <row r="6" spans="1:4" ht="20.100000000000001" customHeight="1" x14ac:dyDescent="0.25">
      <c r="A6" s="77">
        <v>2</v>
      </c>
      <c r="B6" s="83"/>
      <c r="C6" s="156" t="s">
        <v>473</v>
      </c>
      <c r="D6" s="167"/>
    </row>
    <row r="7" spans="1:4" ht="20.100000000000001" customHeight="1" x14ac:dyDescent="0.25">
      <c r="A7" s="77">
        <v>3</v>
      </c>
      <c r="B7" s="172">
        <v>5810</v>
      </c>
      <c r="C7" s="81" t="s">
        <v>330</v>
      </c>
      <c r="D7" s="81">
        <f>data!C239</f>
        <v>1119943</v>
      </c>
    </row>
    <row r="8" spans="1:4" ht="20.100000000000001" customHeight="1" x14ac:dyDescent="0.25">
      <c r="A8" s="77">
        <v>4</v>
      </c>
      <c r="B8" s="172">
        <v>5820</v>
      </c>
      <c r="C8" s="81" t="s">
        <v>331</v>
      </c>
      <c r="D8" s="81">
        <f>data!C240</f>
        <v>1969874</v>
      </c>
    </row>
    <row r="9" spans="1:4" ht="20.100000000000001" customHeight="1" x14ac:dyDescent="0.25">
      <c r="A9" s="77">
        <v>5</v>
      </c>
      <c r="B9" s="172">
        <v>5830</v>
      </c>
      <c r="C9" s="81" t="s">
        <v>343</v>
      </c>
      <c r="D9" s="81">
        <f>data!C241</f>
        <v>734514</v>
      </c>
    </row>
    <row r="10" spans="1:4" ht="20.100000000000001" customHeight="1" x14ac:dyDescent="0.2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00000000000001" customHeight="1" x14ac:dyDescent="0.2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00000000000001" customHeight="1" x14ac:dyDescent="0.25">
      <c r="A12" s="77">
        <v>8</v>
      </c>
      <c r="B12" s="172">
        <v>5860</v>
      </c>
      <c r="C12" s="81" t="s">
        <v>144</v>
      </c>
      <c r="D12" s="81">
        <f>data!C244</f>
        <v>2325041</v>
      </c>
    </row>
    <row r="13" spans="1:4" ht="20.100000000000001" customHeight="1" x14ac:dyDescent="0.25">
      <c r="A13" s="77">
        <v>9</v>
      </c>
      <c r="B13" s="81"/>
      <c r="C13" s="81" t="s">
        <v>864</v>
      </c>
      <c r="D13" s="81">
        <f>data!D245</f>
        <v>6149372</v>
      </c>
    </row>
    <row r="14" spans="1:4" ht="20.100000000000001" customHeight="1" x14ac:dyDescent="0.25">
      <c r="A14" s="166">
        <v>10</v>
      </c>
      <c r="B14" s="93"/>
      <c r="C14" s="93"/>
      <c r="D14" s="93"/>
    </row>
    <row r="15" spans="1:4" ht="20.100000000000001" customHeight="1" x14ac:dyDescent="0.25">
      <c r="A15" s="77">
        <v>11</v>
      </c>
      <c r="B15" s="173"/>
      <c r="C15" s="173" t="s">
        <v>386</v>
      </c>
      <c r="D15" s="167"/>
    </row>
    <row r="16" spans="1:4" ht="20.100000000000001" customHeight="1" x14ac:dyDescent="0.25">
      <c r="A16" s="166">
        <v>12</v>
      </c>
      <c r="B16" s="93"/>
      <c r="C16" s="78" t="s">
        <v>865</v>
      </c>
      <c r="D16" s="77">
        <f>data!C247</f>
        <v>268</v>
      </c>
    </row>
    <row r="17" spans="1:4" ht="20.100000000000001" customHeight="1" x14ac:dyDescent="0.25">
      <c r="A17" s="77">
        <v>13</v>
      </c>
      <c r="B17" s="173"/>
      <c r="C17" s="83"/>
      <c r="D17" s="84"/>
    </row>
    <row r="18" spans="1:4" ht="20.100000000000001" customHeight="1" x14ac:dyDescent="0.25">
      <c r="A18" s="77">
        <v>14</v>
      </c>
      <c r="B18" s="174">
        <v>5900</v>
      </c>
      <c r="C18" s="81" t="s">
        <v>388</v>
      </c>
      <c r="D18" s="81">
        <f>data!C249</f>
        <v>250297</v>
      </c>
    </row>
    <row r="19" spans="1:4" ht="20.100000000000001" customHeight="1" x14ac:dyDescent="0.25">
      <c r="A19" s="175">
        <v>15</v>
      </c>
      <c r="B19" s="172">
        <v>5910</v>
      </c>
      <c r="C19" s="94" t="s">
        <v>866</v>
      </c>
      <c r="D19" s="81">
        <f>data!C250</f>
        <v>138113</v>
      </c>
    </row>
    <row r="20" spans="1:4" ht="20.100000000000001" customHeight="1" x14ac:dyDescent="0.25">
      <c r="A20" s="77">
        <v>16</v>
      </c>
      <c r="B20" s="81"/>
      <c r="C20" s="81"/>
      <c r="D20" s="93"/>
    </row>
    <row r="21" spans="1:4" ht="20.100000000000001" customHeight="1" x14ac:dyDescent="0.25">
      <c r="A21" s="77">
        <v>17</v>
      </c>
      <c r="B21" s="93"/>
      <c r="C21" s="93"/>
      <c r="D21" s="93"/>
    </row>
    <row r="22" spans="1:4" ht="20.100000000000001" customHeight="1" x14ac:dyDescent="0.25">
      <c r="A22" s="166">
        <v>18</v>
      </c>
      <c r="B22" s="93"/>
      <c r="C22" s="93" t="s">
        <v>867</v>
      </c>
      <c r="D22" s="81">
        <f>data!D252</f>
        <v>388410</v>
      </c>
    </row>
    <row r="23" spans="1:4" ht="20.100000000000001" customHeight="1" x14ac:dyDescent="0.25">
      <c r="A23" s="175">
        <v>19</v>
      </c>
      <c r="B23" s="173"/>
      <c r="C23" s="173"/>
      <c r="D23" s="167"/>
    </row>
    <row r="24" spans="1:4" ht="20.100000000000001" customHeight="1" x14ac:dyDescent="0.25">
      <c r="A24" s="176">
        <v>20</v>
      </c>
      <c r="B24" s="172">
        <v>5970</v>
      </c>
      <c r="C24" s="81" t="s">
        <v>392</v>
      </c>
      <c r="D24" s="81">
        <f>data!C254</f>
        <v>17916</v>
      </c>
    </row>
    <row r="25" spans="1:4" ht="20.100000000000001" customHeight="1" x14ac:dyDescent="0.25">
      <c r="A25" s="175">
        <v>21</v>
      </c>
      <c r="B25" s="83"/>
      <c r="C25" s="83"/>
      <c r="D25" s="167"/>
    </row>
    <row r="26" spans="1:4" ht="20.100000000000001" customHeight="1" x14ac:dyDescent="0.25">
      <c r="A26" s="77">
        <v>22</v>
      </c>
      <c r="B26" s="172">
        <v>5980</v>
      </c>
      <c r="C26" s="81" t="s">
        <v>868</v>
      </c>
      <c r="D26" s="81">
        <f>data!C255</f>
        <v>0</v>
      </c>
    </row>
    <row r="27" spans="1:4" ht="20.100000000000001" customHeight="1" x14ac:dyDescent="0.25">
      <c r="A27" s="158">
        <v>23</v>
      </c>
      <c r="B27" s="177" t="s">
        <v>869</v>
      </c>
      <c r="C27" s="93"/>
      <c r="D27" s="81">
        <f>data!D258</f>
        <v>7344294</v>
      </c>
    </row>
    <row r="28" spans="1:4" ht="20.100000000000001" customHeight="1" x14ac:dyDescent="0.25">
      <c r="A28" s="86">
        <v>24</v>
      </c>
      <c r="B28" s="152" t="s">
        <v>870</v>
      </c>
      <c r="C28" s="95"/>
      <c r="D28" s="171"/>
    </row>
    <row r="29" spans="1:4" ht="20.100000000000001" customHeight="1" x14ac:dyDescent="0.25">
      <c r="A29" s="178"/>
      <c r="B29" s="179"/>
      <c r="C29" s="179"/>
      <c r="D29" s="93"/>
    </row>
    <row r="30" spans="1:4" ht="20.100000000000001" customHeight="1" x14ac:dyDescent="0.25">
      <c r="A30" s="180"/>
      <c r="B30" s="78"/>
      <c r="C30" s="78"/>
      <c r="D30" s="93"/>
    </row>
    <row r="31" spans="1:4" ht="20.100000000000001" customHeight="1" x14ac:dyDescent="0.25">
      <c r="A31" s="180"/>
      <c r="B31" s="78"/>
      <c r="C31" s="78"/>
      <c r="D31" s="93"/>
    </row>
    <row r="32" spans="1:4" ht="20.100000000000001" customHeight="1" x14ac:dyDescent="0.25">
      <c r="A32" s="180"/>
      <c r="B32" s="78"/>
      <c r="C32" s="78"/>
      <c r="D32" s="93"/>
    </row>
    <row r="33" spans="1:4" ht="20.100000000000001" customHeight="1" x14ac:dyDescent="0.25">
      <c r="A33" s="180"/>
      <c r="B33" s="78"/>
      <c r="C33" s="78"/>
      <c r="D33" s="81"/>
    </row>
    <row r="34" spans="1:4" ht="20.100000000000001" customHeight="1" x14ac:dyDescent="0.2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2023-06-23T21:26:43Z</cp:lastPrinted>
  <dcterms:created xsi:type="dcterms:W3CDTF">1999-06-02T22:01:56Z</dcterms:created>
  <dcterms:modified xsi:type="dcterms:W3CDTF">2023-07-03T20:30:16Z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000000G6SS20230623201345.xlsx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