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9938984C-A02D-4F41-ABB1-6532101B6259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5" l="1"/>
  <c r="Y63" i="24"/>
  <c r="C403" i="24" l="1"/>
  <c r="C414" i="24" s="1"/>
  <c r="C41" i="27"/>
  <c r="C35" i="27"/>
  <c r="C136" i="8" l="1"/>
  <c r="E15" i="6"/>
  <c r="D15" i="6"/>
  <c r="D14" i="6"/>
  <c r="E14" i="6"/>
  <c r="E13" i="6"/>
  <c r="D13" i="6"/>
  <c r="E12" i="6"/>
  <c r="E11" i="6"/>
  <c r="D11" i="6"/>
  <c r="E10" i="6"/>
  <c r="D10" i="6"/>
  <c r="E9" i="6"/>
  <c r="E8" i="6"/>
  <c r="D8" i="6"/>
  <c r="E7" i="6"/>
  <c r="D7" i="6"/>
  <c r="G16" i="4"/>
  <c r="D9" i="3"/>
  <c r="D8" i="3"/>
  <c r="D7" i="3"/>
  <c r="D6" i="3"/>
  <c r="E21" i="27"/>
  <c r="E20" i="27"/>
  <c r="C399" i="24" l="1"/>
  <c r="C216" i="24"/>
  <c r="D12" i="6" s="1"/>
  <c r="C226" i="24"/>
  <c r="C229" i="24"/>
  <c r="C213" i="24"/>
  <c r="D9" i="6" s="1"/>
  <c r="CE85" i="25" l="1"/>
  <c r="CE83" i="24" l="1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F318" i="32"/>
  <c r="D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C68" i="8" l="1"/>
  <c r="I90" i="32"/>
  <c r="E58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D44" i="32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F2" i="30"/>
  <c r="C170" i="8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G204" i="32"/>
  <c r="O10" i="31"/>
  <c r="D51" i="32"/>
  <c r="O26" i="31"/>
  <c r="F115" i="32"/>
  <c r="O34" i="31"/>
  <c r="G147" i="32"/>
  <c r="O50" i="31"/>
  <c r="I211" i="32"/>
  <c r="O66" i="31"/>
  <c r="D307" i="32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H10" i="31" l="1"/>
  <c r="C44" i="32"/>
  <c r="H2" i="31"/>
  <c r="D350" i="24"/>
  <c r="D12" i="17"/>
  <c r="C137" i="8"/>
  <c r="E52" i="24"/>
  <c r="E67" i="24" s="1"/>
  <c r="M4" i="31" s="1"/>
  <c r="I76" i="32"/>
  <c r="I172" i="32"/>
  <c r="H17" i="31"/>
  <c r="G268" i="32"/>
  <c r="E76" i="32"/>
  <c r="G332" i="32"/>
  <c r="L52" i="24"/>
  <c r="L67" i="24" s="1"/>
  <c r="L85" i="24" s="1"/>
  <c r="BX52" i="24"/>
  <c r="BX67" i="24" s="1"/>
  <c r="F337" i="32" s="1"/>
  <c r="X52" i="24"/>
  <c r="X67" i="24" s="1"/>
  <c r="X85" i="24" s="1"/>
  <c r="C689" i="24" s="1"/>
  <c r="AV52" i="24"/>
  <c r="AV67" i="24" s="1"/>
  <c r="AV85" i="24" s="1"/>
  <c r="C60" i="15" s="1"/>
  <c r="G236" i="32"/>
  <c r="H35" i="31"/>
  <c r="C300" i="32"/>
  <c r="G76" i="32"/>
  <c r="I12" i="32"/>
  <c r="H23" i="31"/>
  <c r="H39" i="31"/>
  <c r="H66" i="31"/>
  <c r="H71" i="31"/>
  <c r="D204" i="32"/>
  <c r="H53" i="31"/>
  <c r="F300" i="32"/>
  <c r="F44" i="32"/>
  <c r="E12" i="32"/>
  <c r="H268" i="32"/>
  <c r="E332" i="32"/>
  <c r="D332" i="32"/>
  <c r="H37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C680" i="25" s="1"/>
  <c r="F53" i="25"/>
  <c r="F68" i="25" s="1"/>
  <c r="F86" i="25" s="1"/>
  <c r="BS53" i="25"/>
  <c r="BS68" i="25" s="1"/>
  <c r="BS86" i="25" s="1"/>
  <c r="AM53" i="25"/>
  <c r="AM68" i="25" s="1"/>
  <c r="AM86" i="25" s="1"/>
  <c r="O53" i="25"/>
  <c r="O68" i="25" s="1"/>
  <c r="O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C695" i="25" s="1"/>
  <c r="U53" i="25"/>
  <c r="U68" i="25" s="1"/>
  <c r="U86" i="25" s="1"/>
  <c r="M53" i="25"/>
  <c r="M68" i="25" s="1"/>
  <c r="M86" i="25" s="1"/>
  <c r="E53" i="25"/>
  <c r="E68" i="25" s="1"/>
  <c r="E86" i="25" s="1"/>
  <c r="BK53" i="25"/>
  <c r="BK68" i="25" s="1"/>
  <c r="BK86" i="25" s="1"/>
  <c r="W53" i="25"/>
  <c r="W68" i="25" s="1"/>
  <c r="W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C53" i="25"/>
  <c r="BC68" i="25" s="1"/>
  <c r="BC86" i="25" s="1"/>
  <c r="G53" i="25"/>
  <c r="G68" i="25" s="1"/>
  <c r="G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J53" i="25"/>
  <c r="J68" i="25" s="1"/>
  <c r="J86" i="25" s="1"/>
  <c r="AU53" i="25"/>
  <c r="AU68" i="25" s="1"/>
  <c r="AU86" i="25" s="1"/>
  <c r="C713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C699" i="25" s="1"/>
  <c r="Y53" i="25"/>
  <c r="Y68" i="25" s="1"/>
  <c r="Y86" i="25" s="1"/>
  <c r="C691" i="25" s="1"/>
  <c r="Q53" i="25"/>
  <c r="Q68" i="25" s="1"/>
  <c r="Q86" i="25" s="1"/>
  <c r="I53" i="25"/>
  <c r="I68" i="25" s="1"/>
  <c r="I86" i="25" s="1"/>
  <c r="CA53" i="25"/>
  <c r="CA68" i="25" s="1"/>
  <c r="CA86" i="25" s="1"/>
  <c r="B91" i="15" s="1"/>
  <c r="AE53" i="25"/>
  <c r="AE68" i="25" s="1"/>
  <c r="AE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BX85" i="24" l="1"/>
  <c r="M11" i="31"/>
  <c r="E49" i="32"/>
  <c r="S85" i="24"/>
  <c r="C684" i="24" s="1"/>
  <c r="C113" i="32"/>
  <c r="M23" i="31"/>
  <c r="F209" i="32"/>
  <c r="M75" i="31"/>
  <c r="M47" i="31"/>
  <c r="E85" i="24"/>
  <c r="E21" i="32" s="1"/>
  <c r="E17" i="32"/>
  <c r="M61" i="31"/>
  <c r="B54" i="15"/>
  <c r="F54" i="15" s="1"/>
  <c r="B41" i="15"/>
  <c r="F41" i="15" s="1"/>
  <c r="C648" i="25"/>
  <c r="C674" i="25"/>
  <c r="B20" i="15"/>
  <c r="C619" i="25"/>
  <c r="B71" i="15"/>
  <c r="C623" i="25"/>
  <c r="B92" i="15"/>
  <c r="F92" i="15" s="1"/>
  <c r="C632" i="25"/>
  <c r="B61" i="15"/>
  <c r="C692" i="25"/>
  <c r="B38" i="15"/>
  <c r="F38" i="15" s="1"/>
  <c r="C702" i="25"/>
  <c r="B48" i="15"/>
  <c r="F48" i="15" s="1"/>
  <c r="C671" i="25"/>
  <c r="B17" i="15"/>
  <c r="F17" i="15" s="1"/>
  <c r="C624" i="25"/>
  <c r="B81" i="15"/>
  <c r="F81" i="15" s="1"/>
  <c r="C696" i="25"/>
  <c r="B42" i="15"/>
  <c r="B30" i="15"/>
  <c r="C684" i="25"/>
  <c r="C682" i="25"/>
  <c r="B28" i="15"/>
  <c r="F28" i="15" s="1"/>
  <c r="B36" i="15"/>
  <c r="F36" i="15" s="1"/>
  <c r="C690" i="25"/>
  <c r="C697" i="25"/>
  <c r="B43" i="15"/>
  <c r="F43" i="15" s="1"/>
  <c r="C615" i="25"/>
  <c r="D616" i="25" s="1"/>
  <c r="B69" i="15"/>
  <c r="B23" i="15"/>
  <c r="F23" i="15" s="1"/>
  <c r="C677" i="25"/>
  <c r="C644" i="25"/>
  <c r="B87" i="15"/>
  <c r="F87" i="15" s="1"/>
  <c r="C710" i="25"/>
  <c r="B56" i="15"/>
  <c r="C679" i="25"/>
  <c r="B25" i="15"/>
  <c r="H25" i="15" s="1"/>
  <c r="I25" i="15" s="1"/>
  <c r="B89" i="15"/>
  <c r="F89" i="15" s="1"/>
  <c r="C646" i="25"/>
  <c r="C704" i="25"/>
  <c r="B50" i="15"/>
  <c r="F50" i="15" s="1"/>
  <c r="C694" i="25"/>
  <c r="B40" i="15"/>
  <c r="C698" i="25"/>
  <c r="B44" i="15"/>
  <c r="F44" i="15" s="1"/>
  <c r="C639" i="25"/>
  <c r="B77" i="15"/>
  <c r="F77" i="15" s="1"/>
  <c r="C685" i="25"/>
  <c r="B31" i="15"/>
  <c r="C673" i="25"/>
  <c r="B19" i="15"/>
  <c r="C629" i="25"/>
  <c r="B64" i="15"/>
  <c r="F64" i="15" s="1"/>
  <c r="C687" i="25"/>
  <c r="B33" i="15"/>
  <c r="F33" i="15" s="1"/>
  <c r="B27" i="15"/>
  <c r="C681" i="25"/>
  <c r="B58" i="15"/>
  <c r="F58" i="15" s="1"/>
  <c r="C712" i="25"/>
  <c r="C635" i="25"/>
  <c r="B73" i="15"/>
  <c r="F73" i="15" s="1"/>
  <c r="B21" i="15"/>
  <c r="H21" i="15" s="1"/>
  <c r="I21" i="15" s="1"/>
  <c r="C675" i="25"/>
  <c r="C642" i="25"/>
  <c r="B85" i="15"/>
  <c r="F85" i="15" s="1"/>
  <c r="B62" i="15"/>
  <c r="C617" i="25"/>
  <c r="C693" i="25"/>
  <c r="B39" i="15"/>
  <c r="F39" i="15" s="1"/>
  <c r="C634" i="25"/>
  <c r="B67" i="15"/>
  <c r="C637" i="25"/>
  <c r="B72" i="15"/>
  <c r="C705" i="25"/>
  <c r="B51" i="15"/>
  <c r="F51" i="15" s="1"/>
  <c r="C633" i="25"/>
  <c r="B66" i="15"/>
  <c r="B53" i="15"/>
  <c r="C707" i="25"/>
  <c r="C714" i="25"/>
  <c r="B60" i="15"/>
  <c r="C683" i="25"/>
  <c r="B29" i="15"/>
  <c r="C621" i="25"/>
  <c r="B93" i="15"/>
  <c r="F93" i="15" s="1"/>
  <c r="C630" i="25"/>
  <c r="B70" i="15"/>
  <c r="F70" i="15" s="1"/>
  <c r="C701" i="25"/>
  <c r="B47" i="15"/>
  <c r="F47" i="15" s="1"/>
  <c r="B16" i="15"/>
  <c r="H16" i="15" s="1"/>
  <c r="I16" i="15" s="1"/>
  <c r="C670" i="25"/>
  <c r="C622" i="25"/>
  <c r="B80" i="15"/>
  <c r="B49" i="15"/>
  <c r="F49" i="15" s="1"/>
  <c r="C703" i="25"/>
  <c r="C640" i="25"/>
  <c r="B83" i="15"/>
  <c r="F83" i="15" s="1"/>
  <c r="C618" i="25"/>
  <c r="B74" i="15"/>
  <c r="C636" i="25"/>
  <c r="B75" i="15"/>
  <c r="F75" i="15" s="1"/>
  <c r="B68" i="15"/>
  <c r="C625" i="25"/>
  <c r="B78" i="15"/>
  <c r="F78" i="15" s="1"/>
  <c r="C620" i="25"/>
  <c r="C709" i="25"/>
  <c r="B55" i="15"/>
  <c r="F55" i="15" s="1"/>
  <c r="C678" i="25"/>
  <c r="B24" i="15"/>
  <c r="F24" i="15" s="1"/>
  <c r="C645" i="25"/>
  <c r="B88" i="15"/>
  <c r="F88" i="15" s="1"/>
  <c r="C711" i="25"/>
  <c r="B57" i="15"/>
  <c r="F57" i="15" s="1"/>
  <c r="C672" i="25"/>
  <c r="B18" i="15"/>
  <c r="C627" i="25"/>
  <c r="B82" i="15"/>
  <c r="F82" i="15" s="1"/>
  <c r="B84" i="15"/>
  <c r="H84" i="15" s="1"/>
  <c r="I84" i="15" s="1"/>
  <c r="C641" i="25"/>
  <c r="C688" i="25"/>
  <c r="B34" i="15"/>
  <c r="F34" i="15" s="1"/>
  <c r="B52" i="15"/>
  <c r="F52" i="15" s="1"/>
  <c r="C706" i="25"/>
  <c r="C638" i="25"/>
  <c r="B76" i="15"/>
  <c r="F76" i="15" s="1"/>
  <c r="C676" i="25"/>
  <c r="B22" i="15"/>
  <c r="B86" i="15"/>
  <c r="F86" i="15" s="1"/>
  <c r="C643" i="25"/>
  <c r="C626" i="25"/>
  <c r="B63" i="15"/>
  <c r="B32" i="15"/>
  <c r="C686" i="25"/>
  <c r="C689" i="25"/>
  <c r="B35" i="15"/>
  <c r="F35" i="15" s="1"/>
  <c r="C631" i="25"/>
  <c r="B65" i="15"/>
  <c r="F65" i="15" s="1"/>
  <c r="C647" i="25"/>
  <c r="B90" i="15"/>
  <c r="F90" i="15" s="1"/>
  <c r="B26" i="15"/>
  <c r="F26" i="15" s="1"/>
  <c r="B45" i="15"/>
  <c r="F45" i="15" s="1"/>
  <c r="B37" i="15"/>
  <c r="F37" i="15" s="1"/>
  <c r="B59" i="15"/>
  <c r="F59" i="15" s="1"/>
  <c r="C68" i="25"/>
  <c r="CE68" i="25" s="1"/>
  <c r="CE53" i="25"/>
  <c r="B46" i="15"/>
  <c r="F46" i="15" s="1"/>
  <c r="B79" i="15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F80" i="15"/>
  <c r="M6" i="31"/>
  <c r="G17" i="32"/>
  <c r="G85" i="24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63" i="15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F79" i="15"/>
  <c r="M60" i="31"/>
  <c r="E273" i="32"/>
  <c r="BI85" i="24"/>
  <c r="M32" i="31"/>
  <c r="E145" i="32"/>
  <c r="AG85" i="24"/>
  <c r="M68" i="31"/>
  <c r="F305" i="32"/>
  <c r="BQ85" i="24"/>
  <c r="F56" i="15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F42" i="15"/>
  <c r="M17" i="31"/>
  <c r="D81" i="32"/>
  <c r="R85" i="24"/>
  <c r="M5" i="31"/>
  <c r="F17" i="32"/>
  <c r="F85" i="24"/>
  <c r="M12" i="31"/>
  <c r="F49" i="32"/>
  <c r="M85" i="24"/>
  <c r="C138" i="8"/>
  <c r="D417" i="24"/>
  <c r="H71" i="15"/>
  <c r="I71" i="15" s="1"/>
  <c r="F71" i="15"/>
  <c r="M38" i="31"/>
  <c r="D177" i="32"/>
  <c r="AM85" i="24"/>
  <c r="M43" i="31"/>
  <c r="I177" i="32"/>
  <c r="AR85" i="24"/>
  <c r="M65" i="31"/>
  <c r="C305" i="32"/>
  <c r="BN85" i="24"/>
  <c r="F27" i="15"/>
  <c r="M30" i="31"/>
  <c r="C145" i="32"/>
  <c r="AE85" i="24"/>
  <c r="M3" i="31"/>
  <c r="D17" i="32"/>
  <c r="D85" i="24"/>
  <c r="M66" i="31"/>
  <c r="D305" i="32"/>
  <c r="BO85" i="24"/>
  <c r="H19" i="15"/>
  <c r="I19" i="15" s="1"/>
  <c r="F19" i="15"/>
  <c r="M53" i="31"/>
  <c r="E241" i="32"/>
  <c r="BB85" i="24"/>
  <c r="C67" i="24"/>
  <c r="CE52" i="24"/>
  <c r="E85" i="32"/>
  <c r="F30" i="15"/>
  <c r="M62" i="31"/>
  <c r="G273" i="32"/>
  <c r="BK85" i="24"/>
  <c r="H20" i="15"/>
  <c r="I20" i="15" s="1"/>
  <c r="F20" i="15"/>
  <c r="M50" i="31"/>
  <c r="I209" i="32"/>
  <c r="AY85" i="24"/>
  <c r="F29" i="15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H52" i="15"/>
  <c r="I52" i="15" s="1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M51" i="31"/>
  <c r="C241" i="32"/>
  <c r="AZ85" i="24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H44" i="15"/>
  <c r="I44" i="15" s="1"/>
  <c r="C86" i="25"/>
  <c r="CE63" i="25"/>
  <c r="M9" i="31"/>
  <c r="C49" i="32"/>
  <c r="J85" i="24"/>
  <c r="H18" i="15"/>
  <c r="I18" i="15" s="1"/>
  <c r="F18" i="15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F91" i="15"/>
  <c r="H91" i="15" s="1"/>
  <c r="I91" i="15" s="1"/>
  <c r="C92" i="15"/>
  <c r="G92" i="15" s="1"/>
  <c r="C373" i="32"/>
  <c r="C622" i="24"/>
  <c r="H58" i="15" l="1"/>
  <c r="I58" i="15" s="1"/>
  <c r="I341" i="32"/>
  <c r="C31" i="15"/>
  <c r="G31" i="15" s="1"/>
  <c r="C17" i="15"/>
  <c r="G17" i="15" s="1"/>
  <c r="C670" i="24"/>
  <c r="H54" i="15"/>
  <c r="H36" i="15"/>
  <c r="I36" i="15" s="1"/>
  <c r="H277" i="32"/>
  <c r="C42" i="15"/>
  <c r="G42" i="15" s="1"/>
  <c r="C74" i="15"/>
  <c r="G74" i="15" s="1"/>
  <c r="H51" i="15"/>
  <c r="I51" i="15" s="1"/>
  <c r="F16" i="15"/>
  <c r="I117" i="32"/>
  <c r="H55" i="15"/>
  <c r="I55" i="15" s="1"/>
  <c r="H24" i="15"/>
  <c r="I24" i="15" s="1"/>
  <c r="H46" i="15"/>
  <c r="I46" i="15" s="1"/>
  <c r="H27" i="15"/>
  <c r="H26" i="15"/>
  <c r="I26" i="15" s="1"/>
  <c r="F25" i="15"/>
  <c r="F84" i="15"/>
  <c r="F53" i="15"/>
  <c r="H23" i="15"/>
  <c r="I23" i="15" s="1"/>
  <c r="F21" i="15"/>
  <c r="C649" i="25"/>
  <c r="M717" i="25" s="1"/>
  <c r="F72" i="15"/>
  <c r="H59" i="15"/>
  <c r="I59" i="15" s="1"/>
  <c r="F22" i="15"/>
  <c r="H77" i="15"/>
  <c r="I77" i="15" s="1"/>
  <c r="H57" i="15"/>
  <c r="I57" i="15" s="1"/>
  <c r="H87" i="15"/>
  <c r="I87" i="15" s="1"/>
  <c r="H85" i="15"/>
  <c r="I85" i="15" s="1"/>
  <c r="H81" i="15"/>
  <c r="I81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CE85" i="24" s="1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I31" i="15"/>
  <c r="D309" i="32"/>
  <c r="C627" i="24"/>
  <c r="C79" i="15"/>
  <c r="G245" i="32"/>
  <c r="C68" i="15"/>
  <c r="G68" i="15" s="1"/>
  <c r="C624" i="24"/>
  <c r="H74" i="15" l="1"/>
  <c r="I74" i="15" s="1"/>
  <c r="H17" i="15"/>
  <c r="I17" i="15" s="1"/>
  <c r="H50" i="15"/>
  <c r="I50" i="15" s="1"/>
  <c r="G80" i="15"/>
  <c r="H80" i="15" s="1"/>
  <c r="I80" i="15" s="1"/>
  <c r="G79" i="15"/>
  <c r="H79" i="15" s="1"/>
  <c r="I79" i="15" s="1"/>
  <c r="H83" i="15"/>
  <c r="I83" i="15" s="1"/>
  <c r="I40" i="15"/>
  <c r="H22" i="15"/>
  <c r="I22" i="15" s="1"/>
  <c r="H69" i="15"/>
  <c r="I69" i="15" s="1"/>
  <c r="H72" i="15"/>
  <c r="I72" i="15" s="1"/>
  <c r="G30" i="15"/>
  <c r="H30" i="15"/>
  <c r="I30" i="15" s="1"/>
  <c r="H47" i="15"/>
  <c r="H53" i="15"/>
  <c r="I53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G65" i="15"/>
  <c r="H65" i="15"/>
  <c r="I65" i="15" s="1"/>
  <c r="C21" i="32"/>
  <c r="C15" i="15"/>
  <c r="G15" i="15" s="1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0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680" i="24"/>
  <c r="L693" i="24"/>
  <c r="L669" i="24"/>
  <c r="L711" i="24"/>
  <c r="L683" i="24"/>
  <c r="L678" i="24"/>
  <c r="L674" i="24"/>
  <c r="L692" i="24"/>
  <c r="L687" i="24"/>
  <c r="L682" i="24"/>
  <c r="L67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K699" i="25"/>
  <c r="M699" i="25" s="1"/>
  <c r="K691" i="25"/>
  <c r="K683" i="25"/>
  <c r="M683" i="25" s="1"/>
  <c r="K712" i="25"/>
  <c r="K704" i="25"/>
  <c r="K696" i="25"/>
  <c r="K688" i="25"/>
  <c r="K680" i="25"/>
  <c r="M680" i="25" s="1"/>
  <c r="K709" i="25"/>
  <c r="K701" i="25"/>
  <c r="K693" i="25"/>
  <c r="K685" i="25"/>
  <c r="M685" i="25" s="1"/>
  <c r="K717" i="25"/>
  <c r="K708" i="25"/>
  <c r="K700" i="25"/>
  <c r="M700" i="25" s="1"/>
  <c r="K692" i="25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K672" i="25"/>
  <c r="M672" i="25" s="1"/>
  <c r="K690" i="25"/>
  <c r="M690" i="25" s="1"/>
  <c r="K677" i="25"/>
  <c r="K669" i="25"/>
  <c r="K682" i="25"/>
  <c r="K674" i="25"/>
  <c r="K679" i="25"/>
  <c r="K671" i="25"/>
  <c r="K713" i="25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88" i="25"/>
  <c r="M695" i="25" l="1"/>
  <c r="M707" i="25"/>
  <c r="M701" i="25"/>
  <c r="L688" i="24"/>
  <c r="L696" i="24"/>
  <c r="L704" i="24"/>
  <c r="L707" i="24"/>
  <c r="L710" i="24"/>
  <c r="L685" i="24"/>
  <c r="L671" i="24"/>
  <c r="L716" i="24"/>
  <c r="L708" i="24"/>
  <c r="M698" i="25"/>
  <c r="M713" i="25"/>
  <c r="M692" i="25"/>
  <c r="M691" i="25"/>
  <c r="M671" i="25"/>
  <c r="M679" i="25"/>
  <c r="M677" i="25"/>
  <c r="M693" i="25"/>
  <c r="M704" i="25"/>
  <c r="M689" i="25"/>
  <c r="M714" i="25"/>
  <c r="M684" i="25"/>
  <c r="M706" i="25"/>
  <c r="M686" i="25"/>
  <c r="M674" i="25"/>
  <c r="M708" i="25"/>
  <c r="M696" i="25"/>
  <c r="M681" i="25"/>
  <c r="M697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K668" i="24"/>
  <c r="M668" i="24" s="1"/>
  <c r="K701" i="24"/>
  <c r="M701" i="24" s="1"/>
  <c r="H151" i="32" s="1"/>
  <c r="K706" i="24"/>
  <c r="M706" i="24" s="1"/>
  <c r="F183" i="32" s="1"/>
  <c r="K705" i="24"/>
  <c r="M705" i="24" s="1"/>
  <c r="E183" i="32" s="1"/>
  <c r="K704" i="24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669" i="25"/>
  <c r="M696" i="24" l="1"/>
  <c r="C151" i="32" s="1"/>
  <c r="L715" i="24"/>
  <c r="M704" i="24"/>
  <c r="D183" i="32" s="1"/>
  <c r="M707" i="24"/>
  <c r="G183" i="32" s="1"/>
  <c r="M708" i="24"/>
  <c r="H183" i="32" s="1"/>
  <c r="M716" i="25"/>
  <c r="K715" i="24"/>
  <c r="C23" i="32"/>
  <c r="M715" i="24" l="1"/>
</calcChain>
</file>

<file path=xl/sharedStrings.xml><?xml version="1.0" encoding="utf-8"?>
<sst xmlns="http://schemas.openxmlformats.org/spreadsheetml/2006/main" count="5786" uniqueCount="1385">
  <si>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</si>
  <si>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</si>
  <si>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</si>
  <si>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</si>
  <si>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</si>
  <si>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</si>
  <si>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</si>
  <si>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</si>
  <si>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</si>
  <si>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</si>
  <si>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</si>
  <si>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</si>
  <si>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</si>
  <si>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</si>
  <si>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</si>
  <si>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</si>
  <si>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</si>
  <si>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</si>
  <si>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</si>
  <si>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</si>
  <si>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</si>
  <si>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</si>
  <si>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</si>
  <si>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</si>
  <si>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</si>
  <si>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</si>
  <si>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</si>
  <si>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</si>
  <si>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</si>
  <si>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</si>
  <si>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</si>
  <si>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</si>
  <si>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</si>
  <si>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</si>
  <si>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</si>
  <si>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</si>
  <si>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</si>
  <si>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</si>
  <si>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</si>
  <si>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</si>
  <si>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</si>
  <si>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</si>
  <si>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</si>
  <si>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</si>
  <si>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</si>
  <si>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</si>
  <si>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</si>
  <si>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</si>
  <si>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</si>
  <si>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</si>
  <si>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</si>
  <si>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</si>
  <si>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</si>
  <si>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</si>
  <si>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</si>
  <si>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</si>
  <si>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</si>
  <si>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</si>
  <si>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</si>
  <si>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</si>
  <si>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</si>
  <si>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</si>
  <si>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</si>
  <si>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</si>
  <si>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</si>
  <si>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</si>
  <si>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</si>
  <si>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</si>
  <si>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</si>
  <si>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</si>
  <si>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</si>
  <si>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</si>
  <si>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</si>
  <si>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</si>
  <si>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</si>
  <si>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</si>
  <si>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</si>
  <si>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</si>
  <si>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</si>
  <si>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</si>
  <si>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</si>
  <si>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</si>
  <si>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</si>
  <si>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</si>
  <si>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</si>
  <si>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</si>
  <si>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</si>
  <si>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</si>
  <si>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</si>
  <si>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</si>
  <si>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</si>
  <si>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</si>
  <si>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</si>
  <si>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</si>
  <si>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</si>
  <si>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</si>
  <si>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</si>
  <si>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</si>
  <si>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</si>
  <si>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</si>
  <si>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</si>
  <si>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</si>
  <si>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</si>
  <si>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</si>
  <si>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</si>
  <si>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</si>
  <si>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</si>
  <si>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</si>
  <si>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</si>
  <si>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</si>
  <si>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</si>
  <si>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</si>
  <si>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</si>
  <si>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</si>
  <si>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</si>
  <si>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</si>
  <si>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</si>
  <si>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</si>
  <si>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</si>
  <si>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</si>
  <si>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</si>
  <si>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</si>
  <si>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</si>
  <si>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</si>
  <si>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</si>
  <si>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</si>
  <si>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</si>
  <si>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</si>
  <si>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</si>
  <si>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</si>
  <si>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</si>
  <si>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</si>
  <si>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</si>
  <si>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</si>
  <si>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</si>
  <si>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</si>
  <si>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</si>
  <si>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</si>
  <si>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</si>
  <si>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</si>
  <si>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</si>
  <si>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</si>
  <si>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</si>
  <si>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</si>
  <si>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</si>
  <si>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</si>
  <si>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</si>
  <si>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</si>
  <si>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</si>
  <si>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</si>
  <si>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</si>
  <si>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</si>
  <si>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</si>
  <si>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</si>
  <si>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</si>
  <si>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</si>
  <si>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</si>
  <si>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</si>
  <si>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</si>
  <si>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</si>
  <si>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</si>
  <si>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</si>
  <si>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</si>
  <si>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</si>
  <si>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</si>
  <si>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</si>
  <si>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</si>
  <si>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</si>
  <si>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</si>
  <si>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</si>
  <si>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</si>
  <si>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</si>
  <si>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</si>
  <si>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</si>
  <si>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</si>
  <si>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</si>
  <si>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</si>
  <si>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</si>
  <si>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</si>
  <si>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</si>
  <si>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</si>
  <si>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</si>
  <si>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</si>
  <si>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</si>
  <si>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</si>
  <si>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</si>
  <si>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</si>
  <si>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</si>
  <si>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</si>
  <si>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</si>
  <si>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</si>
  <si>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</si>
  <si>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</si>
  <si>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</si>
  <si>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</si>
  <si>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</si>
  <si>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</si>
  <si>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</si>
  <si>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</si>
  <si>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</si>
  <si>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</si>
  <si>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</si>
  <si>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</si>
  <si>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</si>
  <si>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</si>
  <si>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</si>
  <si>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</si>
  <si>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</si>
  <si>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</si>
  <si>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</si>
  <si>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</si>
  <si>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</si>
  <si>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</si>
  <si>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</si>
  <si>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</si>
  <si>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</si>
  <si>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</si>
  <si>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</si>
  <si>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</si>
  <si>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</si>
  <si>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</si>
  <si>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</si>
  <si>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</si>
  <si>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</si>
  <si>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</si>
  <si>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</si>
  <si>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</si>
  <si>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</si>
  <si>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</si>
  <si>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</si>
  <si>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</si>
  <si>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</si>
  <si>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</si>
  <si>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</si>
  <si>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</si>
  <si>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</si>
  <si>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</si>
  <si>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</si>
  <si>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</si>
  <si>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</si>
  <si>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</si>
  <si>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</si>
  <si>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</si>
  <si>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</si>
  <si>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</si>
  <si>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</si>
  <si>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</si>
  <si>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</si>
  <si>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</si>
  <si>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</si>
  <si>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</si>
  <si>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</si>
  <si>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</si>
  <si>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</si>
  <si>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</si>
  <si>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</si>
  <si>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</si>
  <si>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</si>
  <si>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</si>
  <si>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</si>
  <si>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</si>
  <si>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</si>
  <si>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</si>
  <si>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</si>
  <si>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</si>
  <si>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</si>
  <si>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</si>
  <si>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</si>
  <si>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</si>
  <si>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</si>
  <si>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</si>
  <si>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</si>
  <si>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</si>
  <si>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</si>
  <si>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</si>
  <si>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</si>
  <si>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</si>
  <si>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</si>
  <si>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</si>
  <si>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</si>
  <si>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</si>
  <si>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</si>
  <si>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</si>
  <si>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</si>
  <si>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</si>
  <si>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</si>
  <si>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</si>
  <si>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</si>
  <si>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</si>
  <si>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</si>
  <si>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</si>
  <si>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</si>
  <si>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</si>
  <si>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</si>
  <si>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</si>
  <si>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</si>
  <si>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</si>
  <si>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</si>
  <si>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</si>
  <si>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</si>
  <si>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</si>
  <si>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</si>
  <si>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</si>
  <si>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</si>
  <si>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</si>
  <si>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</si>
  <si>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</si>
  <si>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</si>
  <si>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</si>
  <si>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</si>
  <si>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</si>
  <si>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</si>
  <si>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</si>
  <si>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</si>
  <si>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</si>
  <si>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</si>
  <si>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</si>
  <si>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</si>
  <si>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</si>
  <si>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</si>
  <si>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</si>
  <si>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</si>
  <si>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</si>
  <si>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</si>
  <si>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</si>
  <si>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</si>
  <si>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</si>
  <si>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</si>
  <si>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</si>
  <si>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</si>
  <si>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</si>
  <si>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</si>
  <si>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</si>
  <si>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</si>
  <si>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</si>
  <si>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</si>
  <si>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</si>
  <si>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</si>
  <si>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</si>
  <si>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</si>
  <si>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</si>
  <si>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</si>
  <si>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</si>
  <si>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</si>
  <si>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</si>
  <si>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</si>
  <si>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</si>
  <si>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</si>
  <si>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</si>
  <si>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</si>
  <si>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</si>
  <si>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</si>
  <si>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</si>
  <si>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</si>
  <si>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</si>
  <si>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</si>
  <si>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</si>
  <si>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</si>
  <si>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</si>
  <si>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</si>
  <si>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</si>
  <si>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</si>
  <si>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</si>
  <si>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</si>
  <si>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</si>
  <si>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</si>
  <si>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</si>
  <si>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</si>
  <si>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</si>
  <si>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</si>
  <si>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</si>
  <si>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</si>
  <si>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</si>
  <si>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</si>
  <si>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</si>
  <si>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</si>
  <si>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</si>
  <si>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</si>
  <si>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</si>
  <si>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</si>
  <si>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</si>
  <si>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</si>
  <si>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</si>
  <si>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</si>
  <si>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</si>
  <si>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</si>
  <si>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</si>
  <si>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</si>
  <si>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</si>
  <si>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</si>
  <si>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</si>
  <si>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</si>
  <si>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</si>
  <si>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</si>
  <si>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</si>
  <si>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</si>
  <si>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</si>
  <si>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</si>
  <si>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</si>
  <si>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</si>
  <si>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</si>
  <si>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</si>
  <si>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</si>
  <si>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</si>
  <si>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</si>
  <si>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</si>
  <si>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</si>
  <si>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</si>
  <si>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</si>
  <si>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</si>
  <si>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</si>
  <si>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</si>
  <si>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</si>
  <si>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</si>
  <si>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</si>
  <si>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</si>
  <si>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</si>
  <si>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</si>
  <si>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</si>
  <si>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</si>
  <si>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</si>
  <si>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</si>
  <si>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</si>
  <si>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</si>
  <si>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</si>
  <si>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</si>
  <si>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</si>
  <si>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</si>
  <si>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</si>
  <si>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</si>
  <si>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</si>
  <si>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</si>
  <si>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</si>
  <si>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</si>
  <si>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</si>
  <si>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</si>
  <si>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</si>
  <si>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</si>
  <si>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</si>
  <si>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</si>
  <si>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</si>
  <si>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</si>
  <si>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</si>
  <si>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</si>
  <si>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</si>
  <si>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</si>
  <si>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</si>
  <si>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</si>
  <si>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</si>
  <si>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</si>
  <si>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</si>
  <si>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</si>
  <si>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</si>
  <si>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</si>
  <si>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</si>
  <si>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</si>
  <si>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</si>
  <si>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</si>
  <si>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</si>
  <si>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</si>
  <si>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</si>
  <si>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</si>
  <si>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</si>
  <si>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</si>
  <si>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</si>
  <si>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</si>
  <si>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</si>
  <si>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</si>
  <si>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</si>
  <si>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</si>
  <si>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</si>
  <si>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</si>
  <si>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</si>
  <si>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</si>
  <si>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</si>
  <si>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</si>
  <si>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</si>
  <si>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</si>
  <si>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</si>
  <si>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</si>
  <si>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</si>
  <si>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</si>
  <si>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</si>
  <si>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</si>
  <si>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</si>
  <si>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</si>
  <si>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</si>
  <si>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</si>
  <si>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</si>
  <si>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</si>
  <si>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</si>
  <si>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</si>
  <si>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</si>
  <si>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</si>
  <si>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</si>
  <si>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</si>
  <si>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</si>
  <si>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</si>
  <si>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</si>
  <si>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</si>
  <si>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</si>
  <si>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</si>
  <si>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</si>
  <si>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</si>
  <si>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</si>
  <si>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</si>
  <si>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</si>
  <si>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</si>
  <si>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</si>
  <si>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</si>
  <si>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</si>
  <si>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</si>
  <si>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</si>
  <si>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</si>
  <si>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</si>
  <si>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</si>
  <si>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</si>
  <si>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</si>
  <si>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</si>
  <si>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</si>
  <si>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</si>
  <si>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</si>
  <si>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</si>
  <si>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</si>
  <si>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</si>
  <si>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</si>
  <si>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</si>
  <si>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</si>
  <si>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</si>
  <si>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</si>
  <si>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</si>
  <si>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</si>
  <si>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</si>
  <si>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</si>
  <si>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</si>
  <si>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</si>
  <si>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</si>
  <si>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</si>
  <si>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</si>
  <si>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</si>
  <si>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</si>
  <si>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</si>
  <si>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</si>
  <si>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</si>
  <si>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</si>
  <si>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</si>
  <si>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</si>
  <si>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</si>
  <si>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</si>
  <si>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</si>
  <si>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</si>
  <si>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</si>
  <si>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</si>
  <si>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</si>
  <si>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</si>
  <si>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</si>
  <si>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</si>
  <si>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</si>
  <si>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</si>
  <si>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</si>
  <si>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</si>
  <si>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</si>
  <si>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</si>
  <si>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</si>
  <si>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</si>
  <si>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</si>
  <si>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</si>
  <si>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</si>
  <si>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</si>
  <si>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</si>
  <si>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</si>
  <si>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</si>
  <si>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</si>
  <si>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</si>
  <si>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</si>
  <si>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</si>
  <si>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</si>
  <si>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</si>
  <si>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</si>
  <si>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</si>
  <si>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</si>
  <si>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</si>
  <si>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</si>
  <si>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</si>
  <si>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</si>
  <si>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</si>
  <si>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</si>
  <si>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</si>
  <si>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</si>
  <si>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</si>
  <si>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</si>
  <si>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</si>
  <si>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</si>
  <si>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</si>
  <si>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</si>
  <si>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</si>
  <si>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</si>
  <si>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</si>
  <si>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</si>
  <si>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</si>
  <si>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</si>
  <si>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</si>
  <si>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</si>
  <si>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</si>
  <si>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</si>
  <si>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</si>
  <si>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</si>
  <si>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</si>
  <si>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</si>
  <si>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</si>
  <si>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</si>
  <si>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</si>
  <si>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</si>
  <si>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</si>
  <si>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</si>
  <si>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</si>
  <si>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</si>
  <si>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</si>
  <si>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</si>
  <si>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</si>
  <si>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</si>
  <si>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</si>
  <si>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</si>
  <si>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</si>
  <si>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</si>
  <si>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</si>
  <si>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</si>
  <si>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</si>
  <si>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</si>
  <si>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</si>
  <si>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</si>
  <si>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</si>
  <si>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</si>
  <si>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</si>
  <si>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</si>
  <si>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</si>
  <si>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</si>
  <si>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</si>
  <si>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</si>
  <si>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</si>
  <si>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</si>
  <si>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</si>
  <si>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</si>
  <si>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</si>
  <si>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</si>
  <si>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</si>
  <si>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</si>
  <si>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</si>
  <si>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</si>
  <si>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</si>
  <si>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</si>
  <si>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</si>
  <si>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</si>
  <si>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</si>
  <si>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</si>
  <si>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</si>
  <si>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</si>
  <si>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</si>
  <si>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</si>
  <si>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</si>
  <si>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</si>
  <si>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</si>
  <si>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</si>
  <si>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</si>
  <si>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</si>
  <si>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</si>
  <si>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</si>
  <si>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</si>
  <si>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</si>
  <si>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</si>
  <si>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</si>
  <si>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</si>
  <si>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</si>
  <si>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</si>
  <si>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</si>
  <si>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</si>
  <si>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</si>
  <si>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</si>
  <si>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</si>
  <si>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</si>
  <si>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</si>
  <si>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</si>
  <si>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</si>
  <si>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</si>
  <si>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</si>
  <si>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</si>
  <si>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</si>
  <si>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</si>
  <si>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</si>
  <si>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</si>
  <si>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</si>
  <si>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</si>
  <si>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</si>
  <si>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</si>
  <si>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</si>
  <si>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</si>
  <si>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</si>
  <si>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</si>
  <si>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</si>
  <si>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</si>
  <si>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</si>
  <si>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</si>
  <si>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</si>
  <si>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</si>
  <si>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</si>
  <si>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</si>
  <si>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</si>
  <si>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</si>
  <si>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</si>
  <si>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</si>
  <si>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</si>
  <si>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</si>
  <si>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</si>
  <si>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</si>
  <si>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</si>
  <si>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</si>
  <si>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</si>
  <si>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</si>
  <si>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</si>
  <si>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</si>
  <si>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</si>
  <si>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</si>
  <si>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</si>
  <si>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</si>
  <si>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</si>
  <si>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</si>
  <si>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</si>
  <si>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</si>
  <si>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</si>
  <si>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</si>
  <si>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</si>
  <si>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</si>
  <si>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</si>
  <si>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</si>
  <si>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</si>
  <si>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</si>
  <si>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</si>
  <si>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</si>
  <si>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</si>
  <si>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</si>
  <si>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</si>
  <si>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</si>
  <si>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</si>
  <si>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</si>
  <si>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</si>
  <si>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</si>
  <si>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</si>
  <si>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</si>
  <si>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</si>
  <si>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</si>
  <si>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</si>
  <si>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</si>
  <si>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</si>
  <si>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</si>
  <si>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</si>
  <si>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</si>
  <si>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</si>
  <si>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</si>
  <si>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</si>
  <si>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</si>
  <si>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</si>
  <si>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</si>
  <si>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</si>
  <si>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</si>
  <si>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</si>
  <si>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</si>
  <si>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</si>
  <si>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</si>
  <si>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</si>
  <si>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</si>
  <si>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</si>
  <si>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</si>
  <si>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</si>
  <si>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</si>
  <si>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</si>
  <si>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</si>
  <si>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</si>
  <si>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</si>
  <si>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</si>
  <si>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</si>
  <si>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</si>
  <si>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</si>
  <si>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</si>
  <si>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</si>
  <si>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</si>
  <si>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</si>
  <si>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</si>
  <si>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</si>
  <si>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</si>
  <si>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</si>
  <si>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</si>
  <si>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</si>
  <si>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</si>
  <si>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</si>
  <si>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</si>
  <si>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</si>
  <si>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</si>
  <si>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</si>
  <si>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</si>
  <si>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</si>
  <si>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</si>
  <si>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</si>
  <si>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</si>
  <si>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</si>
  <si>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</si>
  <si>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</si>
  <si>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</si>
  <si>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</si>
  <si>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</si>
  <si>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</si>
  <si>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</si>
  <si>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</si>
  <si>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</si>
  <si>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</si>
  <si>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</si>
  <si>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</si>
  <si>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</si>
  <si>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</si>
  <si>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</si>
  <si>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</si>
  <si>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</si>
  <si>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</si>
  <si>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</si>
  <si>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</si>
  <si>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</si>
  <si>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</si>
  <si>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</si>
  <si>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</si>
  <si>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</si>
  <si>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</si>
  <si>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</si>
  <si>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</si>
  <si>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</si>
  <si>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</si>
  <si>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</si>
  <si>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</si>
  <si>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</si>
  <si>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</si>
  <si>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</si>
  <si>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</si>
  <si>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</si>
  <si>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</si>
  <si>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</si>
  <si>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</si>
  <si>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</si>
  <si>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</si>
  <si>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</si>
  <si>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</si>
  <si>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</si>
  <si>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</si>
  <si>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</si>
  <si>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</si>
  <si>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</si>
  <si>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</si>
  <si>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</si>
  <si>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</si>
  <si>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</si>
  <si>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</si>
  <si>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</si>
  <si>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</si>
  <si>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</si>
  <si>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</si>
  <si>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</si>
  <si>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</si>
  <si>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</si>
  <si>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</si>
  <si>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</si>
  <si>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</si>
  <si>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</si>
  <si>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</si>
  <si>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</si>
  <si>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</si>
  <si>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</si>
  <si>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</si>
  <si>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</si>
  <si>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</si>
  <si>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</si>
  <si>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</si>
  <si>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</si>
  <si>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</si>
  <si>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</si>
  <si>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</si>
  <si>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</si>
  <si>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</si>
  <si>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</si>
  <si>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</si>
  <si>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</si>
  <si>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</si>
  <si>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</si>
  <si>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</si>
  <si>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</si>
  <si>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</si>
  <si>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</si>
  <si>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</si>
  <si>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</si>
  <si>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</si>
  <si>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</si>
  <si>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</si>
  <si>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</si>
  <si>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</si>
  <si>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</si>
  <si>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</si>
  <si>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</si>
  <si>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</si>
  <si>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</si>
  <si>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</si>
  <si>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</si>
  <si>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</si>
  <si>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</si>
  <si>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</si>
  <si>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</si>
  <si>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</si>
  <si>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</si>
  <si>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</si>
  <si>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</si>
  <si>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</si>
  <si>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</si>
  <si>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</si>
  <si>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</si>
  <si>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</si>
  <si>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</si>
  <si>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</si>
  <si>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</si>
  <si>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</si>
  <si>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</si>
  <si>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</si>
  <si>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</si>
  <si>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</si>
  <si>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</si>
  <si>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</si>
  <si>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</si>
  <si>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</si>
  <si>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</si>
  <si>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</si>
  <si>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</si>
  <si>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</si>
  <si>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</si>
  <si>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</si>
  <si>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</si>
  <si>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</si>
  <si>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</si>
  <si>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</si>
  <si>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</si>
  <si>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</si>
  <si>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</si>
  <si>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</si>
  <si>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</si>
  <si>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</si>
  <si>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</si>
  <si>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</si>
  <si>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</si>
  <si>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</si>
  <si>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</si>
  <si>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</si>
  <si>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</si>
  <si>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</si>
  <si>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</si>
  <si>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</si>
  <si>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</si>
  <si>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</si>
  <si>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</si>
  <si>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</si>
  <si>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</si>
  <si>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</si>
  <si>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</si>
  <si>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</si>
  <si>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</si>
  <si>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</si>
  <si>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</si>
  <si>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</si>
  <si>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</si>
  <si>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</si>
  <si>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</si>
  <si>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</si>
  <si>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</si>
  <si>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</si>
  <si>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</si>
  <si>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</si>
  <si>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</si>
  <si>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</si>
  <si>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</si>
  <si>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</si>
  <si>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</si>
  <si>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</si>
  <si>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</si>
  <si>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</si>
  <si>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</si>
  <si>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</si>
  <si>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</si>
  <si>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</si>
  <si>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</si>
  <si>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</si>
  <si>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</si>
  <si>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</si>
  <si>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</si>
  <si>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</si>
  <si>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</si>
  <si>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</si>
  <si>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</si>
  <si>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</si>
  <si>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</si>
  <si>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</si>
  <si>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</si>
  <si>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</si>
  <si>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</si>
  <si>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</si>
  <si>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</si>
  <si>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</si>
  <si>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</si>
  <si>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</si>
  <si>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</si>
  <si>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</si>
  <si>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</si>
  <si>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</si>
  <si>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</si>
  <si>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</si>
  <si>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</si>
  <si>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</si>
  <si>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</si>
  <si>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</si>
  <si>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</si>
  <si>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</si>
  <si>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</si>
  <si>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</si>
  <si>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</si>
  <si>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</si>
  <si>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</si>
  <si>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</si>
  <si>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</si>
  <si>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</si>
  <si>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</si>
  <si>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</si>
  <si>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</si>
  <si>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</si>
  <si>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</si>
  <si>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</si>
  <si>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</si>
  <si>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</si>
  <si>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</si>
  <si>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</si>
  <si>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</si>
  <si>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</si>
  <si>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</si>
  <si>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</si>
  <si>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</si>
  <si>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</si>
  <si>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</si>
  <si>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</si>
  <si>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</si>
  <si>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</si>
  <si>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</si>
  <si>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</si>
  <si>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</si>
  <si>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</si>
  <si>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</si>
  <si>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</si>
  <si>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</si>
  <si>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</si>
  <si>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</si>
  <si>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</si>
  <si>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</si>
  <si>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</si>
  <si>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</si>
  <si>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</si>
  <si>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</si>
  <si>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</si>
  <si>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</si>
  <si>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</si>
  <si>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</si>
  <si>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</si>
  <si>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</si>
  <si>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</si>
  <si>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</si>
  <si>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</si>
  <si>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</si>
  <si>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</si>
  <si>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</si>
  <si>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</si>
  <si>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</si>
  <si>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</si>
  <si>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</si>
  <si>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</si>
  <si>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</si>
  <si>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</si>
  <si>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</si>
  <si>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</si>
  <si>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</si>
  <si>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</si>
  <si>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</si>
  <si>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</si>
  <si>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</si>
  <si>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</si>
  <si>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</si>
  <si>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</si>
  <si>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</si>
  <si>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</si>
  <si>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</si>
  <si>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</si>
  <si>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</si>
  <si>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</si>
  <si>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</si>
  <si>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</si>
  <si>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</si>
  <si>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</si>
  <si>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</si>
  <si>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</si>
  <si>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</si>
  <si>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</si>
  <si>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</si>
  <si>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</si>
  <si>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</si>
  <si>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</si>
  <si>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</si>
  <si>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</si>
  <si>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</si>
  <si>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</si>
  <si>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</si>
  <si>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</si>
  <si>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</si>
  <si>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</si>
  <si>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</si>
  <si>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</si>
  <si>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</si>
  <si>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</si>
  <si>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</si>
  <si>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</si>
  <si>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</si>
  <si>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</si>
  <si>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</si>
  <si>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</si>
  <si>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</si>
  <si>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</si>
  <si>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</si>
  <si>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</si>
  <si>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</si>
  <si>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</si>
  <si>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</si>
  <si>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</si>
  <si>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</si>
  <si>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</si>
  <si>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</si>
  <si>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</si>
  <si>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</si>
  <si>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</si>
  <si>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</si>
  <si>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</si>
  <si>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</si>
  <si>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</si>
  <si>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</si>
  <si>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</si>
  <si>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</si>
  <si>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</si>
  <si>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</si>
  <si>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</si>
  <si>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</si>
  <si>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</si>
  <si>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</si>
  <si>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</si>
  <si>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</si>
  <si>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</si>
  <si>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</si>
  <si>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</si>
  <si>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</si>
  <si>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</si>
  <si>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</si>
  <si>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</si>
  <si>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</si>
  <si>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</si>
  <si>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</si>
  <si>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</si>
  <si>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</si>
  <si>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</si>
  <si>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</si>
  <si>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</si>
  <si>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</si>
  <si>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</si>
  <si>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</si>
  <si>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</si>
  <si>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</si>
  <si>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</si>
  <si>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</si>
  <si>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</si>
  <si>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</si>
  <si>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</si>
  <si>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</si>
  <si>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</si>
  <si>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</si>
  <si>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</si>
  <si>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</si>
  <si>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</si>
  <si>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</si>
  <si>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</si>
  <si>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</si>
  <si>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</si>
  <si>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</si>
  <si>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</si>
  <si>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</si>
  <si>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</si>
  <si>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</si>
  <si>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</si>
  <si>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</si>
  <si>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</si>
  <si>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</si>
  <si>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</si>
  <si>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</si>
  <si>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</si>
  <si>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</si>
  <si>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</si>
  <si>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</si>
  <si>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</si>
  <si>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</si>
  <si>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</si>
  <si>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</si>
  <si>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</si>
  <si>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</si>
  <si>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</si>
  <si>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</si>
  <si>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</si>
  <si>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</si>
  <si>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</si>
  <si>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</si>
  <si>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</si>
  <si>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</si>
  <si>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</si>
  <si>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</si>
  <si>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</si>
  <si>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</si>
  <si>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</si>
  <si>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</si>
  <si>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</si>
  <si>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</si>
  <si>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</si>
  <si>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</si>
  <si>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</si>
  <si>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</si>
  <si>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</si>
  <si>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</si>
  <si>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</si>
  <si>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</si>
  <si>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</si>
  <si>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</si>
  <si>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</si>
  <si>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</si>
  <si>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</si>
  <si>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</si>
  <si>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</si>
  <si>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</si>
  <si>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</si>
  <si>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</si>
  <si>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</si>
  <si>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</si>
  <si>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</si>
  <si>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</si>
  <si>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</si>
  <si>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</si>
  <si>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</si>
  <si>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</si>
  <si>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</si>
  <si>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</si>
  <si>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</si>
  <si>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</si>
  <si>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</si>
  <si>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</si>
  <si>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</si>
  <si>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</si>
  <si>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</si>
  <si>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</si>
  <si>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</si>
  <si>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</si>
  <si>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</si>
  <si>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</si>
  <si>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</si>
  <si>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</si>
  <si>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</si>
  <si>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</si>
  <si>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</si>
  <si>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</si>
  <si>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</si>
  <si>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</si>
  <si>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</si>
  <si>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</si>
  <si>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</si>
  <si>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</si>
  <si>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</si>
  <si>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</si>
  <si>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</si>
  <si>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</si>
  <si>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</si>
  <si>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</si>
  <si>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</si>
  <si>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</si>
  <si>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</si>
  <si>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</si>
  <si>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</si>
  <si>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</si>
  <si>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</si>
  <si>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</si>
  <si>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</si>
  <si>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</si>
  <si>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</si>
  <si>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</si>
  <si>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</si>
  <si>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</si>
  <si>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</si>
  <si>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</si>
  <si>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</si>
  <si>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</si>
  <si>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</si>
  <si>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</si>
  <si>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</si>
  <si>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</si>
  <si>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</si>
  <si>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</si>
  <si>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</si>
  <si>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</si>
  <si>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</si>
  <si>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</si>
  <si>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</si>
  <si>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</si>
  <si>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</si>
  <si>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</si>
  <si>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</si>
  <si>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</si>
  <si>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</si>
  <si>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</si>
  <si>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</si>
  <si>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</si>
  <si>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</si>
  <si>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</si>
  <si>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</si>
  <si>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</si>
  <si>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</si>
  <si>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</si>
  <si>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</si>
  <si>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</si>
  <si>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</si>
  <si>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</si>
  <si>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</si>
  <si>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</si>
  <si>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</si>
  <si>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</si>
  <si>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</si>
  <si>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</si>
  <si>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</si>
  <si>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</si>
  <si>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</si>
  <si>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</si>
  <si>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</si>
  <si>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</si>
  <si>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</si>
  <si>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</si>
  <si>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</si>
  <si>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</si>
  <si>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</si>
  <si>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</si>
  <si>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</si>
  <si>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</si>
  <si>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</si>
  <si>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</si>
  <si>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</si>
  <si>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</si>
  <si>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</si>
  <si>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</si>
  <si>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12/31/2022</t>
  </si>
  <si>
    <t>046</t>
  </si>
  <si>
    <t>PMH Medical Center</t>
  </si>
  <si>
    <t>723 Memorial St</t>
  </si>
  <si>
    <t>Prosser</t>
  </si>
  <si>
    <t>WA</t>
  </si>
  <si>
    <t>Benton</t>
  </si>
  <si>
    <t>Craig Marks</t>
  </si>
  <si>
    <t>David Rollins</t>
  </si>
  <si>
    <t>Stephen Kenney</t>
  </si>
  <si>
    <t>509-786-2222</t>
  </si>
  <si>
    <t>509-786-6660</t>
  </si>
  <si>
    <t xml:space="preserve"> </t>
  </si>
  <si>
    <t>PHM Medical Center</t>
  </si>
  <si>
    <t>Stephen Kenny</t>
  </si>
  <si>
    <t>X</t>
  </si>
  <si>
    <t>Salaries increased by about $330,000 in FY22 as compared to the PY, however births decreased by 26.</t>
  </si>
  <si>
    <t>Purchased Services for the Radiology department (which includes MRIs and CTs) increased by about $125,000 in FY22 as compared to the PY.</t>
  </si>
  <si>
    <t>Purchased Services for the OP Special Procedures department increased by over $100,000 in FY22 as compared to FY21.</t>
  </si>
  <si>
    <t>Free Standing Clinics include the Pain Clinic and the Dermatology Clinic.  The Pain Clinic closed in FY21.  The Dermatology Clinic has a lower costs than the Pain Clinic, therefore a decrease in the cost per visit in FY22 is reasonable.</t>
  </si>
  <si>
    <t>Fluctuation Analysis and Response:</t>
  </si>
  <si>
    <t>Purchased Services in the Dietary department increased by about $200,000 in FY22 as compared to the PY.  The Hospital had to rely on more contract workers in 2022, which are typically more expensive than employeed workers.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</si>
</sst>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7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indexed="12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</font>
    <font>
      <b/>
      <sz val="13"/>
      <color indexed="62"/>
      <name val="Calibri"/>
      <family val="2"/>
    </font>
    <font>
      <sz val="12"/>
      <name val="Arial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646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  <xf numFmtId="0" fontId="36" fillId="0" borderId="33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5" borderId="36" applyNumberFormat="0" applyAlignment="0" applyProtection="0"/>
    <xf numFmtId="0" fontId="42" fillId="16" borderId="37" applyNumberFormat="0" applyAlignment="0" applyProtection="0"/>
    <xf numFmtId="0" fontId="43" fillId="16" borderId="36" applyNumberFormat="0" applyAlignment="0" applyProtection="0"/>
    <xf numFmtId="0" fontId="44" fillId="0" borderId="38" applyNumberFormat="0" applyFill="0" applyAlignment="0" applyProtection="0"/>
    <xf numFmtId="0" fontId="45" fillId="17" borderId="39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41" applyNumberFormat="0" applyFill="0" applyAlignment="0" applyProtection="0"/>
    <xf numFmtId="0" fontId="4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8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8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51" fillId="14" borderId="0" applyNumberFormat="0" applyBorder="0" applyAlignment="0" applyProtection="0"/>
    <xf numFmtId="43" fontId="49" fillId="0" borderId="0" applyFont="0" applyFill="0" applyBorder="0" applyAlignment="0" applyProtection="0"/>
    <xf numFmtId="0" fontId="48" fillId="22" borderId="0" applyNumberFormat="0" applyBorder="0" applyAlignment="0" applyProtection="0"/>
    <xf numFmtId="0" fontId="48" fillId="26" borderId="0" applyNumberFormat="0" applyBorder="0" applyAlignment="0" applyProtection="0"/>
    <xf numFmtId="0" fontId="48" fillId="30" borderId="0" applyNumberFormat="0" applyBorder="0" applyAlignment="0" applyProtection="0"/>
    <xf numFmtId="43" fontId="49" fillId="0" borderId="0" applyFont="0" applyFill="0" applyBorder="0" applyAlignment="0" applyProtection="0"/>
    <xf numFmtId="0" fontId="48" fillId="34" borderId="0" applyNumberFormat="0" applyBorder="0" applyAlignment="0" applyProtection="0"/>
    <xf numFmtId="0" fontId="48" fillId="38" borderId="0" applyNumberFormat="0" applyBorder="0" applyAlignment="0" applyProtection="0"/>
    <xf numFmtId="0" fontId="48" fillId="42" borderId="0" applyNumberFormat="0" applyBorder="0" applyAlignment="0" applyProtection="0"/>
    <xf numFmtId="37" fontId="3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7" borderId="0" applyNumberFormat="0" applyBorder="0" applyAlignment="0" applyProtection="0"/>
    <xf numFmtId="0" fontId="22" fillId="45" borderId="0" applyNumberFormat="0" applyBorder="0" applyAlignment="0" applyProtection="0"/>
    <xf numFmtId="0" fontId="53" fillId="47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49" borderId="0" applyNumberFormat="0" applyBorder="0" applyAlignment="0" applyProtection="0"/>
    <xf numFmtId="0" fontId="53" fillId="47" borderId="0" applyNumberFormat="0" applyBorder="0" applyAlignment="0" applyProtection="0"/>
    <xf numFmtId="0" fontId="53" fillId="44" borderId="0" applyNumberFormat="0" applyBorder="0" applyAlignment="0" applyProtection="0"/>
    <xf numFmtId="0" fontId="53" fillId="52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5" borderId="0" applyNumberFormat="0" applyBorder="0" applyAlignment="0" applyProtection="0"/>
    <xf numFmtId="0" fontId="54" fillId="56" borderId="0" applyNumberFormat="0" applyBorder="0" applyAlignment="0" applyProtection="0"/>
    <xf numFmtId="0" fontId="55" fillId="57" borderId="42" applyNumberFormat="0" applyAlignment="0" applyProtection="0"/>
    <xf numFmtId="0" fontId="56" fillId="58" borderId="43" applyNumberFormat="0" applyAlignment="0" applyProtection="0"/>
    <xf numFmtId="43" fontId="4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6" fillId="0" borderId="0" applyFont="0" applyFill="0" applyBorder="0" applyAlignment="0" applyProtection="0">
      <alignment vertical="top"/>
    </xf>
    <xf numFmtId="3" fontId="49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5" fontId="6" fillId="0" borderId="0" applyFont="0" applyFill="0" applyBorder="0" applyAlignment="0" applyProtection="0">
      <alignment vertical="top"/>
    </xf>
    <xf numFmtId="5" fontId="49" fillId="0" borderId="0" applyFont="0" applyFill="0" applyBorder="0" applyAlignment="0" applyProtection="0">
      <alignment vertical="top"/>
    </xf>
    <xf numFmtId="5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49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57" fillId="0" borderId="0" applyNumberFormat="0" applyFill="0" applyBorder="0" applyAlignment="0" applyProtection="0"/>
    <xf numFmtId="2" fontId="6" fillId="0" borderId="0" applyFont="0" applyFill="0" applyBorder="0" applyAlignment="0" applyProtection="0">
      <alignment vertical="top"/>
    </xf>
    <xf numFmtId="2" fontId="49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0" fontId="58" fillId="47" borderId="0" applyNumberFormat="0" applyBorder="0" applyAlignment="0" applyProtection="0"/>
    <xf numFmtId="0" fontId="59" fillId="0" borderId="44" applyNumberFormat="0" applyFill="0" applyAlignment="0" applyProtection="0"/>
    <xf numFmtId="0" fontId="60" fillId="0" borderId="0" applyNumberFormat="0" applyFill="0" applyBorder="0" applyAlignment="0" applyProtection="0">
      <alignment vertical="top"/>
    </xf>
    <xf numFmtId="0" fontId="61" fillId="0" borderId="0" applyNumberFormat="0" applyFill="0" applyBorder="0" applyAlignment="0" applyProtection="0">
      <alignment vertical="top"/>
    </xf>
    <xf numFmtId="0" fontId="60" fillId="0" borderId="0" applyNumberFormat="0" applyFill="0" applyBorder="0" applyAlignment="0" applyProtection="0">
      <alignment vertical="top"/>
    </xf>
    <xf numFmtId="0" fontId="62" fillId="0" borderId="45" applyNumberFormat="0" applyFill="0" applyAlignment="0" applyProtection="0"/>
    <xf numFmtId="0" fontId="27" fillId="0" borderId="0" applyNumberFormat="0" applyFill="0" applyBorder="0" applyAlignment="0" applyProtection="0">
      <alignment vertical="top"/>
    </xf>
    <xf numFmtId="0" fontId="63" fillId="0" borderId="0" applyNumberFormat="0" applyFill="0" applyBorder="0" applyAlignment="0" applyProtection="0">
      <alignment vertical="top"/>
    </xf>
    <xf numFmtId="0" fontId="27" fillId="0" borderId="0" applyNumberFormat="0" applyFill="0" applyBorder="0" applyAlignment="0" applyProtection="0">
      <alignment vertical="top"/>
    </xf>
    <xf numFmtId="0" fontId="64" fillId="0" borderId="46" applyNumberFormat="0" applyFill="0" applyAlignment="0" applyProtection="0"/>
    <xf numFmtId="0" fontId="64" fillId="0" borderId="0" applyNumberFormat="0" applyFill="0" applyBorder="0" applyAlignment="0" applyProtection="0"/>
    <xf numFmtId="0" fontId="65" fillId="48" borderId="42" applyNumberFormat="0" applyAlignment="0" applyProtection="0"/>
    <xf numFmtId="0" fontId="66" fillId="0" borderId="47" applyNumberFormat="0" applyFill="0" applyAlignment="0" applyProtection="0"/>
    <xf numFmtId="0" fontId="67" fillId="48" borderId="0" applyNumberFormat="0" applyBorder="0" applyAlignment="0" applyProtection="0"/>
    <xf numFmtId="0" fontId="2" fillId="0" borderId="0"/>
    <xf numFmtId="37" fontId="28" fillId="0" borderId="0"/>
    <xf numFmtId="0" fontId="28" fillId="45" borderId="48" applyNumberFormat="0" applyFont="0" applyAlignment="0" applyProtection="0"/>
    <xf numFmtId="0" fontId="6" fillId="45" borderId="48" applyNumberFormat="0" applyFont="0" applyAlignment="0" applyProtection="0"/>
    <xf numFmtId="0" fontId="49" fillId="45" borderId="48" applyNumberFormat="0" applyFont="0" applyAlignment="0" applyProtection="0"/>
    <xf numFmtId="0" fontId="2" fillId="18" borderId="40" applyNumberFormat="0" applyFont="0" applyAlignment="0" applyProtection="0"/>
    <xf numFmtId="0" fontId="68" fillId="57" borderId="49" applyNumberFormat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50" applyNumberFormat="0" applyFill="0" applyAlignment="0" applyProtection="0"/>
    <xf numFmtId="0" fontId="6" fillId="0" borderId="51" applyNumberFormat="0" applyFont="0" applyFill="0" applyAlignment="0" applyProtection="0">
      <alignment vertical="top"/>
    </xf>
    <xf numFmtId="0" fontId="49" fillId="0" borderId="51" applyNumberFormat="0" applyFont="0" applyFill="0" applyAlignment="0" applyProtection="0">
      <alignment vertical="top"/>
    </xf>
    <xf numFmtId="0" fontId="6" fillId="0" borderId="51" applyNumberFormat="0" applyFont="0" applyFill="0" applyAlignment="0" applyProtection="0">
      <alignment vertical="top"/>
    </xf>
    <xf numFmtId="0" fontId="66" fillId="0" borderId="0" applyNumberFormat="0" applyFill="0" applyBorder="0" applyAlignment="0" applyProtection="0"/>
    <xf numFmtId="0" fontId="49" fillId="0" borderId="0"/>
    <xf numFmtId="0" fontId="6" fillId="45" borderId="48" applyNumberFormat="0" applyFont="0" applyAlignment="0" applyProtection="0"/>
    <xf numFmtId="44" fontId="2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9" fillId="0" borderId="44" applyNumberFormat="0" applyFill="0" applyAlignment="0" applyProtection="0"/>
    <xf numFmtId="0" fontId="62" fillId="0" borderId="45" applyNumberFormat="0" applyFill="0" applyAlignment="0" applyProtection="0"/>
    <xf numFmtId="37" fontId="28" fillId="0" borderId="0"/>
    <xf numFmtId="0" fontId="28" fillId="45" borderId="48" applyNumberFormat="0" applyFont="0" applyAlignment="0" applyProtection="0"/>
    <xf numFmtId="0" fontId="70" fillId="0" borderId="50" applyNumberFormat="0" applyFill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37" fontId="28" fillId="0" borderId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45" borderId="48" applyNumberFormat="0" applyFont="0" applyAlignment="0" applyProtection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71" fillId="0" borderId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71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37" fontId="28" fillId="0" borderId="0"/>
    <xf numFmtId="0" fontId="49" fillId="0" borderId="0"/>
    <xf numFmtId="43" fontId="49" fillId="0" borderId="0" applyFont="0" applyFill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37" fontId="3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72" fillId="0" borderId="0" applyBorder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3" fontId="49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372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3" fillId="0" borderId="0" xfId="0" applyFont="1"/>
    <xf numFmtId="37" fontId="12" fillId="0" borderId="0" xfId="0" applyFont="1"/>
    <xf numFmtId="37" fontId="14" fillId="0" borderId="0" xfId="0" applyFont="1"/>
    <xf numFmtId="37" fontId="14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6" fillId="0" borderId="1" xfId="1" quotePrefix="1" applyNumberFormat="1" applyFont="1" applyBorder="1" applyProtection="1">
      <protection locked="0"/>
    </xf>
    <xf numFmtId="37" fontId="16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6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2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7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3" fillId="0" borderId="0" xfId="0" quotePrefix="1" applyFont="1" applyAlignment="1">
      <alignment horizontal="left"/>
    </xf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8" fillId="0" borderId="4" xfId="0" applyFont="1" applyBorder="1"/>
    <xf numFmtId="37" fontId="22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2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2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8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8" fillId="0" borderId="14" xfId="0" applyFont="1" applyBorder="1"/>
    <xf numFmtId="37" fontId="23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37" fontId="24" fillId="0" borderId="1" xfId="0" quotePrefix="1" applyFont="1" applyBorder="1" applyProtection="1">
      <protection locked="0"/>
    </xf>
    <xf numFmtId="37" fontId="24" fillId="0" borderId="1" xfId="1" quotePrefix="1" applyNumberFormat="1" applyFont="1" applyBorder="1" applyProtection="1">
      <protection locked="0"/>
    </xf>
    <xf numFmtId="37" fontId="24" fillId="0" borderId="1" xfId="0" applyFont="1" applyBorder="1" applyProtection="1">
      <protection locked="0"/>
    </xf>
    <xf numFmtId="38" fontId="24" fillId="4" borderId="1" xfId="0" applyNumberFormat="1" applyFont="1" applyFill="1" applyBorder="1" applyProtection="1">
      <protection locked="0"/>
    </xf>
    <xf numFmtId="49" fontId="24" fillId="4" borderId="1" xfId="0" quotePrefix="1" applyNumberFormat="1" applyFont="1" applyFill="1" applyBorder="1" applyProtection="1">
      <protection locked="0"/>
    </xf>
    <xf numFmtId="38" fontId="24" fillId="4" borderId="1" xfId="0" quotePrefix="1" applyNumberFormat="1" applyFont="1" applyFill="1" applyBorder="1" applyProtection="1">
      <protection locked="0"/>
    </xf>
    <xf numFmtId="38" fontId="24" fillId="4" borderId="14" xfId="0" applyNumberFormat="1" applyFont="1" applyFill="1" applyBorder="1" applyProtection="1">
      <protection locked="0"/>
    </xf>
    <xf numFmtId="37" fontId="24" fillId="4" borderId="1" xfId="0" applyFont="1" applyFill="1" applyBorder="1" applyProtection="1">
      <protection locked="0"/>
    </xf>
    <xf numFmtId="38" fontId="24" fillId="4" borderId="1" xfId="0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5" fillId="3" borderId="0" xfId="0" applyFont="1" applyFill="1"/>
    <xf numFmtId="37" fontId="24" fillId="0" borderId="1" xfId="1" applyNumberFormat="1" applyFont="1" applyBorder="1" applyProtection="1">
      <protection locked="0"/>
    </xf>
    <xf numFmtId="37" fontId="24" fillId="0" borderId="1" xfId="4" quotePrefix="1" applyNumberFormat="1" applyFont="1" applyBorder="1" applyProtection="1">
      <protection locked="0"/>
    </xf>
    <xf numFmtId="37" fontId="25" fillId="3" borderId="0" xfId="0" quotePrefix="1" applyFont="1" applyFill="1" applyAlignment="1">
      <alignment horizontal="fill"/>
    </xf>
    <xf numFmtId="39" fontId="25" fillId="3" borderId="0" xfId="0" quotePrefix="1" applyNumberFormat="1" applyFont="1" applyFill="1" applyAlignment="1">
      <alignment horizontal="fill"/>
    </xf>
    <xf numFmtId="37" fontId="25" fillId="0" borderId="0" xfId="0" applyFont="1"/>
    <xf numFmtId="43" fontId="12" fillId="7" borderId="0" xfId="1" applyFont="1" applyFill="1"/>
    <xf numFmtId="37" fontId="25" fillId="7" borderId="0" xfId="0" quotePrefix="1" applyFont="1" applyFill="1" applyAlignment="1">
      <alignment horizontal="fill"/>
    </xf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24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8" fillId="0" borderId="0" xfId="0" applyNumberFormat="1" applyFont="1"/>
    <xf numFmtId="37" fontId="25" fillId="0" borderId="0" xfId="0" applyFont="1" applyProtection="1">
      <protection locked="0"/>
    </xf>
    <xf numFmtId="1" fontId="24" fillId="0" borderId="1" xfId="0" quotePrefix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24" fillId="0" borderId="1" xfId="0" quotePrefix="1" applyNumberFormat="1" applyFont="1" applyBorder="1" applyProtection="1">
      <protection locked="0"/>
    </xf>
    <xf numFmtId="2" fontId="24" fillId="0" borderId="1" xfId="1" quotePrefix="1" applyNumberFormat="1" applyFont="1" applyBorder="1" applyProtection="1">
      <protection locked="0"/>
    </xf>
    <xf numFmtId="2" fontId="24" fillId="0" borderId="1" xfId="4" quotePrefix="1" applyNumberFormat="1" applyFont="1" applyBorder="1" applyProtection="1">
      <protection locked="0"/>
    </xf>
    <xf numFmtId="2" fontId="24" fillId="0" borderId="1" xfId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fill"/>
    </xf>
    <xf numFmtId="166" fontId="24" fillId="4" borderId="14" xfId="0" applyNumberFormat="1" applyFont="1" applyFill="1" applyBorder="1" applyAlignment="1" applyProtection="1">
      <alignment horizontal="left"/>
      <protection locked="0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25" fillId="7" borderId="0" xfId="1" applyNumberFormat="1" applyFont="1" applyFill="1"/>
    <xf numFmtId="37" fontId="12" fillId="7" borderId="0" xfId="0" quotePrefix="1" applyFont="1" applyFill="1" applyAlignment="1">
      <alignment horizontal="fill"/>
    </xf>
    <xf numFmtId="0" fontId="25" fillId="3" borderId="0" xfId="0" quotePrefix="1" applyNumberFormat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7" fontId="25" fillId="7" borderId="0" xfId="0" applyFont="1" applyFill="1"/>
    <xf numFmtId="37" fontId="8" fillId="7" borderId="0" xfId="0" applyFont="1" applyFill="1"/>
    <xf numFmtId="37" fontId="25" fillId="0" borderId="1" xfId="0" applyFont="1" applyBorder="1" applyProtection="1">
      <protection locked="0"/>
    </xf>
    <xf numFmtId="37" fontId="12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12" fillId="0" borderId="0" xfId="0" applyFont="1" applyAlignment="1">
      <alignment horizontal="right" vertical="center"/>
    </xf>
    <xf numFmtId="37" fontId="12" fillId="0" borderId="0" xfId="0" applyFont="1" applyAlignment="1">
      <alignment horizontal="right" vertical="center" wrapText="1"/>
    </xf>
    <xf numFmtId="37" fontId="8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31" fillId="0" borderId="1" xfId="0" applyFont="1" applyBorder="1" applyProtection="1">
      <protection locked="0"/>
    </xf>
    <xf numFmtId="37" fontId="12" fillId="7" borderId="0" xfId="1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1" quotePrefix="1" applyNumberFormat="1" applyFont="1" applyBorder="1" applyProtection="1">
      <protection locked="0"/>
    </xf>
    <xf numFmtId="2" fontId="16" fillId="0" borderId="1" xfId="4" quotePrefix="1" applyNumberFormat="1" applyFont="1" applyBorder="1" applyProtection="1">
      <protection locked="0"/>
    </xf>
    <xf numFmtId="2" fontId="16" fillId="0" borderId="1" xfId="1" applyNumberFormat="1" applyFont="1" applyBorder="1" applyProtection="1">
      <protection locked="0"/>
    </xf>
    <xf numFmtId="37" fontId="16" fillId="0" borderId="1" xfId="4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7" fillId="0" borderId="14" xfId="2" applyBorder="1">
      <alignment vertical="top"/>
      <protection locked="0"/>
    </xf>
    <xf numFmtId="0" fontId="32" fillId="0" borderId="14" xfId="2" applyFont="1" applyBorder="1">
      <alignment vertical="top"/>
      <protection locked="0"/>
    </xf>
    <xf numFmtId="37" fontId="4" fillId="0" borderId="0" xfId="0" applyFont="1"/>
    <xf numFmtId="37" fontId="4" fillId="0" borderId="0" xfId="0" quotePrefix="1" applyFont="1" applyAlignment="1">
      <alignment vertical="center" readingOrder="1"/>
    </xf>
    <xf numFmtId="37" fontId="4" fillId="0" borderId="0" xfId="0" quotePrefix="1" applyFont="1"/>
    <xf numFmtId="37" fontId="19" fillId="0" borderId="0" xfId="0" applyFont="1"/>
    <xf numFmtId="0" fontId="15" fillId="0" borderId="0" xfId="2" applyFont="1">
      <alignment vertical="top"/>
      <protection locked="0"/>
    </xf>
    <xf numFmtId="37" fontId="33" fillId="11" borderId="0" xfId="0" quotePrefix="1" applyFont="1" applyFill="1" applyAlignment="1">
      <alignment horizontal="left"/>
    </xf>
    <xf numFmtId="37" fontId="4" fillId="11" borderId="0" xfId="0" applyFont="1" applyFill="1"/>
    <xf numFmtId="38" fontId="4" fillId="11" borderId="0" xfId="0" applyNumberFormat="1" applyFont="1" applyFill="1"/>
    <xf numFmtId="37" fontId="4" fillId="11" borderId="0" xfId="0" quotePrefix="1" applyFont="1" applyFill="1" applyAlignment="1">
      <alignment vertical="center" readingOrder="1"/>
    </xf>
    <xf numFmtId="37" fontId="4" fillId="11" borderId="0" xfId="0" quotePrefix="1" applyFont="1" applyFill="1" applyAlignment="1">
      <alignment horizontal="left"/>
    </xf>
    <xf numFmtId="37" fontId="4" fillId="11" borderId="0" xfId="0" quotePrefix="1" applyFont="1" applyFill="1"/>
    <xf numFmtId="37" fontId="4" fillId="11" borderId="0" xfId="0" applyFont="1" applyFill="1" applyAlignment="1">
      <alignment vertical="center" readingOrder="1"/>
    </xf>
    <xf numFmtId="37" fontId="3" fillId="11" borderId="0" xfId="0" quotePrefix="1" applyFont="1" applyFill="1"/>
    <xf numFmtId="168" fontId="24" fillId="4" borderId="1" xfId="0" quotePrefix="1" applyNumberFormat="1" applyFont="1" applyFill="1" applyBorder="1" applyAlignment="1" applyProtection="1">
      <alignment horizontal="left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43" fontId="52" fillId="0" borderId="1" xfId="38" quotePrefix="1" applyFont="1" applyFill="1" applyBorder="1" applyProtection="1">
      <protection locked="0"/>
    </xf>
    <xf numFmtId="43" fontId="52" fillId="0" borderId="1" xfId="43" quotePrefix="1" applyFont="1" applyFill="1" applyBorder="1" applyProtection="1">
      <protection locked="0"/>
    </xf>
    <xf numFmtId="43" fontId="52" fillId="0" borderId="1" xfId="47" quotePrefix="1" applyFont="1" applyFill="1" applyBorder="1" applyProtection="1">
      <protection locked="0"/>
    </xf>
    <xf numFmtId="43" fontId="52" fillId="0" borderId="1" xfId="630" quotePrefix="1" applyFont="1" applyFill="1" applyBorder="1" applyProtection="1">
      <protection locked="0"/>
    </xf>
    <xf numFmtId="43" fontId="52" fillId="0" borderId="1" xfId="623" quotePrefix="1" applyFont="1" applyFill="1" applyBorder="1" applyProtection="1">
      <protection locked="0"/>
    </xf>
    <xf numFmtId="43" fontId="52" fillId="0" borderId="1" xfId="641" quotePrefix="1" applyFont="1" applyFill="1" applyBorder="1" applyProtection="1">
      <protection locked="0"/>
    </xf>
    <xf numFmtId="43" fontId="52" fillId="0" borderId="1" xfId="638" quotePrefix="1" applyFont="1" applyFill="1" applyBorder="1" applyProtection="1">
      <protection locked="0"/>
    </xf>
    <xf numFmtId="43" fontId="52" fillId="0" borderId="1" xfId="640" quotePrefix="1" applyFont="1" applyFill="1" applyBorder="1" applyProtection="1">
      <protection locked="0"/>
    </xf>
    <xf numFmtId="43" fontId="52" fillId="0" borderId="1" xfId="626" quotePrefix="1" applyFont="1" applyFill="1" applyBorder="1" applyProtection="1">
      <protection locked="0"/>
    </xf>
    <xf numFmtId="43" fontId="52" fillId="0" borderId="1" xfId="629" quotePrefix="1" applyFont="1" applyFill="1" applyBorder="1" applyProtection="1">
      <protection locked="0"/>
    </xf>
    <xf numFmtId="43" fontId="52" fillId="0" borderId="1" xfId="645" quotePrefix="1" applyFont="1" applyFill="1" applyBorder="1" applyProtection="1">
      <protection locked="0"/>
    </xf>
    <xf numFmtId="43" fontId="52" fillId="0" borderId="1" xfId="633" quotePrefix="1" applyFont="1" applyFill="1" applyBorder="1" applyProtection="1">
      <protection locked="0"/>
    </xf>
    <xf numFmtId="43" fontId="52" fillId="0" borderId="1" xfId="625" quotePrefix="1" applyFont="1" applyFill="1" applyBorder="1" applyProtection="1">
      <protection locked="0"/>
    </xf>
    <xf numFmtId="43" fontId="52" fillId="0" borderId="1" xfId="634" quotePrefix="1" applyFont="1" applyFill="1" applyBorder="1" applyProtection="1">
      <protection locked="0"/>
    </xf>
    <xf numFmtId="43" fontId="52" fillId="0" borderId="1" xfId="627" quotePrefix="1" applyFont="1" applyFill="1" applyBorder="1" applyProtection="1">
      <protection locked="0"/>
    </xf>
    <xf numFmtId="43" fontId="52" fillId="0" borderId="1" xfId="631" quotePrefix="1" applyFont="1" applyFill="1" applyBorder="1" applyProtection="1">
      <protection locked="0"/>
    </xf>
    <xf numFmtId="43" fontId="52" fillId="0" borderId="1" xfId="644" quotePrefix="1" applyFont="1" applyFill="1" applyBorder="1" applyProtection="1">
      <protection locked="0"/>
    </xf>
    <xf numFmtId="43" fontId="52" fillId="0" borderId="1" xfId="636" quotePrefix="1" applyFont="1" applyFill="1" applyBorder="1" applyProtection="1">
      <protection locked="0"/>
    </xf>
    <xf numFmtId="43" fontId="52" fillId="0" borderId="1" xfId="637" quotePrefix="1" applyFont="1" applyFill="1" applyBorder="1" applyProtection="1">
      <protection locked="0"/>
    </xf>
    <xf numFmtId="43" fontId="52" fillId="0" borderId="1" xfId="628" quotePrefix="1" applyFont="1" applyFill="1" applyBorder="1" applyProtection="1">
      <protection locked="0"/>
    </xf>
    <xf numFmtId="43" fontId="52" fillId="0" borderId="1" xfId="632" quotePrefix="1" applyFont="1" applyFill="1" applyBorder="1" applyProtection="1">
      <protection locked="0"/>
    </xf>
    <xf numFmtId="43" fontId="52" fillId="0" borderId="1" xfId="639" quotePrefix="1" applyFont="1" applyFill="1" applyBorder="1" applyProtection="1">
      <protection locked="0"/>
    </xf>
    <xf numFmtId="43" fontId="52" fillId="0" borderId="1" xfId="642" quotePrefix="1" applyFont="1" applyFill="1" applyBorder="1" applyProtection="1">
      <protection locked="0"/>
    </xf>
    <xf numFmtId="43" fontId="52" fillId="0" borderId="1" xfId="635" quotePrefix="1" applyFont="1" applyFill="1" applyBorder="1" applyProtection="1"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8" fillId="0" borderId="0" xfId="0" applyFont="1" applyAlignment="1">
      <alignment vertical="center" wrapText="1"/>
    </xf>
    <xf numFmtId="37" fontId="16" fillId="3" borderId="0" xfId="0" applyFont="1" applyFill="1" applyAlignment="1">
      <alignment horizontal="center" vertical="center"/>
    </xf>
  </cellXfs>
  <cellStyles count="646">
    <cellStyle name="20% - Accent1" xfId="20" builtinId="30" customBuiltin="1"/>
    <cellStyle name="20% - Accent1 2" xfId="57" xr:uid="{DB828A22-5B0C-473B-9702-27C61589AB67}"/>
    <cellStyle name="20% - Accent1 3" xfId="137" xr:uid="{DF91251C-8DF4-4C2A-ACF6-0DBB08C3A5AD}"/>
    <cellStyle name="20% - Accent1 3 2" xfId="233" xr:uid="{F4224571-4515-4105-88E5-F6EA4CE26617}"/>
    <cellStyle name="20% - Accent1 3 2 2" xfId="351" xr:uid="{16851D99-8CEF-4751-BE10-C167A8CDEE69}"/>
    <cellStyle name="20% - Accent1 3 2 2 2" xfId="570" xr:uid="{0472067E-C304-4FD5-B04E-CA6B8AA4E5B7}"/>
    <cellStyle name="20% - Accent1 3 2 3" xfId="460" xr:uid="{C9BFC65D-9A2D-4E5E-84BF-2422CFADFAA1}"/>
    <cellStyle name="20% - Accent1 3 3" xfId="308" xr:uid="{86364500-0A57-4D62-8EC5-6801CF0DE909}"/>
    <cellStyle name="20% - Accent1 3 3 2" xfId="527" xr:uid="{DB2FAF1A-DF81-4296-AF31-0E88D03AEEDF}"/>
    <cellStyle name="20% - Accent1 3 4" xfId="417" xr:uid="{D4DF7E69-8DCA-4782-94DB-A349A1719B1B}"/>
    <cellStyle name="20% - Accent1 3 5" xfId="185" xr:uid="{7701DF09-A349-44E4-8341-A1DFCD82DC84}"/>
    <cellStyle name="20% - Accent1 4" xfId="252" xr:uid="{FF566A72-DB3E-435F-A1D5-3858808C7A56}"/>
    <cellStyle name="20% - Accent1 4 2" xfId="370" xr:uid="{2698E971-34DF-4B06-98DA-BB9424882856}"/>
    <cellStyle name="20% - Accent1 4 2 2" xfId="589" xr:uid="{9E826C39-A004-40B4-8CB8-B178626D4973}"/>
    <cellStyle name="20% - Accent1 4 3" xfId="479" xr:uid="{10DC1308-B1F6-45DA-B2BA-A8593AAC1DB0}"/>
    <cellStyle name="20% - Accent1 5" xfId="209" xr:uid="{4B060B43-2491-456F-A3F9-D715F352B8EE}"/>
    <cellStyle name="20% - Accent1 5 2" xfId="332" xr:uid="{A55C4347-32FC-4C35-8D83-C3E5DC768DF7}"/>
    <cellStyle name="20% - Accent1 5 2 2" xfId="551" xr:uid="{9F7C83F4-38AF-4098-BA6D-E70D2D5507C7}"/>
    <cellStyle name="20% - Accent1 5 3" xfId="441" xr:uid="{CB951B8E-38EC-46DF-85AA-CB1044538BAF}"/>
    <cellStyle name="20% - Accent1 6" xfId="283" xr:uid="{A6E6569B-E285-4D94-9FA1-E666077A14C1}"/>
    <cellStyle name="20% - Accent1 6 2" xfId="505" xr:uid="{C836705E-1576-46AF-A7BF-182191AF2879}"/>
    <cellStyle name="20% - Accent1 7" xfId="395" xr:uid="{EC98031B-22E1-4D50-AC40-61CB9A552324}"/>
    <cellStyle name="20% - Accent1 8" xfId="161" xr:uid="{E58D8F24-DBD6-4397-89BE-F4E872BD11D7}"/>
    <cellStyle name="20% - Accent2" xfId="23" builtinId="34" customBuiltin="1"/>
    <cellStyle name="20% - Accent2 2" xfId="58" xr:uid="{A44E42E4-C088-4943-9BAD-6FF8D7B04AE6}"/>
    <cellStyle name="20% - Accent2 3" xfId="139" xr:uid="{6EB1B52E-32FD-4D74-8E7C-DAED8859CB21}"/>
    <cellStyle name="20% - Accent2 3 2" xfId="235" xr:uid="{814D6984-E5C3-4730-94B8-B62E90CFA8D3}"/>
    <cellStyle name="20% - Accent2 3 2 2" xfId="353" xr:uid="{84D90C7F-F860-4C46-88BD-83D4C0051E62}"/>
    <cellStyle name="20% - Accent2 3 2 2 2" xfId="572" xr:uid="{C8F792A4-ABA5-4A1A-85BD-E7BDA1A480A6}"/>
    <cellStyle name="20% - Accent2 3 2 3" xfId="462" xr:uid="{B261FCC4-BF45-4379-AB42-01E983209B6E}"/>
    <cellStyle name="20% - Accent2 3 3" xfId="310" xr:uid="{11362FE2-FEC9-4810-81A4-14DE6D5811A2}"/>
    <cellStyle name="20% - Accent2 3 3 2" xfId="529" xr:uid="{70E702D4-FC20-4664-97F3-DFC6CA2CD843}"/>
    <cellStyle name="20% - Accent2 3 4" xfId="419" xr:uid="{DCAB3AD2-0F95-48E8-AB9D-D8F6A555EF2B}"/>
    <cellStyle name="20% - Accent2 3 5" xfId="187" xr:uid="{91796093-997C-413C-928D-83725EC538E4}"/>
    <cellStyle name="20% - Accent2 4" xfId="254" xr:uid="{4A9B1190-BE8C-4393-96BC-5DEBB2402195}"/>
    <cellStyle name="20% - Accent2 4 2" xfId="372" xr:uid="{27CAD57D-ADCA-4EE4-BCB8-3334A232E2D1}"/>
    <cellStyle name="20% - Accent2 4 2 2" xfId="591" xr:uid="{9ED5A393-99EE-4A38-A42D-DCCB666595B0}"/>
    <cellStyle name="20% - Accent2 4 3" xfId="481" xr:uid="{593F3A8E-43DF-43A6-84CB-34C73E90EFB7}"/>
    <cellStyle name="20% - Accent2 5" xfId="211" xr:uid="{26ADD55C-07F8-4E0D-B4C7-7BF5A0E6FF48}"/>
    <cellStyle name="20% - Accent2 5 2" xfId="334" xr:uid="{44657B01-96EA-4E5D-9BB7-EF4898CA2504}"/>
    <cellStyle name="20% - Accent2 5 2 2" xfId="553" xr:uid="{B73B830F-34EF-4A22-8983-E7574DDD000C}"/>
    <cellStyle name="20% - Accent2 5 3" xfId="443" xr:uid="{AB053AFC-6406-4E11-B511-A3A5318DBFD8}"/>
    <cellStyle name="20% - Accent2 6" xfId="285" xr:uid="{03E598EA-B761-4D2F-A668-7F783A8E6186}"/>
    <cellStyle name="20% - Accent2 6 2" xfId="507" xr:uid="{5F946037-A960-44C0-B9FC-FDDA715C43BD}"/>
    <cellStyle name="20% - Accent2 7" xfId="397" xr:uid="{3E79F139-5C15-4248-9108-4514A5BC016F}"/>
    <cellStyle name="20% - Accent2 8" xfId="163" xr:uid="{9F4FD441-2F15-4F2A-9FA7-7FC5F28C6A6D}"/>
    <cellStyle name="20% - Accent3" xfId="26" builtinId="38" customBuiltin="1"/>
    <cellStyle name="20% - Accent3 2" xfId="59" xr:uid="{BDC51C25-ACC0-4F51-9CCF-1DDC117A8DAE}"/>
    <cellStyle name="20% - Accent3 3" xfId="141" xr:uid="{65A93627-20C4-453F-A06B-B3238894251B}"/>
    <cellStyle name="20% - Accent3 3 2" xfId="237" xr:uid="{0D6DC381-7B1A-4E25-95DE-754F300BD473}"/>
    <cellStyle name="20% - Accent3 3 2 2" xfId="355" xr:uid="{9FD1F2FD-2BBB-4660-AA56-D9C44DD4339B}"/>
    <cellStyle name="20% - Accent3 3 2 2 2" xfId="574" xr:uid="{0C310EC4-E4EA-43A4-8AF1-982C0F28BDA1}"/>
    <cellStyle name="20% - Accent3 3 2 3" xfId="464" xr:uid="{B5DB55E0-F93C-400B-8A0C-7976D4BE9993}"/>
    <cellStyle name="20% - Accent3 3 3" xfId="312" xr:uid="{2580904A-C933-4DC3-9094-1FDC68466543}"/>
    <cellStyle name="20% - Accent3 3 3 2" xfId="531" xr:uid="{83A2EB51-E07C-4E71-A9EE-97C2469AC6AD}"/>
    <cellStyle name="20% - Accent3 3 4" xfId="421" xr:uid="{7EEDD7F6-6F10-4E2D-B960-11845D57F8F4}"/>
    <cellStyle name="20% - Accent3 3 5" xfId="189" xr:uid="{312544FB-34FB-481F-B1E0-C4D010AA23F8}"/>
    <cellStyle name="20% - Accent3 4" xfId="256" xr:uid="{D40F5DF5-597C-4A6F-9FF3-80BF402DD511}"/>
    <cellStyle name="20% - Accent3 4 2" xfId="374" xr:uid="{086BFD0F-1D5A-4C49-841E-B67DCCA7178B}"/>
    <cellStyle name="20% - Accent3 4 2 2" xfId="593" xr:uid="{6473440D-2EA1-4538-B783-B3DB62F26362}"/>
    <cellStyle name="20% - Accent3 4 3" xfId="483" xr:uid="{BA19E8A1-B3B1-4513-B559-BF5DE4E65D04}"/>
    <cellStyle name="20% - Accent3 5" xfId="213" xr:uid="{AC4B193E-3FD3-4841-B71C-56BAD4EEB1D0}"/>
    <cellStyle name="20% - Accent3 5 2" xfId="336" xr:uid="{4B1AE3F5-539E-4249-8F49-C77950F737DF}"/>
    <cellStyle name="20% - Accent3 5 2 2" xfId="555" xr:uid="{3308C167-05DA-454C-B2DB-F00F8AE3A5AF}"/>
    <cellStyle name="20% - Accent3 5 3" xfId="445" xr:uid="{114BB63F-3901-41EB-93B6-3A9352C25061}"/>
    <cellStyle name="20% - Accent3 6" xfId="287" xr:uid="{A1B6999B-D381-42FD-91E7-C56BBB019B31}"/>
    <cellStyle name="20% - Accent3 6 2" xfId="509" xr:uid="{CEDD1D4E-E599-47C5-A28B-6CFF00AB5DBC}"/>
    <cellStyle name="20% - Accent3 7" xfId="399" xr:uid="{6FE03BEF-793F-4FFF-85CC-74F843CC0A52}"/>
    <cellStyle name="20% - Accent3 8" xfId="165" xr:uid="{43E51962-FECA-4FF1-B241-EBD728A5343B}"/>
    <cellStyle name="20% - Accent4" xfId="29" builtinId="42" customBuiltin="1"/>
    <cellStyle name="20% - Accent4 2" xfId="60" xr:uid="{16C8101C-67AE-47FE-8CCD-42B1EACF89D1}"/>
    <cellStyle name="20% - Accent4 3" xfId="143" xr:uid="{74FCCD10-D246-45A2-A542-2A4C6880E20E}"/>
    <cellStyle name="20% - Accent4 3 2" xfId="239" xr:uid="{7F1CDC1D-6B1C-4FBF-89AA-B9FD994BB39F}"/>
    <cellStyle name="20% - Accent4 3 2 2" xfId="357" xr:uid="{0C801B8D-8CDE-470D-B06E-406509CB455C}"/>
    <cellStyle name="20% - Accent4 3 2 2 2" xfId="576" xr:uid="{5B13CA0B-389E-42E0-B3D4-2DB750758DB7}"/>
    <cellStyle name="20% - Accent4 3 2 3" xfId="466" xr:uid="{73495CA8-490D-448B-9358-E37CA933EC5C}"/>
    <cellStyle name="20% - Accent4 3 3" xfId="314" xr:uid="{1DDEA483-A71F-46D4-A004-A990F17FA1D6}"/>
    <cellStyle name="20% - Accent4 3 3 2" xfId="533" xr:uid="{851CDFEF-33F4-4E8F-ABA4-3A88021DBD3E}"/>
    <cellStyle name="20% - Accent4 3 4" xfId="423" xr:uid="{DE9C253C-8BA1-497E-ADC2-916BF5F13880}"/>
    <cellStyle name="20% - Accent4 3 5" xfId="191" xr:uid="{D28CA9DB-B31C-46E7-A8DA-EC2EB9DC6C48}"/>
    <cellStyle name="20% - Accent4 4" xfId="259" xr:uid="{7AEEBA6A-31E8-4F74-BCFD-62E1EDB37878}"/>
    <cellStyle name="20% - Accent4 4 2" xfId="376" xr:uid="{2EC75C5D-4E58-46B7-8122-8E27C01E7B78}"/>
    <cellStyle name="20% - Accent4 4 2 2" xfId="595" xr:uid="{D6425654-06A0-433C-9DD5-16075E3DB0FE}"/>
    <cellStyle name="20% - Accent4 4 3" xfId="485" xr:uid="{EFFEF2EB-AF1F-4BB0-A642-433C85E9F1A5}"/>
    <cellStyle name="20% - Accent4 5" xfId="215" xr:uid="{2F7C32D6-D176-437F-9DE3-87E9A9350D11}"/>
    <cellStyle name="20% - Accent4 5 2" xfId="338" xr:uid="{B90D77FD-53C6-4B94-82A4-F17C951DD99D}"/>
    <cellStyle name="20% - Accent4 5 2 2" xfId="557" xr:uid="{210B99D4-A726-4003-BA5C-04C533D33974}"/>
    <cellStyle name="20% - Accent4 5 3" xfId="447" xr:uid="{568FF1E8-F2DC-4121-9DDC-B48B96C7F542}"/>
    <cellStyle name="20% - Accent4 6" xfId="289" xr:uid="{D0B4E456-795D-412E-89C4-0F328E912EBC}"/>
    <cellStyle name="20% - Accent4 6 2" xfId="511" xr:uid="{5D8CD8C2-D04E-44B4-B25C-E431FE96B73A}"/>
    <cellStyle name="20% - Accent4 7" xfId="401" xr:uid="{FE662C30-D872-438A-A67A-3112F6270EA9}"/>
    <cellStyle name="20% - Accent4 8" xfId="167" xr:uid="{41A7E702-890B-4890-B36B-23C0F6D6CB14}"/>
    <cellStyle name="20% - Accent5" xfId="32" builtinId="46" customBuiltin="1"/>
    <cellStyle name="20% - Accent5 2" xfId="61" xr:uid="{FD2BB045-B5D4-42E0-A8BC-8B0FD4B2FA20}"/>
    <cellStyle name="20% - Accent5 3" xfId="145" xr:uid="{9973CC36-7F24-4EA8-B428-E290A4A04C5E}"/>
    <cellStyle name="20% - Accent5 3 2" xfId="241" xr:uid="{46FBAB23-5562-4BAF-BCA5-FBB35D4B6D5F}"/>
    <cellStyle name="20% - Accent5 3 2 2" xfId="359" xr:uid="{3EDC044D-2E18-411D-B8BE-31D9C5A419E0}"/>
    <cellStyle name="20% - Accent5 3 2 2 2" xfId="578" xr:uid="{79B3F43B-AC40-4C7C-8BCC-58C1FCF7DA83}"/>
    <cellStyle name="20% - Accent5 3 2 3" xfId="468" xr:uid="{63BA73C9-DFA7-4298-9950-483EB998F368}"/>
    <cellStyle name="20% - Accent5 3 3" xfId="316" xr:uid="{CF204E47-DE85-4646-A81F-C747319AFA29}"/>
    <cellStyle name="20% - Accent5 3 3 2" xfId="535" xr:uid="{A9EFC07D-B5B3-4B68-87F7-EE3E3B2C47AC}"/>
    <cellStyle name="20% - Accent5 3 4" xfId="425" xr:uid="{18745408-A697-48C0-87AF-D76162C56E91}"/>
    <cellStyle name="20% - Accent5 3 5" xfId="193" xr:uid="{81B4B5A2-66B6-4F20-B59D-644E133ABB26}"/>
    <cellStyle name="20% - Accent5 4" xfId="261" xr:uid="{CB896E97-9FE3-4653-B7B0-48E326E40664}"/>
    <cellStyle name="20% - Accent5 4 2" xfId="378" xr:uid="{4D98C200-265F-421A-85F3-391A223F243C}"/>
    <cellStyle name="20% - Accent5 4 2 2" xfId="597" xr:uid="{313593C8-0911-4F1F-888E-D0825D86E7E8}"/>
    <cellStyle name="20% - Accent5 4 3" xfId="487" xr:uid="{D1FA9E45-BBEF-4B0C-9F45-995B05DDBDB8}"/>
    <cellStyle name="20% - Accent5 5" xfId="217" xr:uid="{14E3BF35-C4CB-4015-8C10-098F4F5B8E6D}"/>
    <cellStyle name="20% - Accent5 5 2" xfId="340" xr:uid="{57BAC0A5-50C6-49C7-8AA0-5973F73E21E4}"/>
    <cellStyle name="20% - Accent5 5 2 2" xfId="559" xr:uid="{5A09012B-A5C1-4E7C-B0B5-1EAB9346B0B2}"/>
    <cellStyle name="20% - Accent5 5 3" xfId="449" xr:uid="{95783484-F641-4A88-A71D-BD2A3919117A}"/>
    <cellStyle name="20% - Accent5 6" xfId="291" xr:uid="{C71409E4-F4A3-4FDF-AAA6-27172F4C768E}"/>
    <cellStyle name="20% - Accent5 6 2" xfId="513" xr:uid="{46DAA8CC-522E-454D-9ADC-7DEEC0D9F175}"/>
    <cellStyle name="20% - Accent5 7" xfId="403" xr:uid="{D2EF95BD-0F0C-48BC-B382-53844A280DE9}"/>
    <cellStyle name="20% - Accent5 8" xfId="169" xr:uid="{7F1D7101-C7F4-4DF6-9143-E6BA99D53EA7}"/>
    <cellStyle name="20% - Accent6" xfId="35" builtinId="50" customBuiltin="1"/>
    <cellStyle name="20% - Accent6 2" xfId="62" xr:uid="{1F765048-599F-4936-927E-A0B0ECC9C08D}"/>
    <cellStyle name="20% - Accent6 3" xfId="147" xr:uid="{77B29E10-EEF8-41D7-A748-3B41F5225E2B}"/>
    <cellStyle name="20% - Accent6 3 2" xfId="243" xr:uid="{43EB50C3-7AE7-46FE-BDB1-14BEF5179E52}"/>
    <cellStyle name="20% - Accent6 3 2 2" xfId="361" xr:uid="{4A6C2D90-3CE9-48B0-9BF4-9CA5B2558276}"/>
    <cellStyle name="20% - Accent6 3 2 2 2" xfId="580" xr:uid="{6E16F8A4-70FE-4E68-93F3-21C9D2ED1C08}"/>
    <cellStyle name="20% - Accent6 3 2 3" xfId="470" xr:uid="{DD0F5793-6E1B-44CF-9650-8126EA45B048}"/>
    <cellStyle name="20% - Accent6 3 3" xfId="318" xr:uid="{EA5780CB-E7F1-4CAE-BEE8-F0EC83BCAAEC}"/>
    <cellStyle name="20% - Accent6 3 3 2" xfId="537" xr:uid="{B528A334-09D1-4CC5-8F5E-A4C41E3B3197}"/>
    <cellStyle name="20% - Accent6 3 4" xfId="427" xr:uid="{E0BF3DB5-AE94-4A2F-AB27-8FEB2DC154C6}"/>
    <cellStyle name="20% - Accent6 3 5" xfId="195" xr:uid="{0610AB0F-561C-426E-895A-9E7C0800CB01}"/>
    <cellStyle name="20% - Accent6 4" xfId="263" xr:uid="{F730E37C-8646-4842-AADA-307EC0239A85}"/>
    <cellStyle name="20% - Accent6 4 2" xfId="380" xr:uid="{44386C6B-B95A-49DF-864F-D2BCFF3E2728}"/>
    <cellStyle name="20% - Accent6 4 2 2" xfId="599" xr:uid="{D11C64D2-068D-4150-ACAF-88216C72F6E2}"/>
    <cellStyle name="20% - Accent6 4 3" xfId="489" xr:uid="{9EB3F82F-5328-4CF1-A32C-F2998AD4A90E}"/>
    <cellStyle name="20% - Accent6 5" xfId="219" xr:uid="{595B09AF-C558-43D5-84F0-C682187A6735}"/>
    <cellStyle name="20% - Accent6 5 2" xfId="342" xr:uid="{E1E8EA98-6531-4596-96D2-FEEBE923D9F5}"/>
    <cellStyle name="20% - Accent6 5 2 2" xfId="561" xr:uid="{5EA50AE2-F3C1-4BB2-A322-ECEED6911348}"/>
    <cellStyle name="20% - Accent6 5 3" xfId="451" xr:uid="{EC7CE313-684F-4877-8D25-43EC67A67E25}"/>
    <cellStyle name="20% - Accent6 6" xfId="293" xr:uid="{7710C3BB-0CB6-4A14-8155-A92F25B4D8BB}"/>
    <cellStyle name="20% - Accent6 6 2" xfId="515" xr:uid="{CB292C63-5EC9-4B5B-BD59-380087F1C536}"/>
    <cellStyle name="20% - Accent6 7" xfId="405" xr:uid="{50330C2F-8550-4EA1-951A-28C9C2274D8C}"/>
    <cellStyle name="20% - Accent6 8" xfId="171" xr:uid="{C1562977-1948-4BC7-B1A6-46971526CE8E}"/>
    <cellStyle name="40% - Accent1" xfId="21" builtinId="31" customBuiltin="1"/>
    <cellStyle name="40% - Accent1 2" xfId="63" xr:uid="{630EE0C6-CBBE-456D-9E31-81A9593CBD99}"/>
    <cellStyle name="40% - Accent1 3" xfId="138" xr:uid="{17B6A67F-35A1-4349-9291-1B9D6CF86C52}"/>
    <cellStyle name="40% - Accent1 3 2" xfId="234" xr:uid="{E6DD97B7-8D5D-4A23-9231-EE3EDDAFCE52}"/>
    <cellStyle name="40% - Accent1 3 2 2" xfId="352" xr:uid="{6771F82B-1153-41C7-9950-B8C1FB8819B7}"/>
    <cellStyle name="40% - Accent1 3 2 2 2" xfId="571" xr:uid="{73807DF6-0505-4A27-9A68-593964D11D9A}"/>
    <cellStyle name="40% - Accent1 3 2 3" xfId="461" xr:uid="{D95807A1-220A-4D89-AC34-A0BA4DBEA585}"/>
    <cellStyle name="40% - Accent1 3 3" xfId="309" xr:uid="{0C901D0A-2B31-4327-9DA9-6637BDF695C0}"/>
    <cellStyle name="40% - Accent1 3 3 2" xfId="528" xr:uid="{F16390F5-732C-481F-AF3E-8124717D7D4B}"/>
    <cellStyle name="40% - Accent1 3 4" xfId="418" xr:uid="{14EA3A3D-CF25-4EF2-8383-D1B70776BE65}"/>
    <cellStyle name="40% - Accent1 3 5" xfId="186" xr:uid="{8DE0513C-CC39-406E-BD59-EDC870B878DF}"/>
    <cellStyle name="40% - Accent1 4" xfId="253" xr:uid="{234D8467-F173-4D96-A4B3-9E3599A7D88C}"/>
    <cellStyle name="40% - Accent1 4 2" xfId="371" xr:uid="{EB6E6911-F132-4356-B50E-475BFA451500}"/>
    <cellStyle name="40% - Accent1 4 2 2" xfId="590" xr:uid="{6D42CFA9-7F22-468F-9187-F8538D84B06D}"/>
    <cellStyle name="40% - Accent1 4 3" xfId="480" xr:uid="{E9464F8D-66E2-4B5D-B3BB-8E5CEA7B375F}"/>
    <cellStyle name="40% - Accent1 5" xfId="210" xr:uid="{3A3891E5-CBF2-42C5-959E-5C98CAC04006}"/>
    <cellStyle name="40% - Accent1 5 2" xfId="333" xr:uid="{289D496A-9446-423C-BB22-239BFA939011}"/>
    <cellStyle name="40% - Accent1 5 2 2" xfId="552" xr:uid="{7EDCFBC8-8D8D-4509-BE2D-A7ADB77DC1D9}"/>
    <cellStyle name="40% - Accent1 5 3" xfId="442" xr:uid="{2C519BA1-AA91-472B-B2A3-32A2E2DAA837}"/>
    <cellStyle name="40% - Accent1 6" xfId="284" xr:uid="{471B3E71-CCE7-4242-9FDF-DB3B45E30ED6}"/>
    <cellStyle name="40% - Accent1 6 2" xfId="506" xr:uid="{A5A2E95A-F293-42ED-8985-CC7BB32313DF}"/>
    <cellStyle name="40% - Accent1 7" xfId="396" xr:uid="{5C7FA4E5-2F98-4919-8590-605C36579DD2}"/>
    <cellStyle name="40% - Accent1 8" xfId="162" xr:uid="{799A2DB4-46BF-42F8-BBF3-902E6C39BFB4}"/>
    <cellStyle name="40% - Accent2" xfId="24" builtinId="35" customBuiltin="1"/>
    <cellStyle name="40% - Accent2 2" xfId="64" xr:uid="{D56060B9-B8CB-4ACA-80EB-19BCE7607C84}"/>
    <cellStyle name="40% - Accent2 3" xfId="140" xr:uid="{86111124-F276-486E-A6D1-FEF9C7B69999}"/>
    <cellStyle name="40% - Accent2 3 2" xfId="236" xr:uid="{AF447828-69D5-4275-B699-B9A8112DCCDD}"/>
    <cellStyle name="40% - Accent2 3 2 2" xfId="354" xr:uid="{A6B0DEAF-3B1A-40C5-AC3B-337CAB6358E1}"/>
    <cellStyle name="40% - Accent2 3 2 2 2" xfId="573" xr:uid="{3B053049-5E3F-4F98-B288-10BF860F7F34}"/>
    <cellStyle name="40% - Accent2 3 2 3" xfId="463" xr:uid="{36BE7433-702F-46B8-BF51-687C0DE6138B}"/>
    <cellStyle name="40% - Accent2 3 3" xfId="311" xr:uid="{5BE77B18-E3D0-4DA9-81F4-639C7E6E22E4}"/>
    <cellStyle name="40% - Accent2 3 3 2" xfId="530" xr:uid="{6D1B1CCC-7253-47E0-9FBA-4D37CE62CB0C}"/>
    <cellStyle name="40% - Accent2 3 4" xfId="420" xr:uid="{1AE0ADC6-9034-459E-A844-2C4CCD48D09B}"/>
    <cellStyle name="40% - Accent2 3 5" xfId="188" xr:uid="{253F9728-B463-4CF3-9169-F9414080E784}"/>
    <cellStyle name="40% - Accent2 4" xfId="255" xr:uid="{DF02B6A4-3C27-436B-AF5B-9AE418171D0A}"/>
    <cellStyle name="40% - Accent2 4 2" xfId="373" xr:uid="{CA58B87E-99BC-4C79-A001-126C2D0EB095}"/>
    <cellStyle name="40% - Accent2 4 2 2" xfId="592" xr:uid="{9BEE4CF7-BAED-4424-B735-04A7E999D95C}"/>
    <cellStyle name="40% - Accent2 4 3" xfId="482" xr:uid="{D0EF931E-C604-462E-AB9E-7CF4413E6B8D}"/>
    <cellStyle name="40% - Accent2 5" xfId="212" xr:uid="{67D102EE-500E-4F96-B52B-B4AB3B448968}"/>
    <cellStyle name="40% - Accent2 5 2" xfId="335" xr:uid="{798C8434-AFC5-4C8E-A512-3FB42B324C07}"/>
    <cellStyle name="40% - Accent2 5 2 2" xfId="554" xr:uid="{7E6CFDCB-678E-456F-9F4C-954FC21C43CE}"/>
    <cellStyle name="40% - Accent2 5 3" xfId="444" xr:uid="{76BC2D9D-0AAF-4ABC-983A-E5B58A0897E8}"/>
    <cellStyle name="40% - Accent2 6" xfId="286" xr:uid="{B771B07A-8EAF-4EBB-B50F-8AA43CB3D5A8}"/>
    <cellStyle name="40% - Accent2 6 2" xfId="508" xr:uid="{149F131D-8AF2-425B-A63D-8B73370288CE}"/>
    <cellStyle name="40% - Accent2 7" xfId="398" xr:uid="{C6763E00-626D-44C3-AD1D-730F33F28D24}"/>
    <cellStyle name="40% - Accent2 8" xfId="164" xr:uid="{48017E06-D367-47BD-B803-B0E4B374F037}"/>
    <cellStyle name="40% - Accent3" xfId="27" builtinId="39" customBuiltin="1"/>
    <cellStyle name="40% - Accent3 2" xfId="65" xr:uid="{6C65A5C0-5BA0-4AF7-9764-25CE1FF9AEBE}"/>
    <cellStyle name="40% - Accent3 3" xfId="142" xr:uid="{446E9A3B-2355-4102-A5FD-83D45201CEC7}"/>
    <cellStyle name="40% - Accent3 3 2" xfId="238" xr:uid="{3B88948C-A3B4-4605-A894-C16B8FFEE4D6}"/>
    <cellStyle name="40% - Accent3 3 2 2" xfId="356" xr:uid="{7BF71F0B-03D2-4BCC-8241-125DD6F06E2F}"/>
    <cellStyle name="40% - Accent3 3 2 2 2" xfId="575" xr:uid="{C36B608D-60A9-4C68-A3CF-4DC9E854E89D}"/>
    <cellStyle name="40% - Accent3 3 2 3" xfId="465" xr:uid="{03DA20B7-0BED-4767-AB4D-D9496C6E5224}"/>
    <cellStyle name="40% - Accent3 3 3" xfId="313" xr:uid="{AD463B37-B2D8-49DC-97BF-CFE4C19E4446}"/>
    <cellStyle name="40% - Accent3 3 3 2" xfId="532" xr:uid="{8276D4BF-0221-4142-BF8D-EB7F60EA3186}"/>
    <cellStyle name="40% - Accent3 3 4" xfId="422" xr:uid="{9AE0C7F0-0832-48F8-9A01-86A1FF975D04}"/>
    <cellStyle name="40% - Accent3 3 5" xfId="190" xr:uid="{AA0F4AA5-D71D-4E46-86F9-C8BC30403A3F}"/>
    <cellStyle name="40% - Accent3 4" xfId="257" xr:uid="{F7B04FAE-4CEF-4BF7-ADEA-F23817AE8ED8}"/>
    <cellStyle name="40% - Accent3 4 2" xfId="375" xr:uid="{126E2031-213B-4D73-BBF0-371E07792243}"/>
    <cellStyle name="40% - Accent3 4 2 2" xfId="594" xr:uid="{C5770369-A538-4915-B560-865ACA6C0FBC}"/>
    <cellStyle name="40% - Accent3 4 3" xfId="484" xr:uid="{E5A3F35E-7A23-408E-AD08-086C9B8043DA}"/>
    <cellStyle name="40% - Accent3 5" xfId="214" xr:uid="{D379C392-8E4C-4F48-89B9-EE8E6B073D74}"/>
    <cellStyle name="40% - Accent3 5 2" xfId="337" xr:uid="{090C22E9-3EB5-4EE5-9AC5-A0A6E9E2A124}"/>
    <cellStyle name="40% - Accent3 5 2 2" xfId="556" xr:uid="{4281E042-5692-470F-8CF5-95A1B4974082}"/>
    <cellStyle name="40% - Accent3 5 3" xfId="446" xr:uid="{49418314-3968-4928-A029-50D6E70A1A22}"/>
    <cellStyle name="40% - Accent3 6" xfId="288" xr:uid="{B94F0E50-3DB3-4428-A1E7-F26121ECE7B0}"/>
    <cellStyle name="40% - Accent3 6 2" xfId="510" xr:uid="{3090F6FF-6217-40E7-8902-BE0CCD98EB8D}"/>
    <cellStyle name="40% - Accent3 7" xfId="400" xr:uid="{419A6D2D-EF4C-4496-9F6A-8E9684E961D0}"/>
    <cellStyle name="40% - Accent3 8" xfId="166" xr:uid="{509082CE-718D-4CBD-BE2D-95389E4F3A74}"/>
    <cellStyle name="40% - Accent4" xfId="30" builtinId="43" customBuiltin="1"/>
    <cellStyle name="40% - Accent4 2" xfId="66" xr:uid="{52875578-34E4-48B3-A366-AED0FDBD0ED3}"/>
    <cellStyle name="40% - Accent4 3" xfId="144" xr:uid="{77EA6870-7DB0-46CB-88F3-F75400BE5320}"/>
    <cellStyle name="40% - Accent4 3 2" xfId="240" xr:uid="{4677FA3F-FDE9-4BB7-B37E-76ABF99AFFD1}"/>
    <cellStyle name="40% - Accent4 3 2 2" xfId="358" xr:uid="{F2C30858-1ECB-470F-B45A-C4D3A598EE4F}"/>
    <cellStyle name="40% - Accent4 3 2 2 2" xfId="577" xr:uid="{511B4F1E-89AA-4AA3-AE6A-2E7D1BAA1CD8}"/>
    <cellStyle name="40% - Accent4 3 2 3" xfId="467" xr:uid="{BC0691FF-7781-4F7F-BF56-C920EAFA823D}"/>
    <cellStyle name="40% - Accent4 3 3" xfId="315" xr:uid="{0D15EF39-2C6A-4F1C-8943-3AB14999E56B}"/>
    <cellStyle name="40% - Accent4 3 3 2" xfId="534" xr:uid="{D766F3C6-0FCA-4706-B750-BBEB02640486}"/>
    <cellStyle name="40% - Accent4 3 4" xfId="424" xr:uid="{ECDF3A28-9BAE-4937-B4A7-C3EABA301226}"/>
    <cellStyle name="40% - Accent4 3 5" xfId="192" xr:uid="{2B6C31A6-6BC9-4D38-BAD4-6DBB08D89CDC}"/>
    <cellStyle name="40% - Accent4 4" xfId="260" xr:uid="{03F3C049-8450-43BF-9DD0-374DAB6F10FE}"/>
    <cellStyle name="40% - Accent4 4 2" xfId="377" xr:uid="{FB55001A-188B-459C-AB27-73AEA0FD2B2F}"/>
    <cellStyle name="40% - Accent4 4 2 2" xfId="596" xr:uid="{3B25C148-3A95-4C0E-A023-F869030677EF}"/>
    <cellStyle name="40% - Accent4 4 3" xfId="486" xr:uid="{D033EF1A-5499-4832-883F-2D5AACD990EC}"/>
    <cellStyle name="40% - Accent4 5" xfId="216" xr:uid="{41BED62E-49B7-45D5-B56D-543E054FD76B}"/>
    <cellStyle name="40% - Accent4 5 2" xfId="339" xr:uid="{C4EAD92A-EF9F-4601-B5D6-2959287373E7}"/>
    <cellStyle name="40% - Accent4 5 2 2" xfId="558" xr:uid="{01506818-C343-4D77-BA2C-3088850108BB}"/>
    <cellStyle name="40% - Accent4 5 3" xfId="448" xr:uid="{FD148422-412F-492E-830E-A993ECAF0272}"/>
    <cellStyle name="40% - Accent4 6" xfId="290" xr:uid="{4A09FEAD-B909-44AA-9069-C41D27DC3F73}"/>
    <cellStyle name="40% - Accent4 6 2" xfId="512" xr:uid="{FD00EA55-F5FB-46D9-A3DB-258C7A079595}"/>
    <cellStyle name="40% - Accent4 7" xfId="402" xr:uid="{C9CFD9E0-7635-4425-976E-EFD92E13DFC2}"/>
    <cellStyle name="40% - Accent4 8" xfId="168" xr:uid="{FF9C3E04-44FF-4BCB-AC26-2583C435E6A6}"/>
    <cellStyle name="40% - Accent5" xfId="33" builtinId="47" customBuiltin="1"/>
    <cellStyle name="40% - Accent5 2" xfId="67" xr:uid="{9EBF9E1C-E87A-4DC3-8235-4A654C3447B4}"/>
    <cellStyle name="40% - Accent5 3" xfId="146" xr:uid="{E982F182-3200-4539-947B-B69D3C237DCB}"/>
    <cellStyle name="40% - Accent5 3 2" xfId="242" xr:uid="{C4BFBEA7-C9AE-42C5-9CDE-09D5814D8CDC}"/>
    <cellStyle name="40% - Accent5 3 2 2" xfId="360" xr:uid="{7103DE6C-A68A-4DB1-92A7-127DF3312BA5}"/>
    <cellStyle name="40% - Accent5 3 2 2 2" xfId="579" xr:uid="{915E1F1E-23C5-4F49-B598-A534569AA56E}"/>
    <cellStyle name="40% - Accent5 3 2 3" xfId="469" xr:uid="{5C5A99AA-859D-4232-844F-1C6FA260D1A3}"/>
    <cellStyle name="40% - Accent5 3 3" xfId="317" xr:uid="{943EE4B1-E365-45CC-8B5F-469C1509358F}"/>
    <cellStyle name="40% - Accent5 3 3 2" xfId="536" xr:uid="{A08A95D5-5F35-44FD-BE9F-99E89D2ACF9C}"/>
    <cellStyle name="40% - Accent5 3 4" xfId="426" xr:uid="{EF9036C3-F438-41B8-B8CD-A72837984125}"/>
    <cellStyle name="40% - Accent5 3 5" xfId="194" xr:uid="{1F070244-F34E-4E97-A773-A14D59646D88}"/>
    <cellStyle name="40% - Accent5 4" xfId="262" xr:uid="{9A2EA2F3-F5D2-4076-824A-DCC95EF9B9A7}"/>
    <cellStyle name="40% - Accent5 4 2" xfId="379" xr:uid="{89F21ABD-48B4-48ED-8C0F-CCE093135DA3}"/>
    <cellStyle name="40% - Accent5 4 2 2" xfId="598" xr:uid="{423ADDF2-5F17-437E-928F-73B1B86044B8}"/>
    <cellStyle name="40% - Accent5 4 3" xfId="488" xr:uid="{C21E569D-D43E-4696-B876-A4C0BB1AB0DF}"/>
    <cellStyle name="40% - Accent5 5" xfId="218" xr:uid="{51E46381-813A-44D3-AC73-7CC4B5B5891A}"/>
    <cellStyle name="40% - Accent5 5 2" xfId="341" xr:uid="{DCEAFC04-E969-4309-B47B-7DB24097DC85}"/>
    <cellStyle name="40% - Accent5 5 2 2" xfId="560" xr:uid="{7D9DBEBC-DA93-481B-8BDA-D763C54DC5BE}"/>
    <cellStyle name="40% - Accent5 5 3" xfId="450" xr:uid="{831B341F-CBDC-4331-83A9-73324AA53BAB}"/>
    <cellStyle name="40% - Accent5 6" xfId="292" xr:uid="{E7D75AF8-B58B-4AAD-92ED-8C864049B269}"/>
    <cellStyle name="40% - Accent5 6 2" xfId="514" xr:uid="{0E77A3B5-8E5B-4C53-B528-517A07669F3F}"/>
    <cellStyle name="40% - Accent5 7" xfId="404" xr:uid="{4730907C-8BF0-4AC5-B0C6-588B17008295}"/>
    <cellStyle name="40% - Accent5 8" xfId="170" xr:uid="{1260EA3B-65F4-46E0-AE56-0F302564D1FB}"/>
    <cellStyle name="40% - Accent6" xfId="36" builtinId="51" customBuiltin="1"/>
    <cellStyle name="40% - Accent6 2" xfId="68" xr:uid="{8803B2E3-C380-4D3D-ACCB-B6343341EC6B}"/>
    <cellStyle name="40% - Accent6 3" xfId="148" xr:uid="{E756E0C2-3289-4043-A9F0-AA849E1E3CF7}"/>
    <cellStyle name="40% - Accent6 3 2" xfId="244" xr:uid="{D3C5527A-BA1E-4B4D-8B2B-161E79F2DB4E}"/>
    <cellStyle name="40% - Accent6 3 2 2" xfId="362" xr:uid="{9E8CB9E2-AF69-491C-BD0D-87C70E842749}"/>
    <cellStyle name="40% - Accent6 3 2 2 2" xfId="581" xr:uid="{220BE293-3A4D-472E-A546-8930B7D5A1DD}"/>
    <cellStyle name="40% - Accent6 3 2 3" xfId="471" xr:uid="{74375229-F707-4813-9DF6-50D86E54D366}"/>
    <cellStyle name="40% - Accent6 3 3" xfId="319" xr:uid="{EE550651-AB59-437A-91FD-8DD430AAAEE2}"/>
    <cellStyle name="40% - Accent6 3 3 2" xfId="538" xr:uid="{A737909F-892A-431E-AC67-4658859BD61F}"/>
    <cellStyle name="40% - Accent6 3 4" xfId="428" xr:uid="{EDA21224-BDE7-4F4F-9866-408B21609231}"/>
    <cellStyle name="40% - Accent6 3 5" xfId="196" xr:uid="{37A49CAE-5743-47A0-B7A2-BCC5C29958D4}"/>
    <cellStyle name="40% - Accent6 4" xfId="264" xr:uid="{02A3C7B2-A3AE-43F2-B5D7-DD67E711360A}"/>
    <cellStyle name="40% - Accent6 4 2" xfId="381" xr:uid="{664E4AD0-6F4E-42CD-9165-0C3DDA599415}"/>
    <cellStyle name="40% - Accent6 4 2 2" xfId="600" xr:uid="{6DA7F8BB-DCCA-46B6-9C8D-3F82ED044523}"/>
    <cellStyle name="40% - Accent6 4 3" xfId="490" xr:uid="{7A2DDC1B-DCA5-41DE-8844-690FF9F7D282}"/>
    <cellStyle name="40% - Accent6 5" xfId="220" xr:uid="{A0EFA19A-FC6C-40FD-809A-6010BDE66CC3}"/>
    <cellStyle name="40% - Accent6 5 2" xfId="343" xr:uid="{56166F80-5489-4ADE-8845-D35DFF12836C}"/>
    <cellStyle name="40% - Accent6 5 2 2" xfId="562" xr:uid="{236F39DD-2C7C-47AC-B85B-09F082B527A8}"/>
    <cellStyle name="40% - Accent6 5 3" xfId="452" xr:uid="{4C3C4E97-0B63-49F7-8015-E88183755BB8}"/>
    <cellStyle name="40% - Accent6 6" xfId="294" xr:uid="{D3D2856D-A2E4-40B5-9D29-7E9AC3E72197}"/>
    <cellStyle name="40% - Accent6 6 2" xfId="516" xr:uid="{20DC4BE5-163C-4E71-9A6A-FB382F26B339}"/>
    <cellStyle name="40% - Accent6 7" xfId="406" xr:uid="{5934DD59-41EE-42D5-A03E-77111F95A1E7}"/>
    <cellStyle name="40% - Accent6 8" xfId="172" xr:uid="{25B4EABC-3EFC-44BD-96FC-1071C00A41D1}"/>
    <cellStyle name="60% - Accent1 2" xfId="69" xr:uid="{516861AB-803C-4034-952B-7AD2915E9BB7}"/>
    <cellStyle name="60% - Accent1 3" xfId="44" xr:uid="{A21C9313-2B14-47CF-9907-8BCD59BDD296}"/>
    <cellStyle name="60% - Accent2 2" xfId="70" xr:uid="{AC93860F-F9A8-411D-8146-78F2601F4B7E}"/>
    <cellStyle name="60% - Accent2 3" xfId="45" xr:uid="{7F3611C0-841E-4955-8852-F3C554ADB8D8}"/>
    <cellStyle name="60% - Accent3 2" xfId="71" xr:uid="{A5AE647D-ECBD-471A-B2F2-0E4D452FBAF5}"/>
    <cellStyle name="60% - Accent3 3" xfId="46" xr:uid="{EF6748C6-1F84-4F18-8B4D-5FEEE476974C}"/>
    <cellStyle name="60% - Accent4 2" xfId="72" xr:uid="{28377C15-1483-435A-AB7E-5CDB81EE1168}"/>
    <cellStyle name="60% - Accent4 3" xfId="48" xr:uid="{1329DB82-A5EF-42A1-B034-CB6B3B51F5BE}"/>
    <cellStyle name="60% - Accent5 2" xfId="73" xr:uid="{BBC80E05-5F18-4BBA-8996-B32CA9EF45EF}"/>
    <cellStyle name="60% - Accent5 3" xfId="49" xr:uid="{8660BB2A-3B29-4E24-BCC5-EB848229BC52}"/>
    <cellStyle name="60% - Accent6 2" xfId="74" xr:uid="{482A0C6D-C143-45A6-BFD4-85935C53684F}"/>
    <cellStyle name="60% - Accent6 3" xfId="50" xr:uid="{4E8790D3-5CD7-4DB6-ADA0-765B532BDE68}"/>
    <cellStyle name="Accent1" xfId="19" builtinId="29" customBuiltin="1"/>
    <cellStyle name="Accent1 2" xfId="75" xr:uid="{5164B83F-BE47-494F-BA66-5E73C24FED72}"/>
    <cellStyle name="Accent2" xfId="22" builtinId="33" customBuiltin="1"/>
    <cellStyle name="Accent2 2" xfId="76" xr:uid="{B27AFD7A-763C-4764-AD5E-BFC1F842EFD7}"/>
    <cellStyle name="Accent3" xfId="25" builtinId="37" customBuiltin="1"/>
    <cellStyle name="Accent3 2" xfId="77" xr:uid="{04BC2EB7-098B-4094-90F0-18807CFB7A40}"/>
    <cellStyle name="Accent4" xfId="28" builtinId="41" customBuiltin="1"/>
    <cellStyle name="Accent4 2" xfId="78" xr:uid="{7E4CC67D-4A26-401F-B0C3-0C03DA29BB60}"/>
    <cellStyle name="Accent5" xfId="31" builtinId="45" customBuiltin="1"/>
    <cellStyle name="Accent5 2" xfId="79" xr:uid="{27CCA07D-B56D-48CB-B9D1-48F88D8B772E}"/>
    <cellStyle name="Accent6" xfId="34" builtinId="49" customBuiltin="1"/>
    <cellStyle name="Accent6 2" xfId="80" xr:uid="{137ECCAB-3B6F-4FA1-BB36-A90A1B12898E}"/>
    <cellStyle name="Bad" xfId="10" builtinId="27" customBuiltin="1"/>
    <cellStyle name="Bad 2" xfId="81" xr:uid="{8F457E11-65EC-46D1-8190-E39C17649D93}"/>
    <cellStyle name="Calculation" xfId="13" builtinId="22" customBuiltin="1"/>
    <cellStyle name="Calculation 2" xfId="82" xr:uid="{C43BBA04-CA8B-403F-82F1-6238EF10C868}"/>
    <cellStyle name="Check Cell" xfId="15" builtinId="23" customBuiltin="1"/>
    <cellStyle name="Check Cell 2" xfId="83" xr:uid="{1355BC10-132A-4184-9A16-5064EDFF27F7}"/>
    <cellStyle name="Comma" xfId="1" builtinId="3"/>
    <cellStyle name="Comma [0] 2" xfId="621" xr:uid="{A304D4BC-D487-4FE0-BE34-270722BD7405}"/>
    <cellStyle name="Comma [0] 3" xfId="617" xr:uid="{30C0FBD2-C35C-470B-9BED-03746773CDE1}"/>
    <cellStyle name="Comma 10" xfId="43" xr:uid="{724C7320-2360-4579-A267-D70A0D2C801A}"/>
    <cellStyle name="Comma 11" xfId="47" xr:uid="{F0E2ADE4-D310-4E45-913B-828A6DA27D24}"/>
    <cellStyle name="Comma 12" xfId="630" xr:uid="{FE1842F2-7942-4B3B-AD95-AA282C732F21}"/>
    <cellStyle name="Comma 13" xfId="623" xr:uid="{DA155346-F234-46ED-B0EB-C60A6ED57B86}"/>
    <cellStyle name="Comma 14" xfId="641" xr:uid="{5E2A3249-8748-4026-997F-C8027D498600}"/>
    <cellStyle name="Comma 15" xfId="638" xr:uid="{94364BCE-A71B-4A19-97A2-48D9F1B8EFA1}"/>
    <cellStyle name="Comma 16" xfId="640" xr:uid="{25ABF321-4689-4990-922F-AA9AAA1BE1E1}"/>
    <cellStyle name="Comma 17" xfId="626" xr:uid="{F32A4766-3AE2-4BBE-B83B-601FAD87925E}"/>
    <cellStyle name="Comma 18" xfId="629" xr:uid="{066EAFA6-942B-4EE6-8911-C0D713A491A6}"/>
    <cellStyle name="Comma 19" xfId="645" xr:uid="{D94112DC-016B-4EA4-BCD7-F382C9348E7C}"/>
    <cellStyle name="Comma 2" xfId="52" xr:uid="{FD3E251C-10C9-4B91-B1A4-56F1CCECE305}"/>
    <cellStyle name="Comma 2 2" xfId="281" xr:uid="{1FCEEB34-6A8F-4060-8922-2E8D60888F4D}"/>
    <cellStyle name="Comma 20" xfId="633" xr:uid="{61719010-267E-4135-87A3-5961810643ED}"/>
    <cellStyle name="Comma 21" xfId="625" xr:uid="{28EE4CC7-E95F-4356-844D-0C05733F1834}"/>
    <cellStyle name="Comma 22" xfId="634" xr:uid="{0B531931-8EDC-4233-BCF3-2755C4244B42}"/>
    <cellStyle name="Comma 23" xfId="627" xr:uid="{980D8D5E-2284-4126-A970-43FE3F6FCDDF}"/>
    <cellStyle name="Comma 24" xfId="631" xr:uid="{DEEB5DBF-0855-4352-81B4-F7FD59A365C9}"/>
    <cellStyle name="Comma 25" xfId="644" xr:uid="{BA1BA87A-40A2-492B-9130-BD8DB7929FF3}"/>
    <cellStyle name="Comma 26" xfId="636" xr:uid="{5D1EEE62-BB77-4471-BE7C-61F4E10377D3}"/>
    <cellStyle name="Comma 27" xfId="637" xr:uid="{BA2E7325-F836-43AA-90CE-82A71CBCFA05}"/>
    <cellStyle name="Comma 28" xfId="628" xr:uid="{702B059B-D42D-47FA-9B09-811D0FA12341}"/>
    <cellStyle name="Comma 29" xfId="632" xr:uid="{DE5C4778-1F34-48C2-8AC4-CB8401F4ECB3}"/>
    <cellStyle name="Comma 3" xfId="84" xr:uid="{75485DB8-1E7E-4C64-A094-AB76D42EFDB6}"/>
    <cellStyle name="Comma 3 2" xfId="85" xr:uid="{5221EBB3-CF7D-43BD-B6CB-01D551574623}"/>
    <cellStyle name="Comma 30" xfId="639" xr:uid="{47C462D7-820E-4EEB-BA38-C6BA5CCC2DA9}"/>
    <cellStyle name="Comma 31" xfId="642" xr:uid="{AF809F11-2BD5-4E3F-8D3B-94ED1D385C9D}"/>
    <cellStyle name="Comma 32" xfId="635" xr:uid="{1EFB8ADA-CACC-46BA-A549-11B51B79E90C}"/>
    <cellStyle name="Comma 33" xfId="643" xr:uid="{9E0EC3F3-97FB-4BF3-B4E2-41991612B082}"/>
    <cellStyle name="Comma 34" xfId="41" xr:uid="{66FDF942-ED36-4B80-A3B6-14242BBEFBF7}"/>
    <cellStyle name="Comma 4" xfId="86" xr:uid="{E13EB313-3648-4A7A-91D1-BEEFEC7D44A8}"/>
    <cellStyle name="Comma 4 2" xfId="149" xr:uid="{63D8F99E-831C-409E-98AC-D2770DC12E4C}"/>
    <cellStyle name="Comma 4 2 2" xfId="246" xr:uid="{D754426D-E0D8-46E3-A589-FAE50EDA85B9}"/>
    <cellStyle name="Comma 4 2 2 2" xfId="364" xr:uid="{35C654D5-8F29-41F6-B14B-DA57CEB4BA75}"/>
    <cellStyle name="Comma 4 2 2 2 2" xfId="583" xr:uid="{33F0577F-C6DD-4890-ADB6-D2CFC3375FA1}"/>
    <cellStyle name="Comma 4 2 2 3" xfId="473" xr:uid="{7A79FF4A-51DA-4AAD-B9A3-17F829CD93D2}"/>
    <cellStyle name="Comma 4 2 3" xfId="320" xr:uid="{6B9ACE01-AEE5-490C-A5CD-CA32BE2D4262}"/>
    <cellStyle name="Comma 4 2 3 2" xfId="539" xr:uid="{BB1E892D-3CA2-4DDA-B9C2-360934A43706}"/>
    <cellStyle name="Comma 4 2 4" xfId="429" xr:uid="{28A3EC8E-8198-4A23-A118-BD13214B31B8}"/>
    <cellStyle name="Comma 4 2 5" xfId="197" xr:uid="{4A3273BB-40A2-49A1-876B-C162A3305A99}"/>
    <cellStyle name="Comma 4 3" xfId="267" xr:uid="{E015BBBF-2F55-47E4-A7B1-0E56F6B5AD13}"/>
    <cellStyle name="Comma 4 3 2" xfId="383" xr:uid="{067EDC55-DEE1-41C1-839B-6AF00A1C6DD9}"/>
    <cellStyle name="Comma 4 3 2 2" xfId="602" xr:uid="{6B1B78F7-A34D-40B6-87C2-EADC2EEF2F6D}"/>
    <cellStyle name="Comma 4 3 3" xfId="492" xr:uid="{742506CD-A840-4B57-A04A-5686C1BAD101}"/>
    <cellStyle name="Comma 4 4" xfId="224" xr:uid="{DBAE53A0-D8E8-4D99-A4B0-73AA1164A689}"/>
    <cellStyle name="Comma 4 4 2" xfId="345" xr:uid="{85E904DC-42C3-4078-AFEC-52BCB43F842F}"/>
    <cellStyle name="Comma 4 4 2 2" xfId="564" xr:uid="{C08C4B4E-B4F8-488A-83F6-BA2F62882D9F}"/>
    <cellStyle name="Comma 4 4 3" xfId="454" xr:uid="{C24014AD-7523-4C9D-8F13-8E74072AC883}"/>
    <cellStyle name="Comma 4 5" xfId="205" xr:uid="{0E629194-8F3F-454D-9CCC-51D409EF9E20}"/>
    <cellStyle name="Comma 4 5 2" xfId="328" xr:uid="{D3C6AC32-05C3-4DBF-B415-0325B6264976}"/>
    <cellStyle name="Comma 4 5 2 2" xfId="547" xr:uid="{2D5B3AE8-99D5-4251-9D10-F16E2CD18917}"/>
    <cellStyle name="Comma 4 5 3" xfId="437" xr:uid="{A16E1E5C-AD5E-43B2-88BB-69CE9919912C}"/>
    <cellStyle name="Comma 4 6" xfId="299" xr:uid="{53F423A7-6DAF-434A-9606-40DC0C2E0E7D}"/>
    <cellStyle name="Comma 4 6 2" xfId="518" xr:uid="{602CBFE1-5254-40AF-90D3-D3C1823F6A51}"/>
    <cellStyle name="Comma 4 7" xfId="408" xr:uid="{BD53CA94-2019-44C4-89B5-1024062652B7}"/>
    <cellStyle name="Comma 4 8" xfId="176" xr:uid="{AD545B60-6F0D-415E-B177-AC77D695E7A6}"/>
    <cellStyle name="Comma 5" xfId="133" xr:uid="{5FDCA3AC-2CC8-4CEB-B340-3AD6F242026D}"/>
    <cellStyle name="Comma 5 2" xfId="154" xr:uid="{01E3403F-7FE6-467B-A35C-6F778E739817}"/>
    <cellStyle name="Comma 5 2 2" xfId="251" xr:uid="{CDABA1FD-2C12-4408-93A0-9CE2366A7D65}"/>
    <cellStyle name="Comma 5 2 2 2" xfId="369" xr:uid="{8D8E8919-F841-4B0A-B6F7-D0C941AB606E}"/>
    <cellStyle name="Comma 5 2 2 2 2" xfId="588" xr:uid="{5033481B-245B-4537-A698-8B917CFFFFFC}"/>
    <cellStyle name="Comma 5 2 2 3" xfId="478" xr:uid="{D35EC019-6210-405C-B749-375071423596}"/>
    <cellStyle name="Comma 5 2 3" xfId="325" xr:uid="{8C5EF318-2E81-48DB-99E1-3AF41BD51DCB}"/>
    <cellStyle name="Comma 5 2 3 2" xfId="544" xr:uid="{C5E92167-5026-4697-A9A6-7D915DAE9007}"/>
    <cellStyle name="Comma 5 2 4" xfId="434" xr:uid="{B6E30130-8CDF-4E7D-8FAB-293C7BD26287}"/>
    <cellStyle name="Comma 5 2 5" xfId="202" xr:uid="{C420A01D-64F7-471A-8DD9-32A3B4D0C702}"/>
    <cellStyle name="Comma 5 3" xfId="272" xr:uid="{226C39E1-9FB8-4AB9-8CEA-EB40AD77DA73}"/>
    <cellStyle name="Comma 5 3 2" xfId="388" xr:uid="{53F3B3E8-C48A-4839-86DF-FC1FFA344526}"/>
    <cellStyle name="Comma 5 3 2 2" xfId="607" xr:uid="{8EE59529-2BCE-4EA9-9F7E-0816918B3C92}"/>
    <cellStyle name="Comma 5 3 3" xfId="497" xr:uid="{22DB238A-6FAF-4AE1-8D38-7E285AD57EEE}"/>
    <cellStyle name="Comma 5 4" xfId="232" xr:uid="{6A38DFCF-01FC-4BED-9C41-CF91AB6DD8E3}"/>
    <cellStyle name="Comma 5 4 2" xfId="350" xr:uid="{24C11DE6-1EC9-41B5-818D-00B695EA19E1}"/>
    <cellStyle name="Comma 5 4 2 2" xfId="569" xr:uid="{EF400D6E-008D-409D-A173-BD2CE10FD55D}"/>
    <cellStyle name="Comma 5 4 3" xfId="459" xr:uid="{CFDF5ED6-4CC4-4AC7-ADC2-96B0527B9592}"/>
    <cellStyle name="Comma 5 5" xfId="304" xr:uid="{C4851752-4A4E-4D9C-A65C-8F365267FD1D}"/>
    <cellStyle name="Comma 5 5 2" xfId="523" xr:uid="{F099CE99-4A42-4758-A913-BDCD1F2AF298}"/>
    <cellStyle name="Comma 5 6" xfId="413" xr:uid="{B1D8C5A6-3734-4F81-897F-60EE58D7569C}"/>
    <cellStyle name="Comma 5 7" xfId="181" xr:uid="{251CAD11-452F-4F31-B911-0D73C8291BC3}"/>
    <cellStyle name="Comma 6" xfId="135" xr:uid="{6FD145B2-694B-45D9-B5AB-A5FC01A64637}"/>
    <cellStyle name="Comma 6 2" xfId="274" xr:uid="{27536652-EA4F-4459-A21B-821EC5FC62F9}"/>
    <cellStyle name="Comma 6 2 2" xfId="390" xr:uid="{EDA4AC12-0D3B-4202-BBF9-E0E99CD1DCF7}"/>
    <cellStyle name="Comma 6 2 2 2" xfId="609" xr:uid="{251E2EB9-3D6D-4506-AC84-02DC26AB9548}"/>
    <cellStyle name="Comma 6 2 3" xfId="499" xr:uid="{ABA9AD92-93C9-4972-BE62-768CE55C46A2}"/>
    <cellStyle name="Comma 6 3" xfId="306" xr:uid="{E4009DEE-17ED-4C4B-98BE-EC305369B691}"/>
    <cellStyle name="Comma 6 3 2" xfId="525" xr:uid="{077F7872-9B91-48C4-AD4C-8B3BF0631271}"/>
    <cellStyle name="Comma 6 4" xfId="415" xr:uid="{C342E3DE-220D-4393-8650-CA77BEDEBCC0}"/>
    <cellStyle name="Comma 6 5" xfId="183" xr:uid="{F001CD92-0B3C-42B1-9E45-A17A5198047C}"/>
    <cellStyle name="Comma 7" xfId="174" xr:uid="{D833A905-3436-45C1-BD4B-648DC1DBD623}"/>
    <cellStyle name="Comma 8" xfId="296" xr:uid="{54334F6F-1DE0-44E5-A3D7-A13B8562E85E}"/>
    <cellStyle name="Comma 9" xfId="38" xr:uid="{262DB086-5687-4A60-AAD2-31C377FBF6C4}"/>
    <cellStyle name="Comma0" xfId="87" xr:uid="{A7309FFC-9A53-4FC0-90D5-035791EEA625}"/>
    <cellStyle name="Comma0 2" xfId="88" xr:uid="{0A5C0C31-2DD4-4E79-8999-174933E32635}"/>
    <cellStyle name="Comma0 2 2" xfId="89" xr:uid="{6B7C694C-3F98-4FDF-80F6-89A51A188AA7}"/>
    <cellStyle name="Currency [0] 2" xfId="620" xr:uid="{1EC5F182-2D99-43E3-92DD-2E88D350BA4C}"/>
    <cellStyle name="Currency [0] 3" xfId="616" xr:uid="{297DB354-363E-4E08-A064-70D3FDB3C898}"/>
    <cellStyle name="Currency 2" xfId="131" xr:uid="{026470CE-D19E-469F-8238-4D640A1A43DF}"/>
    <cellStyle name="Currency 2 2" xfId="619" xr:uid="{37FA4812-F331-4CB9-8F3F-7BCE5CE9D801}"/>
    <cellStyle name="Currency 3" xfId="615" xr:uid="{D8F8B5C7-8AF8-467C-855D-F982CB1B9B56}"/>
    <cellStyle name="Currency 4" xfId="624" xr:uid="{A60D2C6D-4554-4120-9B10-35F3DE3FE9B7}"/>
    <cellStyle name="Currency0" xfId="90" xr:uid="{874333A2-4BAF-46E5-8FDC-E4B12F36D20F}"/>
    <cellStyle name="Currency0 2" xfId="91" xr:uid="{66A3DFEB-BBB3-4FAE-A0E3-7BB5D29B7E6D}"/>
    <cellStyle name="Currency0 2 2" xfId="92" xr:uid="{CE7C0801-F267-4D1E-9A82-6B5A95F5FE48}"/>
    <cellStyle name="Date" xfId="93" xr:uid="{BF4AAE49-6C8A-4303-B7F1-C50E6F79E74B}"/>
    <cellStyle name="Date 2" xfId="94" xr:uid="{BF6133B6-427E-43E7-B5D2-73CDD97E8AC1}"/>
    <cellStyle name="Date 2 2" xfId="95" xr:uid="{7CD6261E-2F14-4583-AED4-7B23A45ACCBC}"/>
    <cellStyle name="Explanatory Text" xfId="17" builtinId="53" customBuiltin="1"/>
    <cellStyle name="Explanatory Text 2" xfId="96" xr:uid="{1FFEB01C-3595-477E-9311-82CD1E39FA6A}"/>
    <cellStyle name="Fixed" xfId="97" xr:uid="{F5820351-AF67-426B-9243-BC270CB12F06}"/>
    <cellStyle name="Fixed 2" xfId="98" xr:uid="{91238606-7B3A-4BC8-9F92-DC4C42A73155}"/>
    <cellStyle name="Fixed 2 2" xfId="99" xr:uid="{380E46DC-CFB8-4045-B069-FFC170D091CE}"/>
    <cellStyle name="Good" xfId="9" builtinId="26" customBuiltin="1"/>
    <cellStyle name="Good 2" xfId="100" xr:uid="{0DB7A64D-C814-45CF-9A85-C4A1DBCBB541}"/>
    <cellStyle name="Heading 1" xfId="5" builtinId="16" customBuiltin="1"/>
    <cellStyle name="Heading 1 2" xfId="101" xr:uid="{80C441E5-0CAB-418F-B470-597EB5BA4724}"/>
    <cellStyle name="Heading 1 2 2" xfId="102" xr:uid="{97B029C6-EB99-4116-B2A4-09D859E88589}"/>
    <cellStyle name="Heading 1 2 3" xfId="156" xr:uid="{1C0B3B46-FF3C-4520-9BDA-EC46342941A9}"/>
    <cellStyle name="Heading 1 3" xfId="103" xr:uid="{4ABAF35D-82EE-492F-842E-5BB57048D354}"/>
    <cellStyle name="Heading 1 3 2" xfId="104" xr:uid="{18D55348-BFB2-4B08-8303-F0A86C081AAD}"/>
    <cellStyle name="Heading 2" xfId="6" builtinId="17" customBuiltin="1"/>
    <cellStyle name="Heading 2 2" xfId="105" xr:uid="{20121CA8-8D8C-479C-B063-9E789E861895}"/>
    <cellStyle name="Heading 2 2 2" xfId="106" xr:uid="{494BA8F0-7E1E-497C-BEBD-A217E15A12E9}"/>
    <cellStyle name="Heading 2 2 3" xfId="157" xr:uid="{C21014F8-42FA-45CF-AF5D-AE8FE196479D}"/>
    <cellStyle name="Heading 2 3" xfId="107" xr:uid="{D0938D2B-0B62-440A-941D-90736666961E}"/>
    <cellStyle name="Heading 2 3 2" xfId="108" xr:uid="{5245EDB8-944A-4EDF-814C-757272CF6BB5}"/>
    <cellStyle name="Heading 3" xfId="7" builtinId="18" customBuiltin="1"/>
    <cellStyle name="Heading 3 2" xfId="109" xr:uid="{41FB2C14-5797-4D14-930D-96DFD8E4155E}"/>
    <cellStyle name="Heading 4" xfId="8" builtinId="19" customBuiltin="1"/>
    <cellStyle name="Heading 4 2" xfId="110" xr:uid="{14791C06-CB51-4AE6-AD32-36D5BBF98E26}"/>
    <cellStyle name="Hyperlink" xfId="2" builtinId="8"/>
    <cellStyle name="Hyperlink 2" xfId="622" xr:uid="{B067673F-70D8-4990-8D08-9EDE5B59529A}"/>
    <cellStyle name="Hyperlink 3" xfId="618" xr:uid="{3765A111-E76D-4631-8AD8-96B54093AE50}"/>
    <cellStyle name="Input" xfId="11" builtinId="20" customBuiltin="1"/>
    <cellStyle name="Input 2" xfId="111" xr:uid="{4ED9D43A-21DE-4E17-B611-40E41011FDC6}"/>
    <cellStyle name="Linked Cell" xfId="14" builtinId="24" customBuiltin="1"/>
    <cellStyle name="Linked Cell 2" xfId="112" xr:uid="{82AA9F8F-DBB5-4587-BF6B-5C28B2231826}"/>
    <cellStyle name="Neutral 2" xfId="113" xr:uid="{CB3D1120-93FE-4248-91F2-A7528EC4D9BF}"/>
    <cellStyle name="Neutral 3" xfId="42" xr:uid="{438E021E-DD41-4EC7-8253-324E3796A3B4}"/>
    <cellStyle name="Normal" xfId="0" builtinId="0"/>
    <cellStyle name="Normal 10" xfId="614" xr:uid="{4532F571-D834-4445-AB08-327114C61564}"/>
    <cellStyle name="Normal 11" xfId="37" xr:uid="{F898E645-0F61-43D2-BDF3-10DB5B4F91D7}"/>
    <cellStyle name="Normal 2" xfId="3" xr:uid="{B190D761-ADDB-4CFB-8149-54EEFCE0B1C0}"/>
    <cellStyle name="Normal 2 2" xfId="54" xr:uid="{DA0D52CA-B601-4C13-B421-666E9B9E6E52}"/>
    <cellStyle name="Normal 2 3" xfId="266" xr:uid="{BD5D3F7C-6E52-4025-8E27-0841FB31041B}"/>
    <cellStyle name="Normal 2 4" xfId="221" xr:uid="{21BEBBC5-68F3-48D2-8E0B-6137113FA12A}"/>
    <cellStyle name="Normal 2 5" xfId="280" xr:uid="{EA3512DE-FAD8-4301-86EC-56E3692920DB}"/>
    <cellStyle name="Normal 2 6" xfId="51" xr:uid="{36EDFE23-F216-4CB5-9451-F9FA4E9B07A5}"/>
    <cellStyle name="Normal 3" xfId="55" xr:uid="{64718A47-E6B5-4CE5-8E10-667E17F05F47}"/>
    <cellStyle name="Normal 3 10" xfId="175" xr:uid="{96BC7ECD-C6ED-4CBD-8C3C-E692BCD3E956}"/>
    <cellStyle name="Normal 3 2" xfId="56" xr:uid="{447A844D-AE3C-43B9-9E06-FD1747B99DCD}"/>
    <cellStyle name="Normal 3 3" xfId="129" xr:uid="{B37B4EB6-5989-4F81-B3E2-EBBDFA860740}"/>
    <cellStyle name="Normal 3 3 2" xfId="155" xr:uid="{743129F0-5E5B-44CA-8F0A-6E24202D1AE6}"/>
    <cellStyle name="Normal 3 3 2 2" xfId="230" xr:uid="{00F377F0-C2C3-4284-8309-172C631A9DD0}"/>
    <cellStyle name="Normal 3 3 2 2 2" xfId="278" xr:uid="{BBD1CEF1-7887-4591-8A79-FA9C2852C8CC}"/>
    <cellStyle name="Normal 3 3 2 2 2 2" xfId="394" xr:uid="{55369C16-43F7-4557-9179-C1ED2E8487FF}"/>
    <cellStyle name="Normal 3 3 2 2 2 2 2" xfId="613" xr:uid="{3DDD3161-E444-46CC-89ED-A25C71E8B8BE}"/>
    <cellStyle name="Normal 3 3 2 2 2 3" xfId="503" xr:uid="{3FB990A1-8357-4037-9B69-0D117712BE08}"/>
    <cellStyle name="Normal 3 3 2 3" xfId="326" xr:uid="{092E5992-7C9E-49DE-9543-15012595BE81}"/>
    <cellStyle name="Normal 3 3 2 3 2" xfId="545" xr:uid="{86010466-D665-4FC7-B76A-0C9B70CC5B03}"/>
    <cellStyle name="Normal 3 3 2 4" xfId="435" xr:uid="{97A1FED5-C1AE-4718-9B43-72827BD57644}"/>
    <cellStyle name="Normal 3 3 2 5" xfId="203" xr:uid="{511D6FEB-1BF8-4F5F-8F05-1B076EA13BE3}"/>
    <cellStyle name="Normal 3 3 3" xfId="223" xr:uid="{68471D4F-FB75-4C52-B55B-6A2D6248A087}"/>
    <cellStyle name="Normal 3 3 3 2" xfId="344" xr:uid="{25F710E7-B46F-4157-9AE2-9D211FD487E0}"/>
    <cellStyle name="Normal 3 3 3 2 2" xfId="563" xr:uid="{725B88E2-0B86-4A2B-92A1-30A21BCD0899}"/>
    <cellStyle name="Normal 3 3 3 3" xfId="453" xr:uid="{56BAC451-5291-40CC-BF7D-827472B1B51E}"/>
    <cellStyle name="Normal 3 4" xfId="245" xr:uid="{C4F1552B-01A4-467A-8D4F-657FE02E9398}"/>
    <cellStyle name="Normal 3 4 2" xfId="363" xr:uid="{19879AE2-0C28-4193-ABFF-352EDB2548C1}"/>
    <cellStyle name="Normal 3 4 2 2" xfId="582" xr:uid="{83D76B91-D827-4D4B-9611-4C77C612DAA5}"/>
    <cellStyle name="Normal 3 4 3" xfId="472" xr:uid="{7D86A32B-A267-4884-8599-EC0628766E7A}"/>
    <cellStyle name="Normal 3 5" xfId="265" xr:uid="{47301CA9-475B-41D4-A6D5-1CD3F13BBDC7}"/>
    <cellStyle name="Normal 3 5 2" xfId="382" xr:uid="{817D90BD-A670-4E26-8AE0-E0F49DE2D43A}"/>
    <cellStyle name="Normal 3 5 2 2" xfId="601" xr:uid="{D58542A1-6E8F-4F6D-9D27-DA617CCE02C8}"/>
    <cellStyle name="Normal 3 5 3" xfId="491" xr:uid="{4DD50FC8-367E-4910-AA05-3A739E10F1B1}"/>
    <cellStyle name="Normal 3 6" xfId="258" xr:uid="{8D2F1DD1-79EC-4C33-83AF-B53B78F54FBE}"/>
    <cellStyle name="Normal 3 7" xfId="204" xr:uid="{7DB9845B-D176-4E41-ADFE-C9B28E3F5F3A}"/>
    <cellStyle name="Normal 3 7 2" xfId="327" xr:uid="{DAA9A6CB-419F-417C-8202-C87687925600}"/>
    <cellStyle name="Normal 3 7 2 2" xfId="546" xr:uid="{13DDCDF5-6979-4408-BCC6-7C77B3B5EA76}"/>
    <cellStyle name="Normal 3 7 3" xfId="436" xr:uid="{A675A0D6-BF60-48BB-9876-973BBB490EB9}"/>
    <cellStyle name="Normal 3 8" xfId="298" xr:uid="{283831E1-3F3B-4A73-BEF6-F3C6FEFD82F9}"/>
    <cellStyle name="Normal 3 8 2" xfId="517" xr:uid="{E1BE22DD-5FA1-4816-B15D-08E225EAD3C4}"/>
    <cellStyle name="Normal 3 9" xfId="407" xr:uid="{B30017A1-FF26-4E4F-940A-D6CB440C4F3F}"/>
    <cellStyle name="Normal 4" xfId="114" xr:uid="{3FA9ADB4-C4E6-4FD8-AC3E-C95FBC7FEF90}"/>
    <cellStyle name="Normal 4 2" xfId="150" xr:uid="{F57C02CA-396A-4DC3-A051-B04B04F94812}"/>
    <cellStyle name="Normal 4 2 2" xfId="247" xr:uid="{FF959063-6323-49BF-B46D-36006060E4AC}"/>
    <cellStyle name="Normal 4 2 2 2" xfId="365" xr:uid="{FC5A990C-2D22-41B1-A93E-BA9072E7056B}"/>
    <cellStyle name="Normal 4 2 2 2 2" xfId="584" xr:uid="{6F1C006F-C67D-4A71-94BB-FCC86B270115}"/>
    <cellStyle name="Normal 4 2 2 3" xfId="474" xr:uid="{AB6D4062-58A6-401F-8BB2-17AD6E66AD2D}"/>
    <cellStyle name="Normal 4 2 3" xfId="321" xr:uid="{3DD4B370-42DF-43DB-B452-5A1E39B26D2D}"/>
    <cellStyle name="Normal 4 2 3 2" xfId="540" xr:uid="{A5F3BAD3-49A2-4063-B351-5271957CF4C8}"/>
    <cellStyle name="Normal 4 2 4" xfId="430" xr:uid="{49BD931D-A6E5-4DDB-8E8E-9B3D19987E3B}"/>
    <cellStyle name="Normal 4 2 5" xfId="198" xr:uid="{583FD0B9-EDDA-4B0E-8579-7B02DF5D0F1F}"/>
    <cellStyle name="Normal 4 3" xfId="268" xr:uid="{260D6FA1-B656-4271-BF8D-7B97460514B0}"/>
    <cellStyle name="Normal 4 3 2" xfId="384" xr:uid="{E625B7E9-B10A-4685-B229-28FC596E8F82}"/>
    <cellStyle name="Normal 4 3 2 2" xfId="603" xr:uid="{DD0C706E-D310-4B65-9688-A76DCA6702AC}"/>
    <cellStyle name="Normal 4 3 3" xfId="493" xr:uid="{33A74A97-EA20-4412-99ED-A9344F2A2B4F}"/>
    <cellStyle name="Normal 4 4" xfId="225" xr:uid="{568C9B92-0410-4B17-AFC1-A54DD54C0C20}"/>
    <cellStyle name="Normal 4 4 2" xfId="346" xr:uid="{81A42745-3619-4AFA-9316-BB235544A1D1}"/>
    <cellStyle name="Normal 4 4 2 2" xfId="565" xr:uid="{A058F84E-314D-4F11-88E9-7289136B9C71}"/>
    <cellStyle name="Normal 4 4 3" xfId="455" xr:uid="{7986F02E-ACA2-4EFC-B41E-B862C3D5A5F8}"/>
    <cellStyle name="Normal 4 5" xfId="206" xr:uid="{1C1066DE-B156-4389-9274-B3CE6EC05F2D}"/>
    <cellStyle name="Normal 4 5 2" xfId="329" xr:uid="{48DB2334-7D16-40BE-ACE3-C1992BDC7A9B}"/>
    <cellStyle name="Normal 4 5 2 2" xfId="548" xr:uid="{FEA70D87-E673-4801-AC87-EC253CE71C22}"/>
    <cellStyle name="Normal 4 5 3" xfId="438" xr:uid="{A888368D-450E-4EA8-B2C1-C3709519B34D}"/>
    <cellStyle name="Normal 4 6" xfId="300" xr:uid="{68E92EB1-4099-4120-8B92-716B7259532B}"/>
    <cellStyle name="Normal 4 6 2" xfId="519" xr:uid="{4705D4D7-FEF1-4636-8D90-890FAFC944AE}"/>
    <cellStyle name="Normal 4 7" xfId="409" xr:uid="{B77DBB98-E3F2-47FC-9CBC-3BB1BD53FAE1}"/>
    <cellStyle name="Normal 4 8" xfId="177" xr:uid="{64A639FE-B251-442B-B91F-AC36621DD00F}"/>
    <cellStyle name="Normal 5" xfId="115" xr:uid="{75F079A1-2773-452B-8CD6-80B54940F494}"/>
    <cellStyle name="Normal 5 2" xfId="132" xr:uid="{8812F0FD-13C9-4555-A0FD-D7A51EAA20D0}"/>
    <cellStyle name="Normal 5 2 2" xfId="158" xr:uid="{5CB60B24-A6E0-4C5F-B3FF-0B7FF3795FFB}"/>
    <cellStyle name="Normal 5 2 2 2" xfId="250" xr:uid="{ADD3DAB0-58D9-4C65-8100-C2A661C3D26E}"/>
    <cellStyle name="Normal 5 2 2 2 2" xfId="279" xr:uid="{179DE903-DB2A-48CE-A83F-3A880CAD7C18}"/>
    <cellStyle name="Normal 5 2 2 2 3" xfId="368" xr:uid="{A631FA8A-96B8-45FD-B1A8-352C9D604EE5}"/>
    <cellStyle name="Normal 5 2 2 2 3 2" xfId="587" xr:uid="{64B67C20-E8C0-4993-BA44-AE2E0A7BF03F}"/>
    <cellStyle name="Normal 5 2 2 2 4" xfId="477" xr:uid="{37CB0449-7A9C-44DA-A863-18EE364C972A}"/>
    <cellStyle name="Normal 5 2 3" xfId="271" xr:uid="{3CBC18D1-6D47-461E-950D-EC4D4554B418}"/>
    <cellStyle name="Normal 5 2 3 2" xfId="387" xr:uid="{CBF177BC-86A0-4CC6-8690-A60D85322C15}"/>
    <cellStyle name="Normal 5 2 3 2 2" xfId="606" xr:uid="{92D5461D-68CC-4408-9BAC-7FBBDDA78EA4}"/>
    <cellStyle name="Normal 5 2 3 3" xfId="496" xr:uid="{5884E981-5F99-4CA2-9EBD-036093FF6CD7}"/>
    <cellStyle name="Normal 5 2 4" xfId="231" xr:uid="{860FCBD0-0964-40B8-B1A6-4FD34519372C}"/>
    <cellStyle name="Normal 5 2 4 2" xfId="349" xr:uid="{21E0AB32-5E8E-4DD6-A49C-41E48B2D8187}"/>
    <cellStyle name="Normal 5 2 4 2 2" xfId="568" xr:uid="{D3C9CA72-1BF4-4829-945E-1D41DEEDB583}"/>
    <cellStyle name="Normal 5 2 4 3" xfId="458" xr:uid="{533A6377-C2D1-474F-B448-61AA95636A4A}"/>
    <cellStyle name="Normal 5 2 5" xfId="303" xr:uid="{E1D564CF-3B71-495F-88DB-F8ACDA3E6F09}"/>
    <cellStyle name="Normal 5 2 5 2" xfId="522" xr:uid="{DCB14142-C092-4CE5-8D67-54C145BE6B17}"/>
    <cellStyle name="Normal 5 2 6" xfId="412" xr:uid="{B1E393CF-CA3F-4C0B-9336-E7F72BC4EF18}"/>
    <cellStyle name="Normal 5 2 7" xfId="180" xr:uid="{29FA91FF-8E3A-497F-8702-1C47CDFAD5DB}"/>
    <cellStyle name="Normal 5 3" xfId="153" xr:uid="{29806838-EF6C-4CB0-9E9B-7C79CB026599}"/>
    <cellStyle name="Normal 5 3 2" xfId="277" xr:uid="{E3BE81C1-FDDA-499A-A826-23B6A255E0FD}"/>
    <cellStyle name="Normal 5 3 2 2" xfId="393" xr:uid="{93DCBF19-96F1-4E75-868A-9A7BADFBF9E0}"/>
    <cellStyle name="Normal 5 3 2 2 2" xfId="612" xr:uid="{64E2FDCA-E761-41E4-B660-E3E0BDF03101}"/>
    <cellStyle name="Normal 5 3 2 3" xfId="502" xr:uid="{5A868EE0-A3D5-4CA7-BA04-AE196BB2F8AD}"/>
    <cellStyle name="Normal 5 3 3" xfId="324" xr:uid="{FED3A594-C737-46CB-9594-F7437CEF7E72}"/>
    <cellStyle name="Normal 5 3 3 2" xfId="543" xr:uid="{EADCABBB-722A-456A-98B2-C41D63363F1C}"/>
    <cellStyle name="Normal 5 3 4" xfId="433" xr:uid="{3B3A13BC-7710-443D-9941-6CB6A01D3577}"/>
    <cellStyle name="Normal 5 3 5" xfId="201" xr:uid="{48E15D45-568A-4ED7-8A8A-B8E49321765A}"/>
    <cellStyle name="Normal 6" xfId="134" xr:uid="{9651DCDE-B19D-4C2B-A6A1-2973C4EA397A}"/>
    <cellStyle name="Normal 6 2" xfId="273" xr:uid="{1E1C97E6-1FFD-41AE-BC46-FF8ED61A0517}"/>
    <cellStyle name="Normal 6 2 2" xfId="389" xr:uid="{91C0F9E3-283C-4984-9EA7-66A9313A3A37}"/>
    <cellStyle name="Normal 6 2 2 2" xfId="608" xr:uid="{C784405C-2C23-4A22-B20A-5C768C0315B8}"/>
    <cellStyle name="Normal 6 2 3" xfId="498" xr:uid="{CC1BD8FF-3AC4-414E-8D93-D04EEED45AA8}"/>
    <cellStyle name="Normal 6 3" xfId="305" xr:uid="{6D730C30-BB03-43EA-BEEC-4C571E95E854}"/>
    <cellStyle name="Normal 6 3 2" xfId="524" xr:uid="{81BAE49D-79D6-4B5A-818E-5CF448917735}"/>
    <cellStyle name="Normal 6 4" xfId="414" xr:uid="{75C24ADB-BE96-414A-8801-7ED764152643}"/>
    <cellStyle name="Normal 6 5" xfId="182" xr:uid="{E135DF2A-258A-44F0-8D03-3D4F75A19E9A}"/>
    <cellStyle name="Normal 7" xfId="173" xr:uid="{9536D0EF-6C48-4581-B806-1022F72AA66E}"/>
    <cellStyle name="Normal 8" xfId="295" xr:uid="{22BABD1A-1E55-45EB-9761-26E862181124}"/>
    <cellStyle name="Normal 9" xfId="282" xr:uid="{76096A04-E958-4119-8BD7-77F3BB601A4A}"/>
    <cellStyle name="Normal 9 2" xfId="504" xr:uid="{56B7FEF8-49FE-4AC7-A222-97B782C9332C}"/>
    <cellStyle name="Note 2" xfId="116" xr:uid="{0E94D4A4-9E93-478C-B9FA-0B185F8D1C4E}"/>
    <cellStyle name="Note 2 2" xfId="117" xr:uid="{78A82F30-38A5-41F1-BD40-88D170D6772D}"/>
    <cellStyle name="Note 2 3" xfId="118" xr:uid="{BF4C19AB-3014-4ACE-A20A-DE098C8E494E}"/>
    <cellStyle name="Note 2 3 2" xfId="130" xr:uid="{64F65F39-3324-4FF5-8A4C-1D10E9391167}"/>
    <cellStyle name="Note 2 3 3" xfId="226" xr:uid="{8605E2E7-8EC4-4911-BD4D-DBE1E7EE1F9C}"/>
    <cellStyle name="Note 2 4" xfId="159" xr:uid="{D46CF323-DA66-4392-8C0C-2DC464DE4988}"/>
    <cellStyle name="Note 3" xfId="119" xr:uid="{5246A30B-996D-4350-8886-FB3452273C77}"/>
    <cellStyle name="Note 3 2" xfId="151" xr:uid="{D6582AC7-EB4B-48CF-A83B-BE0E0AD01CC9}"/>
    <cellStyle name="Note 3 2 2" xfId="248" xr:uid="{5DEE9C3A-672F-4B31-BA26-DE18E77FF9CA}"/>
    <cellStyle name="Note 3 2 2 2" xfId="366" xr:uid="{9E5AC747-2B5A-44B1-9151-40DD8074343C}"/>
    <cellStyle name="Note 3 2 2 2 2" xfId="585" xr:uid="{28023F4C-1A00-4A91-BA5C-85D67121A6AD}"/>
    <cellStyle name="Note 3 2 2 3" xfId="475" xr:uid="{395C7F7D-2DA3-46D3-B0F7-67A97D15305F}"/>
    <cellStyle name="Note 3 2 3" xfId="322" xr:uid="{95CF79EA-4F43-498A-B619-F5F98A5E4290}"/>
    <cellStyle name="Note 3 2 3 2" xfId="541" xr:uid="{22DD4640-9CF8-41CC-B078-37212D1F0EEA}"/>
    <cellStyle name="Note 3 2 4" xfId="431" xr:uid="{AC7137EF-E371-49CA-81EE-AFA2664D2798}"/>
    <cellStyle name="Note 3 2 5" xfId="199" xr:uid="{E994ECC5-C0BC-4810-B80A-3C07458D0B98}"/>
    <cellStyle name="Note 3 3" xfId="269" xr:uid="{B40C150E-6B3D-4AD2-B395-0B76162B01AC}"/>
    <cellStyle name="Note 3 3 2" xfId="385" xr:uid="{18EF2683-F7D0-46FC-A160-7925C67512C4}"/>
    <cellStyle name="Note 3 3 2 2" xfId="604" xr:uid="{F8414EBD-C77D-430F-BEF5-1794B952B9C4}"/>
    <cellStyle name="Note 3 3 3" xfId="494" xr:uid="{CB83808A-583B-4FD1-9433-7F057208573B}"/>
    <cellStyle name="Note 3 4" xfId="227" xr:uid="{87DC9C9C-6BBF-4454-A264-131AFC330A26}"/>
    <cellStyle name="Note 3 4 2" xfId="347" xr:uid="{1AFCED32-FE6F-4AB1-A51C-40F970B220C6}"/>
    <cellStyle name="Note 3 4 2 2" xfId="566" xr:uid="{FCF919E8-2A9F-4122-BB06-C33C88BB196C}"/>
    <cellStyle name="Note 3 4 3" xfId="456" xr:uid="{C7BC3FC0-59B4-4CDC-BF38-90F7753BDA8A}"/>
    <cellStyle name="Note 3 5" xfId="207" xr:uid="{23FC35D1-40DA-4104-A85A-97A6FCF6F040}"/>
    <cellStyle name="Note 3 5 2" xfId="330" xr:uid="{B3F7D071-F585-4001-BA9E-CF50680DCBD4}"/>
    <cellStyle name="Note 3 5 2 2" xfId="549" xr:uid="{1305BC66-2F0A-40E3-94FB-FC8B81608BD0}"/>
    <cellStyle name="Note 3 5 3" xfId="439" xr:uid="{B4B857F4-6E4B-49B3-9215-8C045CAC5312}"/>
    <cellStyle name="Note 3 6" xfId="301" xr:uid="{D361D8D9-4DDE-49BD-B1F4-07CBE41FAD95}"/>
    <cellStyle name="Note 3 6 2" xfId="520" xr:uid="{C3B8B3B4-F032-464D-9329-28C8781EC3EB}"/>
    <cellStyle name="Note 3 7" xfId="410" xr:uid="{85AA108E-ED5A-4E1C-BA4A-A1C1100456B1}"/>
    <cellStyle name="Note 3 8" xfId="178" xr:uid="{443935CC-C020-4520-87F7-7FECFE50970E}"/>
    <cellStyle name="Note 4" xfId="136" xr:uid="{0DFC6275-7744-4967-BFAA-7BB470A0A540}"/>
    <cellStyle name="Note 4 2" xfId="275" xr:uid="{3895C660-E981-4AE2-93D3-8E15321F0144}"/>
    <cellStyle name="Note 4 2 2" xfId="391" xr:uid="{DCBB78B1-56A2-44CE-9104-6FB8B311BAB0}"/>
    <cellStyle name="Note 4 2 2 2" xfId="610" xr:uid="{C446E15E-ECA2-41C3-BAF5-01511F65ABA4}"/>
    <cellStyle name="Note 4 2 3" xfId="500" xr:uid="{D00C1BCE-6DA3-4347-A93A-66AB757BCE8C}"/>
    <cellStyle name="Note 4 3" xfId="307" xr:uid="{449F228C-0BA9-4629-8451-8E113D95DFC7}"/>
    <cellStyle name="Note 4 3 2" xfId="526" xr:uid="{8B34FF20-5FF7-409B-AFEC-A81FFA85FA75}"/>
    <cellStyle name="Note 4 4" xfId="416" xr:uid="{3790D22B-E044-40E9-8935-E83DBDBA594A}"/>
    <cellStyle name="Note 4 5" xfId="184" xr:uid="{25F5F426-54D1-459F-9627-28453C4DAC8D}"/>
    <cellStyle name="Output" xfId="12" builtinId="21" customBuiltin="1"/>
    <cellStyle name="Output 2" xfId="120" xr:uid="{48F5F9E6-CA10-4FAC-8098-C1CFA80BB24B}"/>
    <cellStyle name="Percent" xfId="4" builtinId="5"/>
    <cellStyle name="Percent 2" xfId="53" xr:uid="{6B4BE8FF-F3BB-4D31-BA30-318C0D450E90}"/>
    <cellStyle name="Percent 2 2" xfId="121" xr:uid="{B6967DA8-678E-47B9-A863-4C48CAC700FF}"/>
    <cellStyle name="Percent 2 2 2" xfId="249" xr:uid="{334C9860-C67B-475A-8768-B7EB9C0D0B36}"/>
    <cellStyle name="Percent 2 2 2 2" xfId="367" xr:uid="{ED5F1D05-A330-424F-A350-4BECAFBEC17B}"/>
    <cellStyle name="Percent 2 2 2 2 2" xfId="586" xr:uid="{50B819B7-D329-4195-88A6-EE167E854142}"/>
    <cellStyle name="Percent 2 2 2 3" xfId="476" xr:uid="{E4C2468E-95E1-4C62-ADB1-B499E536E063}"/>
    <cellStyle name="Percent 2 2 3" xfId="270" xr:uid="{CD9EBE2D-5B40-4047-8201-9693E763E5CB}"/>
    <cellStyle name="Percent 2 2 3 2" xfId="386" xr:uid="{6F881859-2FF9-47C7-86E8-2255455A04B4}"/>
    <cellStyle name="Percent 2 2 3 2 2" xfId="605" xr:uid="{F46F1A34-205C-4B98-A2DE-CFC19EC9540B}"/>
    <cellStyle name="Percent 2 2 3 3" xfId="495" xr:uid="{37F7C8E4-9546-4A13-861D-CDB9705B450F}"/>
    <cellStyle name="Percent 2 2 4" xfId="228" xr:uid="{5AFFCA0E-D3E1-4452-9B22-B39672723BA0}"/>
    <cellStyle name="Percent 2 2 4 2" xfId="348" xr:uid="{FA5DDBE9-6553-48E7-AE0E-68501C285528}"/>
    <cellStyle name="Percent 2 2 4 2 2" xfId="567" xr:uid="{891B861A-7580-4B4E-A221-3E5EA06FFEA6}"/>
    <cellStyle name="Percent 2 2 4 3" xfId="457" xr:uid="{C62A9F36-3535-41C5-8880-A52F9276089F}"/>
    <cellStyle name="Percent 2 2 5" xfId="302" xr:uid="{654EE34A-0971-41E2-899C-B9A4EFBC896B}"/>
    <cellStyle name="Percent 2 2 5 2" xfId="521" xr:uid="{8C8D1381-66CA-4629-87A6-1FCDAC5F0CCC}"/>
    <cellStyle name="Percent 2 2 6" xfId="411" xr:uid="{4269F060-2609-4B08-AB68-E962674C74D0}"/>
    <cellStyle name="Percent 2 2 7" xfId="179" xr:uid="{6E5166D5-2734-40C4-845E-99FD7F49A61E}"/>
    <cellStyle name="Percent 2 3" xfId="152" xr:uid="{F5878B10-70D4-429A-ACD4-66BE05C22078}"/>
    <cellStyle name="Percent 2 3 2" xfId="222" xr:uid="{DB75D603-0F8B-40C7-B520-F673B82DDBBA}"/>
    <cellStyle name="Percent 2 3 3" xfId="276" xr:uid="{8E105464-5A52-4940-A01D-F903D7D0DF91}"/>
    <cellStyle name="Percent 2 3 3 2" xfId="392" xr:uid="{4CDD456B-4465-4A70-84AC-D9BD059C234F}"/>
    <cellStyle name="Percent 2 3 3 2 2" xfId="611" xr:uid="{D0F15901-AB25-4E95-B0DE-00A5E337DE69}"/>
    <cellStyle name="Percent 2 3 3 3" xfId="501" xr:uid="{2078C7FC-3629-4826-90DF-7CF128C81262}"/>
    <cellStyle name="Percent 2 3 4" xfId="323" xr:uid="{7500F8C6-E5CE-4E11-9154-C17F2C712C9A}"/>
    <cellStyle name="Percent 2 3 4 2" xfId="542" xr:uid="{710C1910-98E5-44ED-BB28-F44FD8612AE8}"/>
    <cellStyle name="Percent 2 3 5" xfId="432" xr:uid="{989D7BF8-2332-47BE-962E-A98D8737FD30}"/>
    <cellStyle name="Percent 2 3 6" xfId="200" xr:uid="{5AEFAE1D-D7B3-4118-A0E4-7E5B107F25B3}"/>
    <cellStyle name="Percent 2 4" xfId="208" xr:uid="{A62C713B-E0F5-4157-8D14-CF25AE6D79C4}"/>
    <cellStyle name="Percent 2 4 2" xfId="331" xr:uid="{DCE98CB9-D09B-4A75-9AD2-27F88D6B5D49}"/>
    <cellStyle name="Percent 2 4 2 2" xfId="550" xr:uid="{ECFC7391-EDD7-4FB9-978C-9AFDEF461E57}"/>
    <cellStyle name="Percent 2 4 3" xfId="440" xr:uid="{DAF2FE52-E224-47C8-9A68-40362AAB91E5}"/>
    <cellStyle name="Percent 3" xfId="122" xr:uid="{3DD4B5A4-C7EA-4CD7-95A8-A979C29C1A38}"/>
    <cellStyle name="Percent 3 2" xfId="229" xr:uid="{25912C55-6D47-4597-B9E7-5E5A1E1B88F9}"/>
    <cellStyle name="Percent 4" xfId="297" xr:uid="{29192EAA-B246-445F-A39E-3809D0947975}"/>
    <cellStyle name="Percent 5" xfId="39" xr:uid="{C67AAB71-C864-462F-BA8F-CA668B06C53A}"/>
    <cellStyle name="Title 2" xfId="123" xr:uid="{9094034D-18E5-4045-9AEB-C259627E05DA}"/>
    <cellStyle name="Title 3" xfId="40" xr:uid="{30DEBB9B-502F-48A6-932E-F8FE0B918EB1}"/>
    <cellStyle name="Total" xfId="18" builtinId="25" customBuiltin="1"/>
    <cellStyle name="Total 2" xfId="124" xr:uid="{71416C97-1F21-4AF3-9005-1E429856F8CC}"/>
    <cellStyle name="Total 2 2" xfId="125" xr:uid="{8B6897E8-3062-4AD6-A596-E616EBCD1AC7}"/>
    <cellStyle name="Total 2 3" xfId="160" xr:uid="{AA33F4CC-B0FF-4AAA-8387-24E605ADCF9B}"/>
    <cellStyle name="Total 3" xfId="126" xr:uid="{675FD0C3-314A-44D2-AA80-B6970E398A30}"/>
    <cellStyle name="Total 3 2" xfId="127" xr:uid="{CA4B0494-57FC-4535-86BD-71FA656BE669}"/>
    <cellStyle name="Warning Text" xfId="16" builtinId="11" customBuiltin="1"/>
    <cellStyle name="Warning Text 2" xfId="128" xr:uid="{3C816402-69E5-441A-80F0-2D13DF9E35E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83" transitionEvaluation="1" transitionEntry="1" codeName="Sheet1">
    <tabColor rgb="FF92D050"/>
    <pageSetUpPr autoPageBreaks="0" fitToPage="1"/>
  </sheetPr>
  <dimension ref="A1:CF716"/>
  <sheetViews>
    <sheetView tabSelected="1" topLeftCell="A50" zoomScaleNormal="100" workbookViewId="0">
      <pane ySplit="9" topLeftCell="A83" activePane="bottomLeft" state="frozen"/>
      <selection activeCell="A50" sqref="A50"/>
      <selection pane="bottomLeft" activeCell="CD85" sqref="CD85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1350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1329</v>
      </c>
    </row>
    <row r="6" spans="1:3" x14ac:dyDescent="0.25">
      <c r="A6" s="12" t="s">
        <v>4</v>
      </c>
    </row>
    <row r="7" spans="1:3" x14ac:dyDescent="0.25">
      <c r="A7" s="12" t="s">
        <v>1351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1352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1353</v>
      </c>
    </row>
    <row r="18" spans="1:10" ht="14.45" customHeight="1" x14ac:dyDescent="0.25">
      <c r="A18" s="18" t="s">
        <v>1354</v>
      </c>
    </row>
    <row r="19" spans="1:10" ht="14.45" customHeight="1" x14ac:dyDescent="0.25">
      <c r="A19" s="18" t="s">
        <v>1355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1356</v>
      </c>
      <c r="E23" s="71"/>
      <c r="F23" s="71"/>
      <c r="G23" s="71"/>
      <c r="I23" s="71"/>
      <c r="J23" s="71"/>
    </row>
    <row r="24" spans="1:10" x14ac:dyDescent="0.25">
      <c r="A24" s="18" t="s">
        <v>1357</v>
      </c>
    </row>
    <row r="25" spans="1:10" x14ac:dyDescent="0.25">
      <c r="A25" s="18" t="s">
        <v>1358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1359</v>
      </c>
      <c r="C28" s="17"/>
    </row>
    <row r="29" spans="1:10" x14ac:dyDescent="0.25">
      <c r="C29" s="17"/>
    </row>
    <row r="30" spans="1:10" x14ac:dyDescent="0.25">
      <c r="A30" s="12" t="s">
        <v>1348</v>
      </c>
      <c r="C30" s="334" t="s">
        <v>1349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5" t="s">
        <v>18</v>
      </c>
      <c r="B36" s="336"/>
      <c r="C36" s="337"/>
      <c r="D36" s="336"/>
      <c r="E36" s="336"/>
      <c r="F36" s="336"/>
      <c r="G36" s="336"/>
    </row>
    <row r="37" spans="1:83" x14ac:dyDescent="0.25">
      <c r="A37" s="338" t="s">
        <v>1341</v>
      </c>
      <c r="B37" s="339"/>
      <c r="C37" s="337"/>
      <c r="D37" s="336"/>
      <c r="E37" s="336"/>
      <c r="F37" s="336"/>
      <c r="G37" s="336"/>
    </row>
    <row r="38" spans="1:83" x14ac:dyDescent="0.25">
      <c r="A38" s="342" t="s">
        <v>1360</v>
      </c>
      <c r="B38" s="339"/>
      <c r="C38" s="337"/>
      <c r="D38" s="336"/>
      <c r="E38" s="336"/>
      <c r="F38" s="336"/>
      <c r="G38" s="336"/>
    </row>
    <row r="39" spans="1:83" x14ac:dyDescent="0.25">
      <c r="A39" s="341" t="s">
        <v>1342</v>
      </c>
      <c r="B39" s="336"/>
      <c r="C39" s="337"/>
      <c r="D39" s="336"/>
      <c r="E39" s="336"/>
      <c r="F39" s="336"/>
      <c r="G39" s="336"/>
    </row>
    <row r="40" spans="1:83" x14ac:dyDescent="0.25">
      <c r="A40" s="342" t="s">
        <v>1361</v>
      </c>
      <c r="B40" s="336"/>
      <c r="C40" s="337"/>
      <c r="D40" s="336"/>
      <c r="E40" s="336"/>
      <c r="F40" s="336"/>
      <c r="G40" s="336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25">
      <c r="A48" s="32" t="s">
        <v>217</v>
      </c>
      <c r="B48" s="312">
        <v>8338244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213914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48125</v>
      </c>
      <c r="K48" s="32">
        <f t="shared" si="0"/>
        <v>0</v>
      </c>
      <c r="L48" s="32">
        <f t="shared" si="0"/>
        <v>75325</v>
      </c>
      <c r="M48" s="32">
        <f t="shared" si="0"/>
        <v>0</v>
      </c>
      <c r="N48" s="32">
        <f t="shared" si="0"/>
        <v>0</v>
      </c>
      <c r="O48" s="32">
        <f t="shared" si="0"/>
        <v>378004</v>
      </c>
      <c r="P48" s="32">
        <f t="shared" si="0"/>
        <v>553662</v>
      </c>
      <c r="Q48" s="32">
        <f t="shared" si="0"/>
        <v>0</v>
      </c>
      <c r="R48" s="32">
        <f t="shared" si="0"/>
        <v>0</v>
      </c>
      <c r="S48" s="32">
        <f t="shared" si="0"/>
        <v>59749</v>
      </c>
      <c r="T48" s="32">
        <f t="shared" si="0"/>
        <v>0</v>
      </c>
      <c r="U48" s="32">
        <f t="shared" si="0"/>
        <v>384250</v>
      </c>
      <c r="V48" s="32">
        <f t="shared" si="0"/>
        <v>0</v>
      </c>
      <c r="W48" s="32">
        <f t="shared" si="0"/>
        <v>25742</v>
      </c>
      <c r="X48" s="32">
        <f t="shared" si="0"/>
        <v>193610</v>
      </c>
      <c r="Y48" s="32">
        <f t="shared" si="0"/>
        <v>155089</v>
      </c>
      <c r="Z48" s="32">
        <f t="shared" si="0"/>
        <v>0</v>
      </c>
      <c r="AA48" s="32">
        <f t="shared" si="0"/>
        <v>0</v>
      </c>
      <c r="AB48" s="32">
        <f t="shared" si="0"/>
        <v>72279</v>
      </c>
      <c r="AC48" s="32">
        <f t="shared" si="0"/>
        <v>132608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843031</v>
      </c>
      <c r="AH48" s="32">
        <f t="shared" si="0"/>
        <v>192539</v>
      </c>
      <c r="AI48" s="32">
        <f t="shared" si="0"/>
        <v>62817</v>
      </c>
      <c r="AJ48" s="32">
        <f t="shared" si="0"/>
        <v>2729939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43755</v>
      </c>
      <c r="AP48" s="32">
        <f t="shared" si="0"/>
        <v>125986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100191</v>
      </c>
      <c r="AZ48" s="32">
        <f t="shared" si="0"/>
        <v>0</v>
      </c>
      <c r="BA48" s="32">
        <f t="shared" si="0"/>
        <v>16284</v>
      </c>
      <c r="BB48" s="32">
        <f t="shared" si="0"/>
        <v>82117</v>
      </c>
      <c r="BC48" s="32">
        <f t="shared" si="0"/>
        <v>0</v>
      </c>
      <c r="BD48" s="32">
        <f t="shared" si="0"/>
        <v>0</v>
      </c>
      <c r="BE48" s="32">
        <f t="shared" si="0"/>
        <v>85172</v>
      </c>
      <c r="BF48" s="32">
        <f t="shared" si="0"/>
        <v>94470</v>
      </c>
      <c r="BG48" s="32">
        <f t="shared" si="0"/>
        <v>0</v>
      </c>
      <c r="BH48" s="32">
        <f t="shared" si="0"/>
        <v>112996</v>
      </c>
      <c r="BI48" s="32">
        <f t="shared" si="0"/>
        <v>0</v>
      </c>
      <c r="BJ48" s="32">
        <f t="shared" si="0"/>
        <v>127737</v>
      </c>
      <c r="BK48" s="32">
        <f t="shared" si="0"/>
        <v>262487</v>
      </c>
      <c r="BL48" s="32">
        <f t="shared" si="0"/>
        <v>0</v>
      </c>
      <c r="BM48" s="32">
        <f t="shared" si="0"/>
        <v>0</v>
      </c>
      <c r="BN48" s="32">
        <f t="shared" si="0"/>
        <v>555338</v>
      </c>
      <c r="BO48" s="32">
        <f t="shared" si="0"/>
        <v>9397</v>
      </c>
      <c r="BP48" s="32">
        <f t="shared" ref="BP48:CD48" si="1">IF($B$48,(ROUND((($B$48/$CE$61)*BP61),0)))</f>
        <v>66177</v>
      </c>
      <c r="BQ48" s="32">
        <f t="shared" si="1"/>
        <v>0</v>
      </c>
      <c r="BR48" s="32">
        <f t="shared" si="1"/>
        <v>81627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103590</v>
      </c>
      <c r="BW48" s="32">
        <f t="shared" si="1"/>
        <v>60778</v>
      </c>
      <c r="BX48" s="32">
        <f t="shared" si="1"/>
        <v>0</v>
      </c>
      <c r="BY48" s="32">
        <f t="shared" si="1"/>
        <v>289462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8338247</v>
      </c>
    </row>
    <row r="49" spans="1:83" x14ac:dyDescent="0.25">
      <c r="A49" s="20" t="s">
        <v>218</v>
      </c>
      <c r="B49" s="32">
        <f>B47+B48</f>
        <v>8338244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25">
      <c r="A52" s="39" t="s">
        <v>220</v>
      </c>
      <c r="B52" s="313">
        <v>3813148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>IF($B$52,ROUND(($B$52/($CE$90+$CF$90)*E90),0))</f>
        <v>197790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44504</v>
      </c>
      <c r="K52" s="32">
        <f t="shared" si="2"/>
        <v>0</v>
      </c>
      <c r="L52" s="32">
        <f t="shared" si="2"/>
        <v>69635</v>
      </c>
      <c r="M52" s="32">
        <f t="shared" si="2"/>
        <v>0</v>
      </c>
      <c r="N52" s="32">
        <f t="shared" si="2"/>
        <v>0</v>
      </c>
      <c r="O52" s="32">
        <f t="shared" si="2"/>
        <v>99317</v>
      </c>
      <c r="P52" s="32">
        <f t="shared" si="2"/>
        <v>272965</v>
      </c>
      <c r="Q52" s="32">
        <f t="shared" si="2"/>
        <v>0</v>
      </c>
      <c r="R52" s="32">
        <f t="shared" si="2"/>
        <v>5907</v>
      </c>
      <c r="S52" s="32">
        <f t="shared" si="2"/>
        <v>52832</v>
      </c>
      <c r="T52" s="32">
        <f t="shared" si="2"/>
        <v>0</v>
      </c>
      <c r="U52" s="32">
        <f t="shared" si="2"/>
        <v>59326</v>
      </c>
      <c r="V52" s="32">
        <f t="shared" si="2"/>
        <v>0</v>
      </c>
      <c r="W52" s="32">
        <f t="shared" si="2"/>
        <v>14089</v>
      </c>
      <c r="X52" s="32">
        <f t="shared" si="2"/>
        <v>105884</v>
      </c>
      <c r="Y52" s="32">
        <f t="shared" si="2"/>
        <v>84825</v>
      </c>
      <c r="Z52" s="32">
        <f t="shared" si="2"/>
        <v>0</v>
      </c>
      <c r="AA52" s="32">
        <f t="shared" si="2"/>
        <v>0</v>
      </c>
      <c r="AB52" s="32">
        <f t="shared" si="2"/>
        <v>14565</v>
      </c>
      <c r="AC52" s="32">
        <f t="shared" si="2"/>
        <v>28214</v>
      </c>
      <c r="AD52" s="32">
        <f t="shared" si="2"/>
        <v>0</v>
      </c>
      <c r="AE52" s="32">
        <f t="shared" si="2"/>
        <v>108856</v>
      </c>
      <c r="AF52" s="32">
        <f t="shared" si="2"/>
        <v>0</v>
      </c>
      <c r="AG52" s="32">
        <f t="shared" si="2"/>
        <v>121807</v>
      </c>
      <c r="AH52" s="32">
        <f t="shared" si="2"/>
        <v>23408</v>
      </c>
      <c r="AI52" s="32">
        <f t="shared" si="2"/>
        <v>23518</v>
      </c>
      <c r="AJ52" s="32">
        <f t="shared" si="2"/>
        <v>1151994</v>
      </c>
      <c r="AK52" s="32">
        <f t="shared" si="2"/>
        <v>18821</v>
      </c>
      <c r="AL52" s="32">
        <f t="shared" si="2"/>
        <v>12217</v>
      </c>
      <c r="AM52" s="32">
        <f t="shared" si="2"/>
        <v>0</v>
      </c>
      <c r="AN52" s="32">
        <f t="shared" si="2"/>
        <v>0</v>
      </c>
      <c r="AO52" s="32">
        <f t="shared" si="2"/>
        <v>40431</v>
      </c>
      <c r="AP52" s="32">
        <f t="shared" si="2"/>
        <v>87870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79248</v>
      </c>
      <c r="AZ52" s="32">
        <f t="shared" si="2"/>
        <v>0</v>
      </c>
      <c r="BA52" s="32">
        <f t="shared" si="2"/>
        <v>32580</v>
      </c>
      <c r="BB52" s="32">
        <f t="shared" si="2"/>
        <v>10420</v>
      </c>
      <c r="BC52" s="32">
        <f t="shared" si="2"/>
        <v>0</v>
      </c>
      <c r="BD52" s="32">
        <f t="shared" si="2"/>
        <v>0</v>
      </c>
      <c r="BE52" s="32">
        <f t="shared" si="2"/>
        <v>230039</v>
      </c>
      <c r="BF52" s="32">
        <f t="shared" si="2"/>
        <v>30819</v>
      </c>
      <c r="BG52" s="32">
        <f t="shared" si="2"/>
        <v>0</v>
      </c>
      <c r="BH52" s="32">
        <f t="shared" si="2"/>
        <v>25389</v>
      </c>
      <c r="BI52" s="32">
        <f t="shared" si="2"/>
        <v>0</v>
      </c>
      <c r="BJ52" s="32">
        <f t="shared" si="2"/>
        <v>23334</v>
      </c>
      <c r="BK52" s="32">
        <f t="shared" si="2"/>
        <v>18858</v>
      </c>
      <c r="BL52" s="32">
        <f t="shared" si="2"/>
        <v>628664</v>
      </c>
      <c r="BM52" s="32">
        <f t="shared" si="2"/>
        <v>0</v>
      </c>
      <c r="BN52" s="32">
        <f t="shared" si="2"/>
        <v>22380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9429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36615</v>
      </c>
      <c r="BW52" s="32">
        <f t="shared" si="3"/>
        <v>6017</v>
      </c>
      <c r="BX52" s="32">
        <f t="shared" si="3"/>
        <v>0</v>
      </c>
      <c r="BY52" s="32">
        <f t="shared" si="3"/>
        <v>20582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3813149</v>
      </c>
    </row>
    <row r="53" spans="1:83" x14ac:dyDescent="0.25">
      <c r="A53" s="20" t="s">
        <v>218</v>
      </c>
      <c r="B53" s="32">
        <f>B51+B52</f>
        <v>3813148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/>
      <c r="D59" s="24"/>
      <c r="E59" s="24">
        <v>3476</v>
      </c>
      <c r="F59" s="24"/>
      <c r="G59" s="24"/>
      <c r="H59" s="24"/>
      <c r="I59" s="24"/>
      <c r="J59" s="24">
        <v>782</v>
      </c>
      <c r="K59" s="24"/>
      <c r="L59" s="24">
        <v>1224</v>
      </c>
      <c r="M59" s="24"/>
      <c r="N59" s="24"/>
      <c r="O59" s="24">
        <v>782</v>
      </c>
      <c r="P59" s="30">
        <v>207711</v>
      </c>
      <c r="Q59" s="30"/>
      <c r="R59" s="30"/>
      <c r="S59" s="314"/>
      <c r="T59" s="314"/>
      <c r="U59" s="31">
        <v>182998</v>
      </c>
      <c r="V59" s="30"/>
      <c r="W59" s="30">
        <v>1091</v>
      </c>
      <c r="X59" s="30">
        <v>5064</v>
      </c>
      <c r="Y59" s="30">
        <v>27640</v>
      </c>
      <c r="Z59" s="30"/>
      <c r="AA59" s="30"/>
      <c r="AB59" s="314"/>
      <c r="AC59" s="30"/>
      <c r="AD59" s="30"/>
      <c r="AE59" s="30">
        <v>13242</v>
      </c>
      <c r="AF59" s="30"/>
      <c r="AG59" s="30">
        <v>16543</v>
      </c>
      <c r="AH59" s="30">
        <v>1900</v>
      </c>
      <c r="AI59" s="30">
        <v>4205</v>
      </c>
      <c r="AJ59" s="30">
        <v>59517</v>
      </c>
      <c r="AK59" s="30">
        <v>1647</v>
      </c>
      <c r="AL59" s="30">
        <v>2698</v>
      </c>
      <c r="AM59" s="30"/>
      <c r="AN59" s="30"/>
      <c r="AO59" s="30">
        <v>17999</v>
      </c>
      <c r="AP59" s="30">
        <v>2461</v>
      </c>
      <c r="AQ59" s="30"/>
      <c r="AR59" s="30"/>
      <c r="AS59" s="30"/>
      <c r="AT59" s="30"/>
      <c r="AU59" s="30"/>
      <c r="AV59" s="314"/>
      <c r="AW59" s="314"/>
      <c r="AX59" s="314"/>
      <c r="AY59" s="30">
        <v>20677</v>
      </c>
      <c r="AZ59" s="30"/>
      <c r="BA59" s="314"/>
      <c r="BB59" s="314"/>
      <c r="BC59" s="314"/>
      <c r="BD59" s="314"/>
      <c r="BE59" s="30">
        <v>103932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25">
      <c r="A60" s="241" t="s">
        <v>247</v>
      </c>
      <c r="B60" s="242"/>
      <c r="C60" s="315"/>
      <c r="D60" s="315"/>
      <c r="E60" s="315">
        <v>16.36</v>
      </c>
      <c r="F60" s="315"/>
      <c r="G60" s="315"/>
      <c r="H60" s="315"/>
      <c r="I60" s="315"/>
      <c r="J60" s="315">
        <v>3</v>
      </c>
      <c r="K60" s="315"/>
      <c r="L60" s="315">
        <v>5.76</v>
      </c>
      <c r="M60" s="315"/>
      <c r="N60" s="315"/>
      <c r="O60" s="315">
        <v>12.98</v>
      </c>
      <c r="P60" s="316">
        <v>38.01</v>
      </c>
      <c r="Q60" s="316"/>
      <c r="R60" s="316"/>
      <c r="S60" s="317">
        <v>5.76</v>
      </c>
      <c r="T60" s="317"/>
      <c r="U60" s="318">
        <v>27.23</v>
      </c>
      <c r="V60" s="316"/>
      <c r="W60" s="316">
        <v>1.4</v>
      </c>
      <c r="X60" s="316">
        <v>10.54</v>
      </c>
      <c r="Y60" s="316">
        <v>8.4499999999999993</v>
      </c>
      <c r="Z60" s="316"/>
      <c r="AA60" s="316"/>
      <c r="AB60" s="317">
        <v>3.87</v>
      </c>
      <c r="AC60" s="316">
        <v>9.7899999999999991</v>
      </c>
      <c r="AD60" s="316"/>
      <c r="AE60" s="316"/>
      <c r="AF60" s="316"/>
      <c r="AG60" s="316">
        <v>23.71</v>
      </c>
      <c r="AH60" s="316">
        <v>18.13</v>
      </c>
      <c r="AI60" s="316">
        <v>2.81</v>
      </c>
      <c r="AJ60" s="316">
        <v>90.56</v>
      </c>
      <c r="AK60" s="316"/>
      <c r="AL60" s="316"/>
      <c r="AM60" s="316"/>
      <c r="AN60" s="316"/>
      <c r="AO60" s="316">
        <v>4.03</v>
      </c>
      <c r="AP60" s="316">
        <v>3.06</v>
      </c>
      <c r="AQ60" s="316"/>
      <c r="AR60" s="316"/>
      <c r="AS60" s="316"/>
      <c r="AT60" s="316"/>
      <c r="AU60" s="316"/>
      <c r="AV60" s="317"/>
      <c r="AW60" s="317"/>
      <c r="AX60" s="317"/>
      <c r="AY60" s="316">
        <v>9.35</v>
      </c>
      <c r="AZ60" s="316"/>
      <c r="BA60" s="317">
        <v>1.96</v>
      </c>
      <c r="BB60" s="317">
        <v>3.55</v>
      </c>
      <c r="BC60" s="317"/>
      <c r="BD60" s="317"/>
      <c r="BE60" s="316">
        <v>7.55</v>
      </c>
      <c r="BF60" s="317">
        <v>10.89</v>
      </c>
      <c r="BG60" s="317"/>
      <c r="BH60" s="317">
        <v>7.65</v>
      </c>
      <c r="BI60" s="317"/>
      <c r="BJ60" s="317">
        <v>5.14</v>
      </c>
      <c r="BK60" s="317">
        <v>24.95</v>
      </c>
      <c r="BL60" s="317"/>
      <c r="BM60" s="317"/>
      <c r="BN60" s="317">
        <v>7.21</v>
      </c>
      <c r="BO60" s="317">
        <v>0.14000000000000001</v>
      </c>
      <c r="BP60" s="317">
        <v>4.26</v>
      </c>
      <c r="BQ60" s="317"/>
      <c r="BR60" s="317">
        <v>4.04</v>
      </c>
      <c r="BS60" s="317"/>
      <c r="BT60" s="317"/>
      <c r="BU60" s="317"/>
      <c r="BV60" s="317">
        <v>8.92</v>
      </c>
      <c r="BW60" s="317">
        <v>2.98</v>
      </c>
      <c r="BX60" s="317"/>
      <c r="BY60" s="317">
        <v>10.92</v>
      </c>
      <c r="BZ60" s="317"/>
      <c r="CA60" s="317"/>
      <c r="CB60" s="317"/>
      <c r="CC60" s="317"/>
      <c r="CD60" s="247" t="s">
        <v>233</v>
      </c>
      <c r="CE60" s="268">
        <f t="shared" ref="CE60:CE68" si="4">SUM(C60:CD60)</f>
        <v>394.96</v>
      </c>
    </row>
    <row r="61" spans="1:83" x14ac:dyDescent="0.25">
      <c r="A61" s="39" t="s">
        <v>248</v>
      </c>
      <c r="B61" s="20"/>
      <c r="C61" s="24"/>
      <c r="D61" s="24"/>
      <c r="E61" s="351">
        <v>978288</v>
      </c>
      <c r="F61" s="24"/>
      <c r="G61" s="24"/>
      <c r="H61" s="24"/>
      <c r="I61" s="24"/>
      <c r="J61" s="362">
        <v>220087</v>
      </c>
      <c r="K61" s="24"/>
      <c r="L61" s="363">
        <v>344483</v>
      </c>
      <c r="M61" s="24"/>
      <c r="N61" s="24"/>
      <c r="O61" s="24">
        <v>1728713</v>
      </c>
      <c r="P61" s="30">
        <v>2532045</v>
      </c>
      <c r="Q61" s="30"/>
      <c r="R61" s="30"/>
      <c r="S61" s="319">
        <v>273247</v>
      </c>
      <c r="T61" s="319"/>
      <c r="U61" s="31">
        <v>1757280</v>
      </c>
      <c r="V61" s="30"/>
      <c r="W61" s="30">
        <v>117723</v>
      </c>
      <c r="X61" s="30">
        <v>885431</v>
      </c>
      <c r="Y61" s="30">
        <v>709262</v>
      </c>
      <c r="Z61" s="30"/>
      <c r="AA61" s="30"/>
      <c r="AB61" s="320">
        <v>330552</v>
      </c>
      <c r="AC61" s="30">
        <v>606450</v>
      </c>
      <c r="AD61" s="30"/>
      <c r="AE61" s="30"/>
      <c r="AF61" s="30"/>
      <c r="AG61" s="30">
        <v>3855409</v>
      </c>
      <c r="AH61" s="30">
        <v>880531</v>
      </c>
      <c r="AI61" s="30">
        <v>287279</v>
      </c>
      <c r="AJ61" s="30">
        <v>12484749</v>
      </c>
      <c r="AK61" s="30"/>
      <c r="AL61" s="30"/>
      <c r="AM61" s="30"/>
      <c r="AN61" s="30"/>
      <c r="AO61" s="350">
        <v>200104</v>
      </c>
      <c r="AP61" s="30">
        <v>576169</v>
      </c>
      <c r="AQ61" s="30"/>
      <c r="AR61" s="30"/>
      <c r="AS61" s="30"/>
      <c r="AT61" s="30"/>
      <c r="AU61" s="30"/>
      <c r="AV61" s="319"/>
      <c r="AW61" s="319"/>
      <c r="AX61" s="319"/>
      <c r="AY61" s="30">
        <v>458201</v>
      </c>
      <c r="AZ61" s="30"/>
      <c r="BA61" s="319">
        <v>74469</v>
      </c>
      <c r="BB61" s="319">
        <v>375543</v>
      </c>
      <c r="BC61" s="319"/>
      <c r="BD61" s="319"/>
      <c r="BE61" s="30">
        <v>389513</v>
      </c>
      <c r="BF61" s="319">
        <v>432036</v>
      </c>
      <c r="BG61" s="319"/>
      <c r="BH61" s="319">
        <v>516761</v>
      </c>
      <c r="BI61" s="319"/>
      <c r="BJ61" s="319">
        <v>584176</v>
      </c>
      <c r="BK61" s="319">
        <v>1200422</v>
      </c>
      <c r="BL61" s="319"/>
      <c r="BM61" s="319"/>
      <c r="BN61" s="319">
        <v>2539711</v>
      </c>
      <c r="BO61" s="319">
        <v>42973</v>
      </c>
      <c r="BP61" s="319">
        <v>302646</v>
      </c>
      <c r="BQ61" s="319"/>
      <c r="BR61" s="319">
        <v>373301</v>
      </c>
      <c r="BS61" s="319"/>
      <c r="BT61" s="319"/>
      <c r="BU61" s="319"/>
      <c r="BV61" s="319">
        <v>473745</v>
      </c>
      <c r="BW61" s="319">
        <v>277956</v>
      </c>
      <c r="BX61" s="319"/>
      <c r="BY61" s="319">
        <v>1323788</v>
      </c>
      <c r="BZ61" s="319"/>
      <c r="CA61" s="319"/>
      <c r="CB61" s="319"/>
      <c r="CC61" s="319"/>
      <c r="CD61" s="29" t="s">
        <v>233</v>
      </c>
      <c r="CE61" s="32">
        <f t="shared" si="4"/>
        <v>38133043</v>
      </c>
    </row>
    <row r="62" spans="1:83" x14ac:dyDescent="0.2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213914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48125</v>
      </c>
      <c r="K62" s="32">
        <f t="shared" si="5"/>
        <v>0</v>
      </c>
      <c r="L62" s="32">
        <f t="shared" si="5"/>
        <v>75325</v>
      </c>
      <c r="M62" s="32">
        <f t="shared" si="5"/>
        <v>0</v>
      </c>
      <c r="N62" s="32">
        <f t="shared" si="5"/>
        <v>0</v>
      </c>
      <c r="O62" s="32">
        <f t="shared" si="5"/>
        <v>378004</v>
      </c>
      <c r="P62" s="32">
        <f t="shared" si="5"/>
        <v>553662</v>
      </c>
      <c r="Q62" s="32">
        <f t="shared" si="5"/>
        <v>0</v>
      </c>
      <c r="R62" s="32">
        <f t="shared" si="5"/>
        <v>0</v>
      </c>
      <c r="S62" s="32">
        <f t="shared" si="5"/>
        <v>59749</v>
      </c>
      <c r="T62" s="32">
        <f t="shared" si="5"/>
        <v>0</v>
      </c>
      <c r="U62" s="32">
        <f t="shared" si="5"/>
        <v>384250</v>
      </c>
      <c r="V62" s="32">
        <f t="shared" si="5"/>
        <v>0</v>
      </c>
      <c r="W62" s="32">
        <f t="shared" si="5"/>
        <v>25742</v>
      </c>
      <c r="X62" s="32">
        <f t="shared" si="5"/>
        <v>193610</v>
      </c>
      <c r="Y62" s="32">
        <f t="shared" si="5"/>
        <v>155089</v>
      </c>
      <c r="Z62" s="32">
        <f t="shared" si="5"/>
        <v>0</v>
      </c>
      <c r="AA62" s="32">
        <f t="shared" si="5"/>
        <v>0</v>
      </c>
      <c r="AB62" s="32">
        <f t="shared" si="5"/>
        <v>72279</v>
      </c>
      <c r="AC62" s="32">
        <f t="shared" si="5"/>
        <v>132608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843031</v>
      </c>
      <c r="AH62" s="32">
        <f t="shared" si="5"/>
        <v>192539</v>
      </c>
      <c r="AI62" s="32">
        <f t="shared" si="5"/>
        <v>62817</v>
      </c>
      <c r="AJ62" s="32">
        <f t="shared" si="5"/>
        <v>2729939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43755</v>
      </c>
      <c r="AP62" s="32">
        <f t="shared" si="5"/>
        <v>125986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100191</v>
      </c>
      <c r="AZ62" s="32">
        <f t="shared" si="5"/>
        <v>0</v>
      </c>
      <c r="BA62" s="32">
        <f t="shared" si="5"/>
        <v>16284</v>
      </c>
      <c r="BB62" s="32">
        <f t="shared" si="5"/>
        <v>82117</v>
      </c>
      <c r="BC62" s="32">
        <f t="shared" si="5"/>
        <v>0</v>
      </c>
      <c r="BD62" s="32">
        <f t="shared" si="5"/>
        <v>0</v>
      </c>
      <c r="BE62" s="32">
        <f t="shared" si="5"/>
        <v>85172</v>
      </c>
      <c r="BF62" s="32">
        <f t="shared" si="5"/>
        <v>94470</v>
      </c>
      <c r="BG62" s="32">
        <f t="shared" si="5"/>
        <v>0</v>
      </c>
      <c r="BH62" s="32">
        <f t="shared" si="5"/>
        <v>112996</v>
      </c>
      <c r="BI62" s="32">
        <f t="shared" si="5"/>
        <v>0</v>
      </c>
      <c r="BJ62" s="32">
        <f t="shared" si="5"/>
        <v>127737</v>
      </c>
      <c r="BK62" s="32">
        <f t="shared" si="5"/>
        <v>262487</v>
      </c>
      <c r="BL62" s="32">
        <f t="shared" si="5"/>
        <v>0</v>
      </c>
      <c r="BM62" s="32">
        <f t="shared" si="5"/>
        <v>0</v>
      </c>
      <c r="BN62" s="32">
        <f t="shared" si="5"/>
        <v>555338</v>
      </c>
      <c r="BO62" s="32">
        <f t="shared" si="5"/>
        <v>9397</v>
      </c>
      <c r="BP62" s="32">
        <f t="shared" ref="BP62:CC62" si="6">ROUND(BP47+BP48,0)</f>
        <v>66177</v>
      </c>
      <c r="BQ62" s="32">
        <f t="shared" si="6"/>
        <v>0</v>
      </c>
      <c r="BR62" s="32">
        <f t="shared" si="6"/>
        <v>81627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103590</v>
      </c>
      <c r="BW62" s="32">
        <f t="shared" si="6"/>
        <v>60778</v>
      </c>
      <c r="BX62" s="32">
        <f t="shared" si="6"/>
        <v>0</v>
      </c>
      <c r="BY62" s="32">
        <f t="shared" si="6"/>
        <v>289462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8338247</v>
      </c>
    </row>
    <row r="63" spans="1:83" x14ac:dyDescent="0.25">
      <c r="A63" s="39" t="s">
        <v>249</v>
      </c>
      <c r="B63" s="20"/>
      <c r="C63" s="24"/>
      <c r="D63" s="24"/>
      <c r="E63" s="352">
        <v>1313642</v>
      </c>
      <c r="F63" s="24"/>
      <c r="G63" s="24"/>
      <c r="H63" s="24"/>
      <c r="I63" s="24"/>
      <c r="J63" s="361">
        <v>295532</v>
      </c>
      <c r="K63" s="24"/>
      <c r="L63" s="364">
        <v>462571</v>
      </c>
      <c r="M63" s="24"/>
      <c r="N63" s="24"/>
      <c r="O63" s="24">
        <v>378237</v>
      </c>
      <c r="P63" s="30">
        <v>78141</v>
      </c>
      <c r="Q63" s="30"/>
      <c r="R63" s="30">
        <v>1345450</v>
      </c>
      <c r="S63" s="319"/>
      <c r="T63" s="319"/>
      <c r="U63" s="31">
        <v>8250</v>
      </c>
      <c r="V63" s="30"/>
      <c r="W63" s="30">
        <v>2513</v>
      </c>
      <c r="X63" s="30">
        <v>18902</v>
      </c>
      <c r="Y63" s="30">
        <f>15141+1091971</f>
        <v>1107112</v>
      </c>
      <c r="Z63" s="30"/>
      <c r="AA63" s="30"/>
      <c r="AB63" s="320"/>
      <c r="AC63" s="30">
        <v>171410</v>
      </c>
      <c r="AD63" s="30"/>
      <c r="AE63" s="30">
        <v>1511645</v>
      </c>
      <c r="AF63" s="30"/>
      <c r="AG63" s="30">
        <v>663880</v>
      </c>
      <c r="AH63" s="30"/>
      <c r="AI63" s="30">
        <v>1688</v>
      </c>
      <c r="AJ63" s="30">
        <v>751308</v>
      </c>
      <c r="AK63" s="30">
        <v>219541</v>
      </c>
      <c r="AL63" s="30">
        <v>259247</v>
      </c>
      <c r="AM63" s="30"/>
      <c r="AN63" s="30"/>
      <c r="AO63" s="349">
        <v>268699</v>
      </c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>
        <v>127620</v>
      </c>
      <c r="BK63" s="319">
        <v>281291</v>
      </c>
      <c r="BL63" s="319"/>
      <c r="BM63" s="319"/>
      <c r="BN63" s="319">
        <v>447894</v>
      </c>
      <c r="BO63" s="319"/>
      <c r="BP63" s="319"/>
      <c r="BQ63" s="319"/>
      <c r="BR63" s="319">
        <v>129445</v>
      </c>
      <c r="BS63" s="319"/>
      <c r="BT63" s="319"/>
      <c r="BU63" s="319"/>
      <c r="BV63" s="319">
        <v>241913</v>
      </c>
      <c r="BW63" s="319">
        <v>47400</v>
      </c>
      <c r="BX63" s="319"/>
      <c r="BY63" s="319">
        <v>2441</v>
      </c>
      <c r="BZ63" s="319"/>
      <c r="CA63" s="319"/>
      <c r="CB63" s="319"/>
      <c r="CC63" s="319"/>
      <c r="CD63" s="29" t="s">
        <v>233</v>
      </c>
      <c r="CE63" s="32">
        <f t="shared" si="4"/>
        <v>10135772</v>
      </c>
    </row>
    <row r="64" spans="1:83" x14ac:dyDescent="0.25">
      <c r="A64" s="39" t="s">
        <v>250</v>
      </c>
      <c r="B64" s="20"/>
      <c r="C64" s="24"/>
      <c r="D64" s="24"/>
      <c r="E64" s="352">
        <v>164263</v>
      </c>
      <c r="F64" s="24"/>
      <c r="G64" s="24"/>
      <c r="H64" s="24"/>
      <c r="I64" s="24"/>
      <c r="J64" s="361">
        <v>36955</v>
      </c>
      <c r="K64" s="24"/>
      <c r="L64" s="364">
        <v>57842</v>
      </c>
      <c r="M64" s="24"/>
      <c r="N64" s="24"/>
      <c r="O64" s="24">
        <v>235609</v>
      </c>
      <c r="P64" s="30">
        <v>5000559</v>
      </c>
      <c r="Q64" s="30"/>
      <c r="R64" s="30">
        <v>64163</v>
      </c>
      <c r="S64" s="319">
        <v>-81833</v>
      </c>
      <c r="T64" s="319"/>
      <c r="U64" s="31">
        <v>1549094</v>
      </c>
      <c r="V64" s="30"/>
      <c r="W64" s="30">
        <v>21050</v>
      </c>
      <c r="X64" s="30">
        <v>158328</v>
      </c>
      <c r="Y64" s="30">
        <v>126826</v>
      </c>
      <c r="Z64" s="30"/>
      <c r="AA64" s="30"/>
      <c r="AB64" s="320">
        <v>1584018</v>
      </c>
      <c r="AC64" s="30">
        <v>78087</v>
      </c>
      <c r="AD64" s="30"/>
      <c r="AE64" s="30">
        <v>23818</v>
      </c>
      <c r="AF64" s="30"/>
      <c r="AG64" s="30">
        <v>212491</v>
      </c>
      <c r="AH64" s="30">
        <v>29401</v>
      </c>
      <c r="AI64" s="30">
        <v>100103</v>
      </c>
      <c r="AJ64" s="30">
        <v>939181</v>
      </c>
      <c r="AK64" s="30">
        <v>2378</v>
      </c>
      <c r="AL64" s="30">
        <v>4752</v>
      </c>
      <c r="AM64" s="30"/>
      <c r="AN64" s="30"/>
      <c r="AO64" s="349">
        <v>33599</v>
      </c>
      <c r="AP64" s="30">
        <v>52435</v>
      </c>
      <c r="AQ64" s="30"/>
      <c r="AR64" s="30"/>
      <c r="AS64" s="30"/>
      <c r="AT64" s="30"/>
      <c r="AU64" s="30"/>
      <c r="AV64" s="319"/>
      <c r="AW64" s="319"/>
      <c r="AX64" s="319"/>
      <c r="AY64" s="30">
        <v>185813</v>
      </c>
      <c r="AZ64" s="30"/>
      <c r="BA64" s="319">
        <v>57420</v>
      </c>
      <c r="BB64" s="319">
        <v>2327</v>
      </c>
      <c r="BC64" s="319"/>
      <c r="BD64" s="319"/>
      <c r="BE64" s="30">
        <v>39754</v>
      </c>
      <c r="BF64" s="319">
        <v>56895</v>
      </c>
      <c r="BG64" s="319"/>
      <c r="BH64" s="319">
        <v>1719304</v>
      </c>
      <c r="BI64" s="319"/>
      <c r="BJ64" s="319">
        <v>123780</v>
      </c>
      <c r="BK64" s="319">
        <v>26104</v>
      </c>
      <c r="BL64" s="319"/>
      <c r="BM64" s="319"/>
      <c r="BN64" s="319">
        <v>226861</v>
      </c>
      <c r="BO64" s="319">
        <v>9077</v>
      </c>
      <c r="BP64" s="319">
        <v>480462</v>
      </c>
      <c r="BQ64" s="319"/>
      <c r="BR64" s="319">
        <v>347197</v>
      </c>
      <c r="BS64" s="319"/>
      <c r="BT64" s="319"/>
      <c r="BU64" s="319"/>
      <c r="BV64" s="319">
        <v>5077</v>
      </c>
      <c r="BW64" s="319">
        <v>19591</v>
      </c>
      <c r="BX64" s="319">
        <v>1218</v>
      </c>
      <c r="BY64" s="319">
        <v>1285</v>
      </c>
      <c r="BZ64" s="319"/>
      <c r="CA64" s="319"/>
      <c r="CB64" s="319"/>
      <c r="CC64" s="319"/>
      <c r="CD64" s="29" t="s">
        <v>233</v>
      </c>
      <c r="CE64" s="32">
        <f t="shared" si="4"/>
        <v>13695284</v>
      </c>
    </row>
    <row r="65" spans="1:83" x14ac:dyDescent="0.25">
      <c r="A65" s="39" t="s">
        <v>251</v>
      </c>
      <c r="B65" s="20"/>
      <c r="C65" s="24"/>
      <c r="D65" s="24"/>
      <c r="E65" s="352"/>
      <c r="F65" s="24"/>
      <c r="G65" s="24"/>
      <c r="H65" s="24"/>
      <c r="I65" s="24"/>
      <c r="J65" s="361"/>
      <c r="K65" s="24"/>
      <c r="L65" s="364"/>
      <c r="M65" s="24"/>
      <c r="N65" s="24"/>
      <c r="O65" s="24"/>
      <c r="P65" s="30"/>
      <c r="Q65" s="30"/>
      <c r="R65" s="30"/>
      <c r="S65" s="319">
        <v>5595</v>
      </c>
      <c r="T65" s="319"/>
      <c r="U65" s="31"/>
      <c r="V65" s="30"/>
      <c r="W65" s="30"/>
      <c r="X65" s="30"/>
      <c r="Y65" s="30"/>
      <c r="Z65" s="30"/>
      <c r="AA65" s="30"/>
      <c r="AB65" s="320"/>
      <c r="AC65" s="30"/>
      <c r="AD65" s="30"/>
      <c r="AE65" s="30">
        <v>9984</v>
      </c>
      <c r="AF65" s="30"/>
      <c r="AG65" s="30"/>
      <c r="AH65" s="30">
        <v>51361</v>
      </c>
      <c r="AI65" s="30"/>
      <c r="AJ65" s="30">
        <v>56805</v>
      </c>
      <c r="AK65" s="30">
        <v>670</v>
      </c>
      <c r="AL65" s="30">
        <v>335</v>
      </c>
      <c r="AM65" s="30"/>
      <c r="AN65" s="30"/>
      <c r="AO65" s="349"/>
      <c r="AP65" s="30">
        <v>3558</v>
      </c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>
        <v>325652</v>
      </c>
      <c r="BF65" s="319"/>
      <c r="BG65" s="319"/>
      <c r="BH65" s="319">
        <v>113828</v>
      </c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567788</v>
      </c>
    </row>
    <row r="66" spans="1:83" x14ac:dyDescent="0.25">
      <c r="A66" s="39" t="s">
        <v>252</v>
      </c>
      <c r="B66" s="20"/>
      <c r="C66" s="24"/>
      <c r="D66" s="24"/>
      <c r="E66" s="352">
        <v>31354</v>
      </c>
      <c r="F66" s="24"/>
      <c r="G66" s="24"/>
      <c r="H66" s="24"/>
      <c r="I66" s="24"/>
      <c r="J66" s="361">
        <v>7054</v>
      </c>
      <c r="K66" s="24"/>
      <c r="L66" s="364">
        <v>11041</v>
      </c>
      <c r="M66" s="24"/>
      <c r="N66" s="24"/>
      <c r="O66" s="24">
        <v>9440</v>
      </c>
      <c r="P66" s="30">
        <v>329966</v>
      </c>
      <c r="Q66" s="30"/>
      <c r="R66" s="30">
        <v>-2191</v>
      </c>
      <c r="S66" s="319">
        <v>11503</v>
      </c>
      <c r="T66" s="319"/>
      <c r="U66" s="31">
        <v>487053</v>
      </c>
      <c r="V66" s="30"/>
      <c r="W66" s="30">
        <v>36671</v>
      </c>
      <c r="X66" s="30">
        <v>275817</v>
      </c>
      <c r="Y66" s="30">
        <v>220940</v>
      </c>
      <c r="Z66" s="30"/>
      <c r="AA66" s="30"/>
      <c r="AB66" s="320">
        <v>188990</v>
      </c>
      <c r="AC66" s="30">
        <v>6375</v>
      </c>
      <c r="AD66" s="30"/>
      <c r="AE66" s="30">
        <v>30341</v>
      </c>
      <c r="AF66" s="30"/>
      <c r="AG66" s="30">
        <v>27518</v>
      </c>
      <c r="AH66" s="30">
        <v>40787</v>
      </c>
      <c r="AI66" s="30">
        <v>118425</v>
      </c>
      <c r="AJ66" s="30">
        <v>304929</v>
      </c>
      <c r="AK66" s="30">
        <v>2205</v>
      </c>
      <c r="AL66" s="30">
        <v>1103</v>
      </c>
      <c r="AM66" s="30"/>
      <c r="AN66" s="30"/>
      <c r="AO66" s="349">
        <v>6412</v>
      </c>
      <c r="AP66" s="30">
        <v>6741</v>
      </c>
      <c r="AQ66" s="30"/>
      <c r="AR66" s="30"/>
      <c r="AS66" s="30"/>
      <c r="AT66" s="30"/>
      <c r="AU66" s="30"/>
      <c r="AV66" s="319"/>
      <c r="AW66" s="319"/>
      <c r="AX66" s="319"/>
      <c r="AY66" s="30">
        <v>223793</v>
      </c>
      <c r="AZ66" s="30"/>
      <c r="BA66" s="319">
        <v>39554</v>
      </c>
      <c r="BB66" s="319">
        <v>17986</v>
      </c>
      <c r="BC66" s="319"/>
      <c r="BD66" s="319"/>
      <c r="BE66" s="30">
        <v>110695</v>
      </c>
      <c r="BF66" s="319">
        <v>2543</v>
      </c>
      <c r="BG66" s="319"/>
      <c r="BH66" s="319">
        <v>99456</v>
      </c>
      <c r="BI66" s="319"/>
      <c r="BJ66" s="319">
        <v>19640</v>
      </c>
      <c r="BK66" s="319">
        <v>238309</v>
      </c>
      <c r="BL66" s="319"/>
      <c r="BM66" s="319"/>
      <c r="BN66" s="319">
        <v>517380</v>
      </c>
      <c r="BO66" s="319">
        <v>9973</v>
      </c>
      <c r="BP66" s="319">
        <v>1227272</v>
      </c>
      <c r="BQ66" s="319"/>
      <c r="BR66" s="319">
        <v>50767</v>
      </c>
      <c r="BS66" s="319"/>
      <c r="BT66" s="319"/>
      <c r="BU66" s="319"/>
      <c r="BV66" s="319">
        <v>111378</v>
      </c>
      <c r="BW66" s="319">
        <v>51118</v>
      </c>
      <c r="BX66" s="319"/>
      <c r="BY66" s="319">
        <v>43352</v>
      </c>
      <c r="BZ66" s="319"/>
      <c r="CA66" s="319"/>
      <c r="CB66" s="319"/>
      <c r="CC66" s="319"/>
      <c r="CD66" s="29" t="s">
        <v>233</v>
      </c>
      <c r="CE66" s="32">
        <f t="shared" si="4"/>
        <v>4915690</v>
      </c>
    </row>
    <row r="67" spans="1:83" x14ac:dyDescent="0.2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197790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44504</v>
      </c>
      <c r="K67" s="32">
        <f t="shared" si="7"/>
        <v>0</v>
      </c>
      <c r="L67" s="32">
        <f t="shared" si="7"/>
        <v>69635</v>
      </c>
      <c r="M67" s="32">
        <f t="shared" si="7"/>
        <v>0</v>
      </c>
      <c r="N67" s="32">
        <f t="shared" si="7"/>
        <v>0</v>
      </c>
      <c r="O67" s="32">
        <f t="shared" si="7"/>
        <v>99317</v>
      </c>
      <c r="P67" s="32">
        <f t="shared" si="7"/>
        <v>272965</v>
      </c>
      <c r="Q67" s="32">
        <f t="shared" si="7"/>
        <v>0</v>
      </c>
      <c r="R67" s="32">
        <f t="shared" si="7"/>
        <v>5907</v>
      </c>
      <c r="S67" s="32">
        <f t="shared" si="7"/>
        <v>52832</v>
      </c>
      <c r="T67" s="32">
        <f t="shared" si="7"/>
        <v>0</v>
      </c>
      <c r="U67" s="32">
        <f t="shared" si="7"/>
        <v>59326</v>
      </c>
      <c r="V67" s="32">
        <f t="shared" si="7"/>
        <v>0</v>
      </c>
      <c r="W67" s="32">
        <f t="shared" si="7"/>
        <v>14089</v>
      </c>
      <c r="X67" s="32">
        <f t="shared" si="7"/>
        <v>105884</v>
      </c>
      <c r="Y67" s="32">
        <f t="shared" si="7"/>
        <v>84825</v>
      </c>
      <c r="Z67" s="32">
        <f t="shared" si="7"/>
        <v>0</v>
      </c>
      <c r="AA67" s="32">
        <f t="shared" si="7"/>
        <v>0</v>
      </c>
      <c r="AB67" s="32">
        <f t="shared" si="7"/>
        <v>14565</v>
      </c>
      <c r="AC67" s="32">
        <f t="shared" si="7"/>
        <v>28214</v>
      </c>
      <c r="AD67" s="32">
        <f t="shared" si="7"/>
        <v>0</v>
      </c>
      <c r="AE67" s="32">
        <f t="shared" si="7"/>
        <v>108856</v>
      </c>
      <c r="AF67" s="32">
        <f t="shared" si="7"/>
        <v>0</v>
      </c>
      <c r="AG67" s="32">
        <f t="shared" si="7"/>
        <v>121807</v>
      </c>
      <c r="AH67" s="32">
        <f t="shared" si="7"/>
        <v>23408</v>
      </c>
      <c r="AI67" s="32">
        <f t="shared" si="7"/>
        <v>23518</v>
      </c>
      <c r="AJ67" s="32">
        <f t="shared" si="7"/>
        <v>1151994</v>
      </c>
      <c r="AK67" s="32">
        <f t="shared" si="7"/>
        <v>18821</v>
      </c>
      <c r="AL67" s="32">
        <f t="shared" si="7"/>
        <v>12217</v>
      </c>
      <c r="AM67" s="32">
        <f t="shared" si="7"/>
        <v>0</v>
      </c>
      <c r="AN67" s="32">
        <f t="shared" si="7"/>
        <v>0</v>
      </c>
      <c r="AO67" s="32">
        <f t="shared" si="7"/>
        <v>40431</v>
      </c>
      <c r="AP67" s="32">
        <f t="shared" si="7"/>
        <v>87870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79248</v>
      </c>
      <c r="AZ67" s="32">
        <f t="shared" si="7"/>
        <v>0</v>
      </c>
      <c r="BA67" s="32">
        <f t="shared" si="7"/>
        <v>32580</v>
      </c>
      <c r="BB67" s="32">
        <f t="shared" si="7"/>
        <v>10420</v>
      </c>
      <c r="BC67" s="32">
        <f t="shared" si="7"/>
        <v>0</v>
      </c>
      <c r="BD67" s="32">
        <f t="shared" si="7"/>
        <v>0</v>
      </c>
      <c r="BE67" s="32">
        <f t="shared" si="7"/>
        <v>230039</v>
      </c>
      <c r="BF67" s="32">
        <f t="shared" si="7"/>
        <v>30819</v>
      </c>
      <c r="BG67" s="32">
        <f t="shared" si="7"/>
        <v>0</v>
      </c>
      <c r="BH67" s="32">
        <f t="shared" si="7"/>
        <v>25389</v>
      </c>
      <c r="BI67" s="32">
        <f t="shared" si="7"/>
        <v>0</v>
      </c>
      <c r="BJ67" s="32">
        <f t="shared" si="7"/>
        <v>23334</v>
      </c>
      <c r="BK67" s="32">
        <f t="shared" si="7"/>
        <v>18858</v>
      </c>
      <c r="BL67" s="32">
        <f t="shared" si="7"/>
        <v>628664</v>
      </c>
      <c r="BM67" s="32">
        <f t="shared" si="7"/>
        <v>0</v>
      </c>
      <c r="BN67" s="32">
        <f t="shared" si="7"/>
        <v>22380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9429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36615</v>
      </c>
      <c r="BW67" s="32">
        <f t="shared" si="8"/>
        <v>6017</v>
      </c>
      <c r="BX67" s="32">
        <f t="shared" si="8"/>
        <v>0</v>
      </c>
      <c r="BY67" s="32">
        <f t="shared" si="8"/>
        <v>20582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3813149</v>
      </c>
    </row>
    <row r="68" spans="1:83" x14ac:dyDescent="0.25">
      <c r="A68" s="39" t="s">
        <v>253</v>
      </c>
      <c r="B68" s="32"/>
      <c r="C68" s="24"/>
      <c r="D68" s="24"/>
      <c r="E68" s="353">
        <v>49658</v>
      </c>
      <c r="F68" s="24"/>
      <c r="G68" s="24"/>
      <c r="H68" s="24"/>
      <c r="I68" s="24"/>
      <c r="J68" s="360">
        <v>11172</v>
      </c>
      <c r="K68" s="24"/>
      <c r="L68" s="365">
        <v>17486</v>
      </c>
      <c r="M68" s="24"/>
      <c r="N68" s="24"/>
      <c r="O68" s="24">
        <v>7498</v>
      </c>
      <c r="P68" s="30">
        <v>68592</v>
      </c>
      <c r="Q68" s="30"/>
      <c r="R68" s="30"/>
      <c r="S68" s="319">
        <v>10061</v>
      </c>
      <c r="T68" s="319"/>
      <c r="U68" s="31">
        <v>5702</v>
      </c>
      <c r="V68" s="30"/>
      <c r="W68" s="30">
        <v>5539</v>
      </c>
      <c r="X68" s="30">
        <v>41659</v>
      </c>
      <c r="Y68" s="30">
        <v>33370</v>
      </c>
      <c r="Z68" s="30"/>
      <c r="AA68" s="30"/>
      <c r="AB68" s="320">
        <v>10474</v>
      </c>
      <c r="AC68" s="30">
        <v>23859</v>
      </c>
      <c r="AD68" s="30"/>
      <c r="AE68" s="30">
        <v>49178</v>
      </c>
      <c r="AF68" s="30"/>
      <c r="AG68" s="30">
        <v>17553</v>
      </c>
      <c r="AH68" s="30">
        <v>163</v>
      </c>
      <c r="AI68" s="30">
        <v>5284</v>
      </c>
      <c r="AJ68" s="30">
        <v>211320</v>
      </c>
      <c r="AK68" s="30">
        <v>11499</v>
      </c>
      <c r="AL68" s="30">
        <v>5742</v>
      </c>
      <c r="AM68" s="30"/>
      <c r="AN68" s="30"/>
      <c r="AO68" s="348">
        <v>10157</v>
      </c>
      <c r="AP68" s="30">
        <v>58065</v>
      </c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>
        <v>2773</v>
      </c>
      <c r="BF68" s="319"/>
      <c r="BG68" s="319"/>
      <c r="BH68" s="319">
        <v>109669</v>
      </c>
      <c r="BI68" s="319"/>
      <c r="BJ68" s="319">
        <v>74</v>
      </c>
      <c r="BK68" s="319">
        <v>7345</v>
      </c>
      <c r="BL68" s="319"/>
      <c r="BM68" s="319"/>
      <c r="BN68" s="319"/>
      <c r="BO68" s="319"/>
      <c r="BP68" s="319">
        <v>4620</v>
      </c>
      <c r="BQ68" s="319"/>
      <c r="BR68" s="319"/>
      <c r="BS68" s="319"/>
      <c r="BT68" s="319"/>
      <c r="BU68" s="319"/>
      <c r="BV68" s="319">
        <v>2225</v>
      </c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780737</v>
      </c>
    </row>
    <row r="69" spans="1:83" x14ac:dyDescent="0.2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28484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6408</v>
      </c>
      <c r="K69" s="32">
        <f t="shared" si="9"/>
        <v>0</v>
      </c>
      <c r="L69" s="32">
        <f t="shared" si="9"/>
        <v>10030</v>
      </c>
      <c r="M69" s="32">
        <f t="shared" si="9"/>
        <v>0</v>
      </c>
      <c r="N69" s="32">
        <f t="shared" si="9"/>
        <v>0</v>
      </c>
      <c r="O69" s="32">
        <f t="shared" si="9"/>
        <v>14600</v>
      </c>
      <c r="P69" s="32">
        <f t="shared" si="9"/>
        <v>254634</v>
      </c>
      <c r="Q69" s="32">
        <f t="shared" si="9"/>
        <v>0</v>
      </c>
      <c r="R69" s="32">
        <f t="shared" si="9"/>
        <v>10093</v>
      </c>
      <c r="S69" s="32">
        <f t="shared" si="9"/>
        <v>150934</v>
      </c>
      <c r="T69" s="32">
        <f t="shared" si="9"/>
        <v>0</v>
      </c>
      <c r="U69" s="32">
        <f t="shared" si="9"/>
        <v>73458</v>
      </c>
      <c r="V69" s="32">
        <f t="shared" si="9"/>
        <v>0</v>
      </c>
      <c r="W69" s="32">
        <f t="shared" si="9"/>
        <v>2648</v>
      </c>
      <c r="X69" s="32">
        <f t="shared" si="9"/>
        <v>19915</v>
      </c>
      <c r="Y69" s="32">
        <f t="shared" si="9"/>
        <v>15953</v>
      </c>
      <c r="Z69" s="32">
        <f t="shared" si="9"/>
        <v>0</v>
      </c>
      <c r="AA69" s="32">
        <f t="shared" si="9"/>
        <v>0</v>
      </c>
      <c r="AB69" s="32">
        <f t="shared" si="9"/>
        <v>4785</v>
      </c>
      <c r="AC69" s="32">
        <f t="shared" si="9"/>
        <v>4739</v>
      </c>
      <c r="AD69" s="32">
        <f t="shared" si="9"/>
        <v>0</v>
      </c>
      <c r="AE69" s="32">
        <f t="shared" si="9"/>
        <v>1325</v>
      </c>
      <c r="AF69" s="32">
        <f t="shared" si="9"/>
        <v>0</v>
      </c>
      <c r="AG69" s="32">
        <f t="shared" si="9"/>
        <v>42242</v>
      </c>
      <c r="AH69" s="32">
        <f t="shared" si="9"/>
        <v>14166</v>
      </c>
      <c r="AI69" s="32">
        <f t="shared" si="9"/>
        <v>31047</v>
      </c>
      <c r="AJ69" s="32">
        <f t="shared" si="9"/>
        <v>186126</v>
      </c>
      <c r="AK69" s="32">
        <f t="shared" si="9"/>
        <v>0</v>
      </c>
      <c r="AL69" s="32">
        <f t="shared" si="9"/>
        <v>817</v>
      </c>
      <c r="AM69" s="32">
        <f t="shared" si="9"/>
        <v>0</v>
      </c>
      <c r="AN69" s="32">
        <f t="shared" si="9"/>
        <v>0</v>
      </c>
      <c r="AO69" s="32">
        <f t="shared" si="9"/>
        <v>5826</v>
      </c>
      <c r="AP69" s="32">
        <f t="shared" si="9"/>
        <v>24946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5198</v>
      </c>
      <c r="AZ69" s="32">
        <f t="shared" si="9"/>
        <v>0</v>
      </c>
      <c r="BA69" s="32">
        <f t="shared" si="9"/>
        <v>3005</v>
      </c>
      <c r="BB69" s="32">
        <f t="shared" si="9"/>
        <v>1371</v>
      </c>
      <c r="BC69" s="32">
        <f t="shared" si="9"/>
        <v>0</v>
      </c>
      <c r="BD69" s="32">
        <f t="shared" si="9"/>
        <v>0</v>
      </c>
      <c r="BE69" s="32">
        <f t="shared" si="9"/>
        <v>18690</v>
      </c>
      <c r="BF69" s="32">
        <f t="shared" si="9"/>
        <v>3583</v>
      </c>
      <c r="BG69" s="32">
        <f t="shared" si="9"/>
        <v>0</v>
      </c>
      <c r="BH69" s="32">
        <f t="shared" si="9"/>
        <v>191527</v>
      </c>
      <c r="BI69" s="32">
        <f t="shared" si="9"/>
        <v>0</v>
      </c>
      <c r="BJ69" s="32">
        <f t="shared" si="9"/>
        <v>103153</v>
      </c>
      <c r="BK69" s="32">
        <f t="shared" si="9"/>
        <v>132548</v>
      </c>
      <c r="BL69" s="32">
        <f t="shared" si="9"/>
        <v>0</v>
      </c>
      <c r="BM69" s="32">
        <f t="shared" si="9"/>
        <v>0</v>
      </c>
      <c r="BN69" s="32">
        <f t="shared" si="9"/>
        <v>444938</v>
      </c>
      <c r="BO69" s="32">
        <f t="shared" ref="BO69:CD69" si="10">SUM(BO70:BO83)</f>
        <v>0</v>
      </c>
      <c r="BP69" s="32">
        <f t="shared" si="10"/>
        <v>109070</v>
      </c>
      <c r="BQ69" s="32">
        <f t="shared" si="10"/>
        <v>0</v>
      </c>
      <c r="BR69" s="32">
        <f t="shared" si="10"/>
        <v>116291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3424</v>
      </c>
      <c r="BW69" s="32">
        <f t="shared" si="10"/>
        <v>8228</v>
      </c>
      <c r="BX69" s="32">
        <f t="shared" si="10"/>
        <v>0</v>
      </c>
      <c r="BY69" s="32">
        <f t="shared" si="10"/>
        <v>2317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2282606</v>
      </c>
    </row>
    <row r="70" spans="1:83" x14ac:dyDescent="0.2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2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4" si="11">SUM(C71:CD71)</f>
        <v>0</v>
      </c>
    </row>
    <row r="72" spans="1:83" x14ac:dyDescent="0.2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2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2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2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2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2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25">
      <c r="A78" s="33" t="s">
        <v>263</v>
      </c>
      <c r="B78" s="20"/>
      <c r="C78" s="274"/>
      <c r="D78" s="274"/>
      <c r="E78" s="274">
        <v>28484</v>
      </c>
      <c r="F78" s="274"/>
      <c r="G78" s="274"/>
      <c r="H78" s="274"/>
      <c r="I78" s="274"/>
      <c r="J78" s="274">
        <v>6408</v>
      </c>
      <c r="K78" s="274"/>
      <c r="L78" s="274">
        <v>10030</v>
      </c>
      <c r="M78" s="274"/>
      <c r="N78" s="274"/>
      <c r="O78" s="274">
        <v>14600</v>
      </c>
      <c r="P78" s="274">
        <v>254634</v>
      </c>
      <c r="Q78" s="274"/>
      <c r="R78" s="274">
        <v>10093</v>
      </c>
      <c r="S78" s="274">
        <v>150934</v>
      </c>
      <c r="T78" s="274"/>
      <c r="U78" s="274">
        <v>73458</v>
      </c>
      <c r="V78" s="274"/>
      <c r="W78" s="274">
        <v>2648</v>
      </c>
      <c r="X78" s="274">
        <v>19915</v>
      </c>
      <c r="Y78" s="274">
        <v>15953</v>
      </c>
      <c r="Z78" s="274"/>
      <c r="AA78" s="274"/>
      <c r="AB78" s="274">
        <v>4785</v>
      </c>
      <c r="AC78" s="274">
        <v>4739</v>
      </c>
      <c r="AD78" s="274"/>
      <c r="AE78" s="274">
        <v>1325</v>
      </c>
      <c r="AF78" s="274"/>
      <c r="AG78" s="274">
        <v>42242</v>
      </c>
      <c r="AH78" s="274">
        <v>14166</v>
      </c>
      <c r="AI78" s="274">
        <v>31047</v>
      </c>
      <c r="AJ78" s="274">
        <v>186126</v>
      </c>
      <c r="AK78" s="274"/>
      <c r="AL78" s="274">
        <v>817</v>
      </c>
      <c r="AM78" s="274"/>
      <c r="AN78" s="274"/>
      <c r="AO78" s="274">
        <v>5826</v>
      </c>
      <c r="AP78" s="274">
        <v>24946</v>
      </c>
      <c r="AQ78" s="274"/>
      <c r="AR78" s="274"/>
      <c r="AS78" s="274"/>
      <c r="AT78" s="274"/>
      <c r="AU78" s="274"/>
      <c r="AV78" s="274"/>
      <c r="AW78" s="274"/>
      <c r="AX78" s="274"/>
      <c r="AY78" s="274">
        <v>5198</v>
      </c>
      <c r="AZ78" s="274"/>
      <c r="BA78" s="274">
        <v>3005</v>
      </c>
      <c r="BB78" s="274">
        <v>1371</v>
      </c>
      <c r="BC78" s="274"/>
      <c r="BD78" s="274"/>
      <c r="BE78" s="274">
        <v>18690</v>
      </c>
      <c r="BF78" s="274">
        <v>3583</v>
      </c>
      <c r="BG78" s="274"/>
      <c r="BH78" s="274">
        <v>191527</v>
      </c>
      <c r="BI78" s="274"/>
      <c r="BJ78" s="274">
        <v>103153</v>
      </c>
      <c r="BK78" s="274">
        <v>132548</v>
      </c>
      <c r="BL78" s="274"/>
      <c r="BM78" s="274"/>
      <c r="BN78" s="274">
        <v>444938</v>
      </c>
      <c r="BO78" s="274"/>
      <c r="BP78" s="274">
        <v>109070</v>
      </c>
      <c r="BQ78" s="274"/>
      <c r="BR78" s="274">
        <v>116291</v>
      </c>
      <c r="BS78" s="274"/>
      <c r="BT78" s="274"/>
      <c r="BU78" s="274"/>
      <c r="BV78" s="274">
        <v>3424</v>
      </c>
      <c r="BW78" s="274">
        <v>8228</v>
      </c>
      <c r="BX78" s="274"/>
      <c r="BY78" s="274">
        <v>2317</v>
      </c>
      <c r="BZ78" s="274"/>
      <c r="CA78" s="274"/>
      <c r="CB78" s="274"/>
      <c r="CC78" s="274"/>
      <c r="CD78" s="274"/>
      <c r="CE78" s="32">
        <f t="shared" si="11"/>
        <v>2046519</v>
      </c>
    </row>
    <row r="79" spans="1:83" x14ac:dyDescent="0.2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2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2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2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25">
      <c r="A83" s="33" t="s">
        <v>268</v>
      </c>
      <c r="B83" s="20"/>
      <c r="C83" s="24"/>
      <c r="D83" s="24"/>
      <c r="E83" s="354"/>
      <c r="F83" s="30"/>
      <c r="G83" s="24"/>
      <c r="H83" s="24"/>
      <c r="I83" s="30"/>
      <c r="J83" s="359"/>
      <c r="K83" s="30"/>
      <c r="L83" s="366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47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1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5"/>
      <c r="CE83" s="32">
        <f t="shared" si="11"/>
        <v>0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>
        <v>5200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>
        <v>6034</v>
      </c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>
        <v>130535</v>
      </c>
      <c r="AZ84" s="24">
        <v>0</v>
      </c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>
        <v>13726</v>
      </c>
      <c r="BO84" s="24"/>
      <c r="BP84" s="24"/>
      <c r="BQ84" s="24"/>
      <c r="BR84" s="24"/>
      <c r="BS84" s="24"/>
      <c r="BT84" s="24"/>
      <c r="BU84" s="24"/>
      <c r="BV84" s="24">
        <v>20853</v>
      </c>
      <c r="BW84" s="24">
        <v>25850</v>
      </c>
      <c r="BX84" s="24"/>
      <c r="BY84" s="24">
        <v>849</v>
      </c>
      <c r="BZ84" s="24"/>
      <c r="CA84" s="24">
        <v>0</v>
      </c>
      <c r="CB84" s="24"/>
      <c r="CC84" s="24"/>
      <c r="CD84" s="35">
        <v>33040</v>
      </c>
      <c r="CE84" s="32">
        <f t="shared" si="11"/>
        <v>236087</v>
      </c>
    </row>
    <row r="85" spans="1:84" x14ac:dyDescent="0.2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2977393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669837</v>
      </c>
      <c r="K85" s="32">
        <f t="shared" si="12"/>
        <v>0</v>
      </c>
      <c r="L85" s="32">
        <f t="shared" si="12"/>
        <v>1048413</v>
      </c>
      <c r="M85" s="32">
        <f t="shared" si="12"/>
        <v>0</v>
      </c>
      <c r="N85" s="32">
        <f t="shared" si="12"/>
        <v>0</v>
      </c>
      <c r="O85" s="32">
        <f t="shared" si="12"/>
        <v>2851418</v>
      </c>
      <c r="P85" s="32">
        <f t="shared" si="12"/>
        <v>9085364</v>
      </c>
      <c r="Q85" s="32">
        <f t="shared" si="12"/>
        <v>0</v>
      </c>
      <c r="R85" s="32">
        <f t="shared" si="12"/>
        <v>1423422</v>
      </c>
      <c r="S85" s="32">
        <f t="shared" si="12"/>
        <v>482088</v>
      </c>
      <c r="T85" s="32">
        <f t="shared" si="12"/>
        <v>0</v>
      </c>
      <c r="U85" s="32">
        <f t="shared" si="12"/>
        <v>4324413</v>
      </c>
      <c r="V85" s="32">
        <f t="shared" si="12"/>
        <v>0</v>
      </c>
      <c r="W85" s="32">
        <f t="shared" si="12"/>
        <v>225975</v>
      </c>
      <c r="X85" s="32">
        <f t="shared" si="12"/>
        <v>1699546</v>
      </c>
      <c r="Y85" s="32">
        <f t="shared" si="12"/>
        <v>2453377</v>
      </c>
      <c r="Z85" s="32">
        <f t="shared" si="12"/>
        <v>0</v>
      </c>
      <c r="AA85" s="32">
        <f t="shared" si="12"/>
        <v>0</v>
      </c>
      <c r="AB85" s="32">
        <f t="shared" si="12"/>
        <v>2199629</v>
      </c>
      <c r="AC85" s="32">
        <f t="shared" si="12"/>
        <v>1051742</v>
      </c>
      <c r="AD85" s="32">
        <f t="shared" si="12"/>
        <v>0</v>
      </c>
      <c r="AE85" s="32">
        <f t="shared" si="12"/>
        <v>1735147</v>
      </c>
      <c r="AF85" s="32">
        <f t="shared" si="12"/>
        <v>0</v>
      </c>
      <c r="AG85" s="32">
        <f t="shared" si="12"/>
        <v>5783931</v>
      </c>
      <c r="AH85" s="32">
        <f t="shared" si="12"/>
        <v>1232356</v>
      </c>
      <c r="AI85" s="32">
        <f t="shared" si="12"/>
        <v>630161</v>
      </c>
      <c r="AJ85" s="32">
        <f t="shared" si="12"/>
        <v>18816351</v>
      </c>
      <c r="AK85" s="32">
        <f t="shared" si="12"/>
        <v>255114</v>
      </c>
      <c r="AL85" s="32">
        <f t="shared" si="12"/>
        <v>284213</v>
      </c>
      <c r="AM85" s="32">
        <f t="shared" si="12"/>
        <v>0</v>
      </c>
      <c r="AN85" s="32">
        <f t="shared" si="12"/>
        <v>0</v>
      </c>
      <c r="AO85" s="32">
        <f t="shared" si="12"/>
        <v>608983</v>
      </c>
      <c r="AP85" s="32">
        <f t="shared" si="12"/>
        <v>935770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921909</v>
      </c>
      <c r="AZ85" s="32">
        <f t="shared" si="12"/>
        <v>0</v>
      </c>
      <c r="BA85" s="32">
        <f t="shared" si="12"/>
        <v>223312</v>
      </c>
      <c r="BB85" s="32">
        <f t="shared" si="12"/>
        <v>489764</v>
      </c>
      <c r="BC85" s="32">
        <f t="shared" si="12"/>
        <v>0</v>
      </c>
      <c r="BD85" s="32">
        <f t="shared" si="12"/>
        <v>0</v>
      </c>
      <c r="BE85" s="32">
        <f t="shared" si="12"/>
        <v>1202288</v>
      </c>
      <c r="BF85" s="32">
        <f t="shared" si="12"/>
        <v>620346</v>
      </c>
      <c r="BG85" s="32">
        <f t="shared" si="12"/>
        <v>0</v>
      </c>
      <c r="BH85" s="32">
        <f t="shared" si="12"/>
        <v>2888930</v>
      </c>
      <c r="BI85" s="32">
        <f t="shared" si="12"/>
        <v>0</v>
      </c>
      <c r="BJ85" s="32">
        <f t="shared" si="12"/>
        <v>1109514</v>
      </c>
      <c r="BK85" s="32">
        <f t="shared" si="12"/>
        <v>2167364</v>
      </c>
      <c r="BL85" s="32">
        <f t="shared" si="12"/>
        <v>628664</v>
      </c>
      <c r="BM85" s="32">
        <f t="shared" si="12"/>
        <v>0</v>
      </c>
      <c r="BN85" s="32">
        <f t="shared" si="12"/>
        <v>4740776</v>
      </c>
      <c r="BO85" s="32">
        <f t="shared" si="12"/>
        <v>71420</v>
      </c>
      <c r="BP85" s="32">
        <f t="shared" ref="BP85:CD85" si="13">SUM(BP61:BP69)-BP84</f>
        <v>2190247</v>
      </c>
      <c r="BQ85" s="32">
        <f t="shared" si="13"/>
        <v>0</v>
      </c>
      <c r="BR85" s="32">
        <f t="shared" si="13"/>
        <v>1108057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957114</v>
      </c>
      <c r="BW85" s="32">
        <f t="shared" si="13"/>
        <v>445238</v>
      </c>
      <c r="BX85" s="32">
        <f t="shared" si="13"/>
        <v>1218</v>
      </c>
      <c r="BY85" s="32">
        <f t="shared" si="13"/>
        <v>1682378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0</v>
      </c>
      <c r="CD85" s="32">
        <f t="shared" si="13"/>
        <v>-33040</v>
      </c>
      <c r="CE85" s="32">
        <f>SUM(C85:CD85)</f>
        <v>82190142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941175</v>
      </c>
    </row>
    <row r="87" spans="1:84" x14ac:dyDescent="0.25">
      <c r="A87" s="26" t="s">
        <v>272</v>
      </c>
      <c r="B87" s="20"/>
      <c r="C87" s="24"/>
      <c r="D87" s="24"/>
      <c r="E87" s="355">
        <v>8461944</v>
      </c>
      <c r="F87" s="24"/>
      <c r="G87" s="24"/>
      <c r="H87" s="24"/>
      <c r="I87" s="24"/>
      <c r="J87" s="358">
        <v>1903694</v>
      </c>
      <c r="K87" s="24"/>
      <c r="L87" s="367">
        <v>2979695</v>
      </c>
      <c r="M87" s="24"/>
      <c r="N87" s="24"/>
      <c r="O87" s="24">
        <v>3386971</v>
      </c>
      <c r="P87" s="24">
        <v>6637007</v>
      </c>
      <c r="Q87" s="24"/>
      <c r="R87" s="24">
        <v>3803377</v>
      </c>
      <c r="S87" s="24">
        <v>1161988</v>
      </c>
      <c r="T87" s="24"/>
      <c r="U87" s="24">
        <v>4267943</v>
      </c>
      <c r="V87" s="24"/>
      <c r="W87" s="24">
        <v>183819</v>
      </c>
      <c r="X87" s="24">
        <v>1382564</v>
      </c>
      <c r="Y87" s="24">
        <v>1107483</v>
      </c>
      <c r="Z87" s="24"/>
      <c r="AA87" s="24"/>
      <c r="AB87" s="24">
        <v>3437156</v>
      </c>
      <c r="AC87" s="24">
        <v>1870093</v>
      </c>
      <c r="AD87" s="24"/>
      <c r="AE87" s="24">
        <v>430395</v>
      </c>
      <c r="AF87" s="24"/>
      <c r="AG87" s="24">
        <v>1406486</v>
      </c>
      <c r="AH87" s="24"/>
      <c r="AI87" s="24">
        <v>78394</v>
      </c>
      <c r="AJ87" s="24">
        <v>1447947</v>
      </c>
      <c r="AK87" s="24">
        <v>288741</v>
      </c>
      <c r="AL87" s="24">
        <v>74724</v>
      </c>
      <c r="AM87" s="24"/>
      <c r="AN87" s="24"/>
      <c r="AO87" s="346">
        <v>1730852</v>
      </c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46041273</v>
      </c>
    </row>
    <row r="88" spans="1:84" x14ac:dyDescent="0.25">
      <c r="A88" s="26" t="s">
        <v>273</v>
      </c>
      <c r="B88" s="20"/>
      <c r="C88" s="24"/>
      <c r="D88" s="24"/>
      <c r="E88" s="355">
        <v>2280413</v>
      </c>
      <c r="F88" s="24"/>
      <c r="G88" s="24"/>
      <c r="H88" s="24"/>
      <c r="I88" s="24"/>
      <c r="J88" s="358">
        <v>513027</v>
      </c>
      <c r="K88" s="24"/>
      <c r="L88" s="367">
        <v>802999</v>
      </c>
      <c r="M88" s="24"/>
      <c r="N88" s="24"/>
      <c r="O88" s="24">
        <v>486245</v>
      </c>
      <c r="P88" s="24">
        <v>43064284</v>
      </c>
      <c r="Q88" s="24"/>
      <c r="R88" s="24">
        <v>11115657</v>
      </c>
      <c r="S88" s="24">
        <v>9425217</v>
      </c>
      <c r="T88" s="24"/>
      <c r="U88" s="24">
        <v>21387477</v>
      </c>
      <c r="V88" s="24"/>
      <c r="W88" s="24">
        <v>2951797</v>
      </c>
      <c r="X88" s="24">
        <v>22201455</v>
      </c>
      <c r="Y88" s="24">
        <v>17784165</v>
      </c>
      <c r="Z88" s="24"/>
      <c r="AA88" s="24"/>
      <c r="AB88" s="24">
        <v>5195107</v>
      </c>
      <c r="AC88" s="24">
        <v>2080615</v>
      </c>
      <c r="AD88" s="24"/>
      <c r="AE88" s="24">
        <v>7103298</v>
      </c>
      <c r="AF88" s="24"/>
      <c r="AG88" s="24">
        <v>33765439</v>
      </c>
      <c r="AH88" s="24">
        <v>2285113</v>
      </c>
      <c r="AI88" s="24">
        <v>3137487</v>
      </c>
      <c r="AJ88" s="24">
        <v>20721780</v>
      </c>
      <c r="AK88" s="24">
        <v>464307</v>
      </c>
      <c r="AL88" s="24">
        <v>975522</v>
      </c>
      <c r="AM88" s="24"/>
      <c r="AN88" s="24"/>
      <c r="AO88" s="346">
        <v>466449</v>
      </c>
      <c r="AP88" s="24">
        <v>1174525</v>
      </c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209382378</v>
      </c>
    </row>
    <row r="89" spans="1:84" x14ac:dyDescent="0.2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10742357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2416721</v>
      </c>
      <c r="K89" s="32">
        <f t="shared" si="15"/>
        <v>0</v>
      </c>
      <c r="L89" s="32">
        <f t="shared" si="15"/>
        <v>3782694</v>
      </c>
      <c r="M89" s="32">
        <f t="shared" si="15"/>
        <v>0</v>
      </c>
      <c r="N89" s="32">
        <f t="shared" si="15"/>
        <v>0</v>
      </c>
      <c r="O89" s="32">
        <f t="shared" si="15"/>
        <v>3873216</v>
      </c>
      <c r="P89" s="32">
        <f t="shared" si="15"/>
        <v>49701291</v>
      </c>
      <c r="Q89" s="32">
        <f t="shared" si="15"/>
        <v>0</v>
      </c>
      <c r="R89" s="32">
        <f t="shared" si="15"/>
        <v>14919034</v>
      </c>
      <c r="S89" s="32">
        <f t="shared" si="15"/>
        <v>10587205</v>
      </c>
      <c r="T89" s="32">
        <f t="shared" si="15"/>
        <v>0</v>
      </c>
      <c r="U89" s="32">
        <f t="shared" si="15"/>
        <v>25655420</v>
      </c>
      <c r="V89" s="32">
        <f t="shared" si="15"/>
        <v>0</v>
      </c>
      <c r="W89" s="32">
        <f t="shared" si="15"/>
        <v>3135616</v>
      </c>
      <c r="X89" s="32">
        <f t="shared" si="15"/>
        <v>23584019</v>
      </c>
      <c r="Y89" s="32">
        <f t="shared" si="15"/>
        <v>18891648</v>
      </c>
      <c r="Z89" s="32">
        <f t="shared" si="15"/>
        <v>0</v>
      </c>
      <c r="AA89" s="32">
        <f t="shared" si="15"/>
        <v>0</v>
      </c>
      <c r="AB89" s="32">
        <f t="shared" si="15"/>
        <v>8632263</v>
      </c>
      <c r="AC89" s="32">
        <f t="shared" si="15"/>
        <v>3950708</v>
      </c>
      <c r="AD89" s="32">
        <f t="shared" si="15"/>
        <v>0</v>
      </c>
      <c r="AE89" s="32">
        <f t="shared" si="15"/>
        <v>7533693</v>
      </c>
      <c r="AF89" s="32">
        <f t="shared" si="15"/>
        <v>0</v>
      </c>
      <c r="AG89" s="32">
        <f t="shared" si="15"/>
        <v>35171925</v>
      </c>
      <c r="AH89" s="32">
        <f t="shared" si="15"/>
        <v>2285113</v>
      </c>
      <c r="AI89" s="32">
        <f t="shared" si="15"/>
        <v>3215881</v>
      </c>
      <c r="AJ89" s="32">
        <f t="shared" si="15"/>
        <v>22169727</v>
      </c>
      <c r="AK89" s="32">
        <f t="shared" si="15"/>
        <v>753048</v>
      </c>
      <c r="AL89" s="32">
        <f t="shared" si="15"/>
        <v>1050246</v>
      </c>
      <c r="AM89" s="32">
        <f t="shared" si="15"/>
        <v>0</v>
      </c>
      <c r="AN89" s="32">
        <f t="shared" si="15"/>
        <v>0</v>
      </c>
      <c r="AO89" s="32">
        <f t="shared" si="15"/>
        <v>2197301</v>
      </c>
      <c r="AP89" s="32">
        <f t="shared" si="15"/>
        <v>1174525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255423651</v>
      </c>
    </row>
    <row r="90" spans="1:84" x14ac:dyDescent="0.25">
      <c r="A90" s="39" t="s">
        <v>275</v>
      </c>
      <c r="B90" s="32"/>
      <c r="C90" s="24"/>
      <c r="D90" s="24"/>
      <c r="E90" s="356">
        <v>5391</v>
      </c>
      <c r="F90" s="24"/>
      <c r="G90" s="24"/>
      <c r="H90" s="24"/>
      <c r="I90" s="24"/>
      <c r="J90" s="357">
        <v>1213</v>
      </c>
      <c r="K90" s="24"/>
      <c r="L90" s="368">
        <v>1898</v>
      </c>
      <c r="M90" s="24"/>
      <c r="N90" s="24"/>
      <c r="O90" s="24">
        <v>2707</v>
      </c>
      <c r="P90" s="24">
        <v>7440</v>
      </c>
      <c r="Q90" s="24"/>
      <c r="R90" s="24">
        <v>161</v>
      </c>
      <c r="S90" s="24">
        <v>1440</v>
      </c>
      <c r="T90" s="24"/>
      <c r="U90" s="24">
        <v>1617</v>
      </c>
      <c r="V90" s="24"/>
      <c r="W90" s="24">
        <v>384</v>
      </c>
      <c r="X90" s="24">
        <v>2886</v>
      </c>
      <c r="Y90" s="24">
        <v>2312</v>
      </c>
      <c r="Z90" s="24"/>
      <c r="AA90" s="24"/>
      <c r="AB90" s="24">
        <v>397</v>
      </c>
      <c r="AC90" s="24">
        <v>769</v>
      </c>
      <c r="AD90" s="24"/>
      <c r="AE90" s="24">
        <v>2967</v>
      </c>
      <c r="AF90" s="24"/>
      <c r="AG90" s="24">
        <v>3320</v>
      </c>
      <c r="AH90" s="24">
        <v>638</v>
      </c>
      <c r="AI90" s="24">
        <v>641</v>
      </c>
      <c r="AJ90" s="24">
        <v>31399</v>
      </c>
      <c r="AK90" s="24">
        <v>513</v>
      </c>
      <c r="AL90" s="24">
        <v>333</v>
      </c>
      <c r="AM90" s="24"/>
      <c r="AN90" s="24"/>
      <c r="AO90" s="345">
        <v>1102</v>
      </c>
      <c r="AP90" s="24">
        <v>2395</v>
      </c>
      <c r="AQ90" s="24"/>
      <c r="AR90" s="24"/>
      <c r="AS90" s="24"/>
      <c r="AT90" s="24"/>
      <c r="AU90" s="24"/>
      <c r="AV90" s="24"/>
      <c r="AW90" s="24"/>
      <c r="AX90" s="24"/>
      <c r="AY90" s="24">
        <v>2160</v>
      </c>
      <c r="AZ90" s="24"/>
      <c r="BA90" s="24">
        <v>888</v>
      </c>
      <c r="BB90" s="24">
        <v>284</v>
      </c>
      <c r="BC90" s="24"/>
      <c r="BD90" s="24"/>
      <c r="BE90" s="24">
        <v>6270</v>
      </c>
      <c r="BF90" s="24">
        <v>840</v>
      </c>
      <c r="BG90" s="24"/>
      <c r="BH90" s="24">
        <v>692</v>
      </c>
      <c r="BI90" s="24"/>
      <c r="BJ90" s="24">
        <v>636</v>
      </c>
      <c r="BK90" s="24">
        <v>514</v>
      </c>
      <c r="BL90" s="24">
        <v>17135</v>
      </c>
      <c r="BM90" s="24"/>
      <c r="BN90" s="24">
        <v>610</v>
      </c>
      <c r="BO90" s="24"/>
      <c r="BP90" s="24"/>
      <c r="BQ90" s="24"/>
      <c r="BR90" s="24">
        <v>257</v>
      </c>
      <c r="BS90" s="24"/>
      <c r="BT90" s="24"/>
      <c r="BU90" s="24"/>
      <c r="BV90" s="24">
        <v>998</v>
      </c>
      <c r="BW90" s="24">
        <v>164</v>
      </c>
      <c r="BX90" s="24"/>
      <c r="BY90" s="24">
        <v>561</v>
      </c>
      <c r="BZ90" s="24"/>
      <c r="CA90" s="24"/>
      <c r="CB90" s="24"/>
      <c r="CC90" s="24"/>
      <c r="CD90" s="264" t="s">
        <v>233</v>
      </c>
      <c r="CE90" s="32">
        <f t="shared" si="14"/>
        <v>103932</v>
      </c>
      <c r="CF90" s="32">
        <f>BE59-CE90</f>
        <v>0</v>
      </c>
    </row>
    <row r="91" spans="1:84" x14ac:dyDescent="0.25">
      <c r="A91" s="26" t="s">
        <v>276</v>
      </c>
      <c r="B91" s="20"/>
      <c r="C91" s="24"/>
      <c r="D91" s="24"/>
      <c r="E91" s="356">
        <v>13283</v>
      </c>
      <c r="F91" s="24"/>
      <c r="G91" s="24"/>
      <c r="H91" s="24"/>
      <c r="I91" s="24"/>
      <c r="J91" s="357"/>
      <c r="K91" s="24"/>
      <c r="L91" s="368">
        <v>4677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345">
        <v>2717</v>
      </c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20677</v>
      </c>
      <c r="CF91" s="32">
        <f>AY59-CE91</f>
        <v>0</v>
      </c>
    </row>
    <row r="92" spans="1:84" x14ac:dyDescent="0.25">
      <c r="A92" s="26" t="s">
        <v>277</v>
      </c>
      <c r="B92" s="20"/>
      <c r="C92" s="24"/>
      <c r="D92" s="24"/>
      <c r="E92" s="356">
        <v>996</v>
      </c>
      <c r="F92" s="24"/>
      <c r="G92" s="24"/>
      <c r="H92" s="24"/>
      <c r="I92" s="24"/>
      <c r="J92" s="357">
        <v>224</v>
      </c>
      <c r="K92" s="24"/>
      <c r="L92" s="368">
        <v>351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>
        <v>71</v>
      </c>
      <c r="X92" s="24">
        <v>553</v>
      </c>
      <c r="Y92" s="24">
        <v>427</v>
      </c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345">
        <v>203</v>
      </c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2825</v>
      </c>
      <c r="CF92" s="20"/>
    </row>
    <row r="93" spans="1:84" x14ac:dyDescent="0.25">
      <c r="A93" s="26" t="s">
        <v>278</v>
      </c>
      <c r="B93" s="20"/>
      <c r="C93" s="24"/>
      <c r="D93" s="24"/>
      <c r="E93" s="356">
        <v>41713</v>
      </c>
      <c r="F93" s="24"/>
      <c r="G93" s="24"/>
      <c r="H93" s="24"/>
      <c r="I93" s="24"/>
      <c r="J93" s="357">
        <v>9384</v>
      </c>
      <c r="K93" s="24"/>
      <c r="L93" s="368">
        <v>14688</v>
      </c>
      <c r="M93" s="24"/>
      <c r="N93" s="24"/>
      <c r="O93" s="24">
        <v>17490</v>
      </c>
      <c r="P93" s="24">
        <v>20281</v>
      </c>
      <c r="Q93" s="24"/>
      <c r="R93" s="24"/>
      <c r="S93" s="24"/>
      <c r="T93" s="24"/>
      <c r="U93" s="24">
        <v>519</v>
      </c>
      <c r="V93" s="24"/>
      <c r="W93" s="24">
        <v>898</v>
      </c>
      <c r="X93" s="24">
        <v>6754</v>
      </c>
      <c r="Y93" s="24">
        <v>5410</v>
      </c>
      <c r="Z93" s="24"/>
      <c r="AA93" s="24"/>
      <c r="AB93" s="24"/>
      <c r="AC93" s="24">
        <v>1128</v>
      </c>
      <c r="AD93" s="24"/>
      <c r="AE93" s="24">
        <v>9319</v>
      </c>
      <c r="AF93" s="24"/>
      <c r="AG93" s="24">
        <v>33342</v>
      </c>
      <c r="AH93" s="24">
        <v>1782</v>
      </c>
      <c r="AI93" s="24">
        <v>2233</v>
      </c>
      <c r="AJ93" s="24">
        <v>7197</v>
      </c>
      <c r="AK93" s="24"/>
      <c r="AL93" s="24"/>
      <c r="AM93" s="24"/>
      <c r="AN93" s="24"/>
      <c r="AO93" s="345">
        <v>8532</v>
      </c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180670</v>
      </c>
      <c r="CF93" s="32">
        <f>BA59</f>
        <v>0</v>
      </c>
    </row>
    <row r="94" spans="1:84" x14ac:dyDescent="0.25">
      <c r="A94" s="26" t="s">
        <v>279</v>
      </c>
      <c r="B94" s="20"/>
      <c r="C94" s="315"/>
      <c r="D94" s="315"/>
      <c r="E94" s="356">
        <v>11.668987566607459</v>
      </c>
      <c r="F94" s="315"/>
      <c r="G94" s="315"/>
      <c r="H94" s="315"/>
      <c r="I94" s="315"/>
      <c r="J94" s="357">
        <v>3</v>
      </c>
      <c r="K94" s="315"/>
      <c r="L94" s="368">
        <v>4.1089875666074596</v>
      </c>
      <c r="M94" s="315"/>
      <c r="N94" s="315"/>
      <c r="O94" s="315">
        <v>12.98</v>
      </c>
      <c r="P94" s="316">
        <v>22.69</v>
      </c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>
        <v>11.64</v>
      </c>
      <c r="AH94" s="316"/>
      <c r="AI94" s="316">
        <v>1.95</v>
      </c>
      <c r="AJ94" s="316">
        <v>10.79</v>
      </c>
      <c r="AK94" s="316"/>
      <c r="AL94" s="316"/>
      <c r="AM94" s="316"/>
      <c r="AN94" s="316"/>
      <c r="AO94" s="345">
        <v>2.0120248667850795</v>
      </c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80.84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3" t="s">
        <v>1363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41" t="s">
        <v>1376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369" t="s">
        <v>1366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369" t="s">
        <v>1367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325">
        <v>99350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41" t="s">
        <v>1377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4" t="s">
        <v>1373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4" t="s">
        <v>1374</v>
      </c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29"/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 t="s">
        <v>1378</v>
      </c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/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1309</v>
      </c>
      <c r="D127" s="50">
        <v>3476</v>
      </c>
      <c r="E127" s="20"/>
    </row>
    <row r="128" spans="1:5" x14ac:dyDescent="0.25">
      <c r="A128" s="20" t="s">
        <v>311</v>
      </c>
      <c r="B128" s="46" t="s">
        <v>284</v>
      </c>
      <c r="C128" s="47">
        <v>72</v>
      </c>
      <c r="D128" s="50">
        <v>1224</v>
      </c>
      <c r="E128" s="20"/>
    </row>
    <row r="129" spans="1:5" x14ac:dyDescent="0.25">
      <c r="A129" s="20" t="s">
        <v>312</v>
      </c>
      <c r="B129" s="46" t="s">
        <v>284</v>
      </c>
      <c r="C129" s="47"/>
      <c r="D129" s="50"/>
      <c r="E129" s="20"/>
    </row>
    <row r="130" spans="1:5" x14ac:dyDescent="0.25">
      <c r="A130" s="20" t="s">
        <v>313</v>
      </c>
      <c r="B130" s="46" t="s">
        <v>284</v>
      </c>
      <c r="C130" s="47">
        <v>590</v>
      </c>
      <c r="D130" s="50">
        <v>782</v>
      </c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/>
      <c r="D132" s="20"/>
      <c r="E132" s="20"/>
    </row>
    <row r="133" spans="1:5" x14ac:dyDescent="0.25">
      <c r="A133" s="20" t="s">
        <v>316</v>
      </c>
      <c r="B133" s="46" t="s">
        <v>284</v>
      </c>
      <c r="C133" s="47"/>
      <c r="D133" s="20"/>
      <c r="E133" s="20"/>
    </row>
    <row r="134" spans="1:5" x14ac:dyDescent="0.25">
      <c r="A134" s="20" t="s">
        <v>317</v>
      </c>
      <c r="B134" s="46" t="s">
        <v>284</v>
      </c>
      <c r="C134" s="236">
        <v>19</v>
      </c>
      <c r="D134" s="20"/>
      <c r="E134" s="20"/>
    </row>
    <row r="135" spans="1:5" x14ac:dyDescent="0.25">
      <c r="A135" s="20" t="s">
        <v>318</v>
      </c>
      <c r="B135" s="46" t="s">
        <v>284</v>
      </c>
      <c r="C135" s="236"/>
      <c r="D135" s="20"/>
      <c r="E135" s="20"/>
    </row>
    <row r="136" spans="1:5" x14ac:dyDescent="0.25">
      <c r="A136" s="20" t="s">
        <v>319</v>
      </c>
      <c r="B136" s="46" t="s">
        <v>284</v>
      </c>
      <c r="C136" s="236"/>
      <c r="D136" s="20"/>
      <c r="E136" s="20"/>
    </row>
    <row r="137" spans="1:5" x14ac:dyDescent="0.25">
      <c r="A137" s="20" t="s">
        <v>320</v>
      </c>
      <c r="B137" s="46" t="s">
        <v>284</v>
      </c>
      <c r="C137" s="236"/>
      <c r="D137" s="20"/>
      <c r="E137" s="20"/>
    </row>
    <row r="138" spans="1:5" x14ac:dyDescent="0.25">
      <c r="A138" s="20" t="s">
        <v>108</v>
      </c>
      <c r="B138" s="46" t="s">
        <v>284</v>
      </c>
      <c r="C138" s="236"/>
      <c r="D138" s="20"/>
      <c r="E138" s="20"/>
    </row>
    <row r="139" spans="1:5" x14ac:dyDescent="0.25">
      <c r="A139" s="20" t="s">
        <v>321</v>
      </c>
      <c r="B139" s="46" t="s">
        <v>284</v>
      </c>
      <c r="C139" s="236"/>
      <c r="D139" s="20"/>
      <c r="E139" s="20"/>
    </row>
    <row r="140" spans="1:5" x14ac:dyDescent="0.25">
      <c r="A140" s="20" t="s">
        <v>322</v>
      </c>
      <c r="B140" s="46"/>
      <c r="C140" s="236">
        <v>6</v>
      </c>
      <c r="D140" s="20"/>
      <c r="E140" s="20"/>
    </row>
    <row r="141" spans="1:5" x14ac:dyDescent="0.25">
      <c r="A141" s="20" t="s">
        <v>312</v>
      </c>
      <c r="B141" s="46" t="s">
        <v>284</v>
      </c>
      <c r="C141" s="47"/>
      <c r="D141" s="20"/>
      <c r="E141" s="20"/>
    </row>
    <row r="142" spans="1:5" x14ac:dyDescent="0.25">
      <c r="A142" s="20" t="s">
        <v>323</v>
      </c>
      <c r="B142" s="46" t="s">
        <v>284</v>
      </c>
      <c r="C142" s="47"/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25">
      <c r="A144" s="20" t="s">
        <v>325</v>
      </c>
      <c r="B144" s="46" t="s">
        <v>284</v>
      </c>
      <c r="C144" s="47"/>
      <c r="D144" s="20"/>
      <c r="E144" s="20"/>
    </row>
    <row r="145" spans="1:6" x14ac:dyDescent="0.25">
      <c r="A145" s="20" t="s">
        <v>326</v>
      </c>
      <c r="B145" s="46" t="s">
        <v>284</v>
      </c>
      <c r="C145" s="47"/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/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v>383</v>
      </c>
      <c r="C154" s="50">
        <v>110</v>
      </c>
      <c r="D154" s="50">
        <v>816</v>
      </c>
      <c r="E154" s="32">
        <f>SUM(B154:D154)</f>
        <v>1309</v>
      </c>
    </row>
    <row r="155" spans="1:6" x14ac:dyDescent="0.25">
      <c r="A155" s="20" t="s">
        <v>227</v>
      </c>
      <c r="B155" s="50">
        <v>1016</v>
      </c>
      <c r="C155" s="50">
        <v>293</v>
      </c>
      <c r="D155" s="50">
        <v>2167</v>
      </c>
      <c r="E155" s="32">
        <f>SUM(B155:D155)</f>
        <v>3476</v>
      </c>
    </row>
    <row r="156" spans="1:6" x14ac:dyDescent="0.2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272</v>
      </c>
      <c r="B157" s="50">
        <v>14733452</v>
      </c>
      <c r="C157" s="50">
        <v>15717350</v>
      </c>
      <c r="D157" s="50">
        <v>13386622</v>
      </c>
      <c r="E157" s="32">
        <f>SUM(B157:D157)</f>
        <v>43837424</v>
      </c>
      <c r="F157" s="18"/>
    </row>
    <row r="158" spans="1:6" x14ac:dyDescent="0.25">
      <c r="A158" s="20" t="s">
        <v>273</v>
      </c>
      <c r="B158" s="50">
        <v>63135302</v>
      </c>
      <c r="C158" s="50">
        <v>63400436</v>
      </c>
      <c r="D158" s="50">
        <v>82252726</v>
      </c>
      <c r="E158" s="32">
        <f>SUM(B158:D158)</f>
        <v>208788464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>
        <v>44</v>
      </c>
      <c r="C160" s="50">
        <v>15</v>
      </c>
      <c r="D160" s="50">
        <v>12</v>
      </c>
      <c r="E160" s="32">
        <f>SUM(B160:D160)</f>
        <v>71</v>
      </c>
    </row>
    <row r="161" spans="1:5" x14ac:dyDescent="0.25">
      <c r="A161" s="20" t="s">
        <v>227</v>
      </c>
      <c r="B161" s="50">
        <v>752</v>
      </c>
      <c r="C161" s="50">
        <v>262</v>
      </c>
      <c r="D161" s="50">
        <v>210</v>
      </c>
      <c r="E161" s="32">
        <f>SUM(B161:D161)</f>
        <v>1224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>
        <v>1353998</v>
      </c>
      <c r="C163" s="50">
        <v>471739</v>
      </c>
      <c r="D163" s="50">
        <v>378111</v>
      </c>
      <c r="E163" s="32">
        <f>SUM(B163:D163)</f>
        <v>2203848</v>
      </c>
    </row>
    <row r="164" spans="1:5" x14ac:dyDescent="0.25">
      <c r="A164" s="20" t="s">
        <v>273</v>
      </c>
      <c r="B164" s="50">
        <v>364889</v>
      </c>
      <c r="C164" s="50">
        <v>127129</v>
      </c>
      <c r="D164" s="50">
        <v>101897</v>
      </c>
      <c r="E164" s="32">
        <f>SUM(B164:D164)</f>
        <v>593915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>
        <v>35589161</v>
      </c>
      <c r="C173" s="50">
        <v>10601480</v>
      </c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2402405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31194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319345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v>5276041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>
        <v>85287</v>
      </c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1188813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>
        <v>0</v>
      </c>
      <c r="D187" s="20"/>
      <c r="E187" s="20"/>
    </row>
    <row r="188" spans="1:5" x14ac:dyDescent="0.25">
      <c r="A188" s="20" t="s">
        <v>347</v>
      </c>
      <c r="B188" s="46" t="s">
        <v>284</v>
      </c>
      <c r="C188" s="47">
        <v>-964841</v>
      </c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8338244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v>254484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>
        <v>526253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780737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v>484606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v>146011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630617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622181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v>118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622299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/>
      <c r="D204" s="20"/>
      <c r="E204" s="20"/>
    </row>
    <row r="205" spans="1:5" x14ac:dyDescent="0.25">
      <c r="A205" s="20" t="s">
        <v>359</v>
      </c>
      <c r="B205" s="46" t="s">
        <v>284</v>
      </c>
      <c r="C205" s="47">
        <v>1317896</v>
      </c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1317896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3128342</v>
      </c>
      <c r="C211" s="47">
        <v>17200</v>
      </c>
      <c r="D211" s="50">
        <v>23760</v>
      </c>
      <c r="E211" s="32">
        <f t="shared" ref="E211:E219" si="16">SUM(B211:C211)-D211</f>
        <v>3121782</v>
      </c>
    </row>
    <row r="212" spans="1:5" x14ac:dyDescent="0.25">
      <c r="A212" s="20" t="s">
        <v>367</v>
      </c>
      <c r="B212" s="50">
        <v>632699</v>
      </c>
      <c r="C212" s="47"/>
      <c r="D212" s="50"/>
      <c r="E212" s="32">
        <f t="shared" si="16"/>
        <v>632699</v>
      </c>
    </row>
    <row r="213" spans="1:5" x14ac:dyDescent="0.25">
      <c r="A213" s="20" t="s">
        <v>368</v>
      </c>
      <c r="B213" s="50">
        <v>22920747</v>
      </c>
      <c r="C213" s="47">
        <f>233218+12687627</f>
        <v>12920845</v>
      </c>
      <c r="D213" s="50">
        <v>17200</v>
      </c>
      <c r="E213" s="32">
        <f t="shared" si="16"/>
        <v>35824392</v>
      </c>
    </row>
    <row r="214" spans="1:5" x14ac:dyDescent="0.25">
      <c r="A214" s="20" t="s">
        <v>369</v>
      </c>
      <c r="B214" s="50">
        <v>8131488</v>
      </c>
      <c r="C214" s="47"/>
      <c r="D214" s="50"/>
      <c r="E214" s="32">
        <f t="shared" si="16"/>
        <v>8131488</v>
      </c>
    </row>
    <row r="215" spans="1:5" x14ac:dyDescent="0.25">
      <c r="A215" s="20" t="s">
        <v>370</v>
      </c>
      <c r="B215" s="50">
        <v>665178</v>
      </c>
      <c r="C215" s="47"/>
      <c r="D215" s="50"/>
      <c r="E215" s="32">
        <f t="shared" si="16"/>
        <v>665178</v>
      </c>
    </row>
    <row r="216" spans="1:5" x14ac:dyDescent="0.25">
      <c r="A216" s="20" t="s">
        <v>371</v>
      </c>
      <c r="B216" s="50">
        <v>14619070</v>
      </c>
      <c r="C216" s="47">
        <f>1161119+648261+1755243</f>
        <v>3564623</v>
      </c>
      <c r="D216" s="50">
        <v>167003</v>
      </c>
      <c r="E216" s="32">
        <f t="shared" si="16"/>
        <v>18016690</v>
      </c>
    </row>
    <row r="217" spans="1:5" x14ac:dyDescent="0.2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2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25">
      <c r="A219" s="20" t="s">
        <v>374</v>
      </c>
      <c r="B219" s="50">
        <v>4226277</v>
      </c>
      <c r="C219" s="47">
        <v>2526520</v>
      </c>
      <c r="D219" s="50">
        <v>648261</v>
      </c>
      <c r="E219" s="32">
        <f t="shared" si="16"/>
        <v>6104536</v>
      </c>
    </row>
    <row r="220" spans="1:5" x14ac:dyDescent="0.25">
      <c r="A220" s="20" t="s">
        <v>215</v>
      </c>
      <c r="B220" s="32">
        <f>SUM(B211:B219)</f>
        <v>54323801</v>
      </c>
      <c r="C220" s="266">
        <f>SUM(C211:C219)</f>
        <v>19029188</v>
      </c>
      <c r="D220" s="32">
        <f>SUM(D211:D219)</f>
        <v>856224</v>
      </c>
      <c r="E220" s="32">
        <f>SUM(E211:E219)</f>
        <v>72496765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528471</v>
      </c>
      <c r="C225" s="47">
        <v>33662</v>
      </c>
      <c r="D225" s="50"/>
      <c r="E225" s="32">
        <f t="shared" ref="E225:E232" si="17">SUM(B225:C225)-D225</f>
        <v>562133</v>
      </c>
    </row>
    <row r="226" spans="1:5" x14ac:dyDescent="0.25">
      <c r="A226" s="20" t="s">
        <v>368</v>
      </c>
      <c r="B226" s="50">
        <v>15392629</v>
      </c>
      <c r="C226" s="47">
        <f>483220+5500+551398</f>
        <v>1040118</v>
      </c>
      <c r="D226" s="50"/>
      <c r="E226" s="32">
        <f t="shared" si="17"/>
        <v>16432747</v>
      </c>
    </row>
    <row r="227" spans="1:5" x14ac:dyDescent="0.25">
      <c r="A227" s="20" t="s">
        <v>369</v>
      </c>
      <c r="B227" s="50">
        <v>5512523</v>
      </c>
      <c r="C227" s="47"/>
      <c r="D227" s="50"/>
      <c r="E227" s="32">
        <f t="shared" si="17"/>
        <v>5512523</v>
      </c>
    </row>
    <row r="228" spans="1:5" x14ac:dyDescent="0.25">
      <c r="A228" s="20" t="s">
        <v>370</v>
      </c>
      <c r="B228" s="50">
        <v>566591</v>
      </c>
      <c r="C228" s="47"/>
      <c r="D228" s="50"/>
      <c r="E228" s="32">
        <f t="shared" si="17"/>
        <v>566591</v>
      </c>
    </row>
    <row r="229" spans="1:5" x14ac:dyDescent="0.25">
      <c r="A229" s="20" t="s">
        <v>371</v>
      </c>
      <c r="B229" s="50">
        <v>9410008</v>
      </c>
      <c r="C229" s="47">
        <f>2110602+628766</f>
        <v>2739368</v>
      </c>
      <c r="D229" s="50">
        <v>144828</v>
      </c>
      <c r="E229" s="32">
        <f t="shared" si="17"/>
        <v>12004548</v>
      </c>
    </row>
    <row r="230" spans="1:5" x14ac:dyDescent="0.2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2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f>SUM(B224:B232)</f>
        <v>31410222</v>
      </c>
      <c r="C233" s="266">
        <f>SUM(C224:C232)</f>
        <v>3813148</v>
      </c>
      <c r="D233" s="32">
        <f>SUM(D224:D232)</f>
        <v>144828</v>
      </c>
      <c r="E233" s="32">
        <f>SUM(E224:E232)</f>
        <v>35078542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71" t="s">
        <v>377</v>
      </c>
      <c r="C236" s="371"/>
      <c r="D236" s="38"/>
      <c r="E236" s="38"/>
    </row>
    <row r="237" spans="1:5" x14ac:dyDescent="0.25">
      <c r="A237" s="56" t="s">
        <v>377</v>
      </c>
      <c r="B237" s="38"/>
      <c r="C237" s="47">
        <v>3523104</v>
      </c>
      <c r="D237" s="40">
        <f>C237</f>
        <v>3523104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v>54953880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v>54132674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>
        <v>3232513</v>
      </c>
      <c r="D241" s="20"/>
      <c r="E241" s="20"/>
    </row>
    <row r="242" spans="1:5" x14ac:dyDescent="0.25">
      <c r="A242" s="20" t="s">
        <v>382</v>
      </c>
      <c r="B242" s="46" t="s">
        <v>284</v>
      </c>
      <c r="C242" s="47"/>
      <c r="D242" s="20"/>
      <c r="E242" s="20"/>
    </row>
    <row r="243" spans="1:5" x14ac:dyDescent="0.25">
      <c r="A243" s="20" t="s">
        <v>383</v>
      </c>
      <c r="B243" s="46" t="s">
        <v>284</v>
      </c>
      <c r="C243" s="47"/>
      <c r="D243" s="20"/>
      <c r="E243" s="20"/>
    </row>
    <row r="244" spans="1:5" x14ac:dyDescent="0.25">
      <c r="A244" s="20" t="s">
        <v>384</v>
      </c>
      <c r="B244" s="46" t="s">
        <v>284</v>
      </c>
      <c r="C244" s="47">
        <v>41519725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153838792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>
        <v>946</v>
      </c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>
        <v>3424948</v>
      </c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922991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4347939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/>
      <c r="D254" s="20"/>
      <c r="E254" s="20"/>
    </row>
    <row r="255" spans="1:5" x14ac:dyDescent="0.25">
      <c r="A255" s="20" t="s">
        <v>391</v>
      </c>
      <c r="B255" s="46" t="s">
        <v>284</v>
      </c>
      <c r="C255" s="47"/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161709835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v>6167333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>
        <v>0</v>
      </c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40530516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>
        <v>25024000</v>
      </c>
      <c r="D269" s="20"/>
      <c r="E269" s="20"/>
    </row>
    <row r="270" spans="1:5" x14ac:dyDescent="0.25">
      <c r="A270" s="20" t="s">
        <v>401</v>
      </c>
      <c r="B270" s="46" t="s">
        <v>284</v>
      </c>
      <c r="C270" s="47"/>
      <c r="D270" s="20"/>
      <c r="E270" s="20"/>
    </row>
    <row r="271" spans="1:5" x14ac:dyDescent="0.25">
      <c r="A271" s="20" t="s">
        <v>402</v>
      </c>
      <c r="B271" s="46" t="s">
        <v>284</v>
      </c>
      <c r="C271" s="47">
        <v>158899</v>
      </c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652120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1118427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23603295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>
        <v>2963331</v>
      </c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>
        <v>17462560</v>
      </c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20425891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v>3121782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>
        <v>632699</v>
      </c>
      <c r="D284" s="20"/>
      <c r="E284" s="20"/>
    </row>
    <row r="285" spans="1:5" x14ac:dyDescent="0.25">
      <c r="A285" s="20" t="s">
        <v>368</v>
      </c>
      <c r="B285" s="46" t="s">
        <v>284</v>
      </c>
      <c r="C285" s="47">
        <v>35824392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>
        <v>8131488</v>
      </c>
      <c r="D286" s="20"/>
      <c r="E286" s="20"/>
    </row>
    <row r="287" spans="1:5" x14ac:dyDescent="0.25">
      <c r="A287" s="20" t="s">
        <v>413</v>
      </c>
      <c r="B287" s="46" t="s">
        <v>284</v>
      </c>
      <c r="C287" s="47">
        <v>665178</v>
      </c>
      <c r="D287" s="20"/>
      <c r="E287" s="20"/>
    </row>
    <row r="288" spans="1:5" x14ac:dyDescent="0.25">
      <c r="A288" s="20" t="s">
        <v>414</v>
      </c>
      <c r="B288" s="46" t="s">
        <v>284</v>
      </c>
      <c r="C288" s="47">
        <v>18016690</v>
      </c>
      <c r="D288" s="20"/>
      <c r="E288" s="20"/>
    </row>
    <row r="289" spans="1:5" x14ac:dyDescent="0.25">
      <c r="A289" s="20" t="s">
        <v>373</v>
      </c>
      <c r="B289" s="46" t="s">
        <v>284</v>
      </c>
      <c r="C289" s="47"/>
      <c r="D289" s="20"/>
      <c r="E289" s="20"/>
    </row>
    <row r="290" spans="1:5" x14ac:dyDescent="0.25">
      <c r="A290" s="20" t="s">
        <v>374</v>
      </c>
      <c r="B290" s="46" t="s">
        <v>284</v>
      </c>
      <c r="C290" s="47">
        <v>6104536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72496765</v>
      </c>
      <c r="E291" s="20"/>
    </row>
    <row r="292" spans="1:5" x14ac:dyDescent="0.25">
      <c r="A292" s="20" t="s">
        <v>416</v>
      </c>
      <c r="B292" s="46" t="s">
        <v>284</v>
      </c>
      <c r="C292" s="47">
        <v>35078542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37418223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/>
      <c r="D295" s="20"/>
      <c r="E295" s="20"/>
    </row>
    <row r="296" spans="1:5" x14ac:dyDescent="0.25">
      <c r="A296" s="20" t="s">
        <v>420</v>
      </c>
      <c r="B296" s="46" t="s">
        <v>284</v>
      </c>
      <c r="C296" s="47"/>
      <c r="D296" s="20"/>
      <c r="E296" s="20"/>
    </row>
    <row r="297" spans="1:5" x14ac:dyDescent="0.25">
      <c r="A297" s="20" t="s">
        <v>421</v>
      </c>
      <c r="B297" s="46" t="s">
        <v>284</v>
      </c>
      <c r="C297" s="47">
        <v>9291641</v>
      </c>
      <c r="D297" s="20"/>
      <c r="E297" s="20"/>
    </row>
    <row r="298" spans="1:5" x14ac:dyDescent="0.25">
      <c r="A298" s="20" t="s">
        <v>409</v>
      </c>
      <c r="B298" s="46" t="s">
        <v>284</v>
      </c>
      <c r="C298" s="47">
        <v>904491</v>
      </c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10196132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91643541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/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1903842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>
        <v>1717570</v>
      </c>
      <c r="D316" s="20"/>
      <c r="E316" s="20"/>
    </row>
    <row r="317" spans="1:5" x14ac:dyDescent="0.25">
      <c r="A317" s="20" t="s">
        <v>435</v>
      </c>
      <c r="B317" s="46" t="s">
        <v>284</v>
      </c>
      <c r="C317" s="47">
        <v>2061731</v>
      </c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>
        <v>2169713</v>
      </c>
      <c r="D319" s="20"/>
      <c r="E319" s="20"/>
    </row>
    <row r="320" spans="1:5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v>19670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>
        <v>2050090</v>
      </c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9922616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>
        <v>208975</v>
      </c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208975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>
        <v>8971217</v>
      </c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12577470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2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21548687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2050090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19498597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7">
        <v>59963263</v>
      </c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/>
      <c r="D347" s="20"/>
      <c r="E347" s="20"/>
    </row>
    <row r="348" spans="1:5" x14ac:dyDescent="0.25">
      <c r="A348" s="20" t="s">
        <v>463</v>
      </c>
      <c r="B348" s="46" t="s">
        <v>284</v>
      </c>
      <c r="C348" s="234"/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D324+D329+D341+C343+C347+C348+D340</f>
        <v>91643541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91643541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46041273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v>209382378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255423651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v>3523104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v>153838792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4347939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/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161709835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93713816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3"/>
      <c r="D370" s="32"/>
      <c r="E370" s="32"/>
    </row>
    <row r="371" spans="1:6" x14ac:dyDescent="0.25">
      <c r="A371" s="59" t="s">
        <v>480</v>
      </c>
      <c r="B371" s="40" t="s">
        <v>284</v>
      </c>
      <c r="C371" s="273">
        <v>47297</v>
      </c>
      <c r="D371" s="32"/>
      <c r="E371" s="32"/>
    </row>
    <row r="372" spans="1:6" x14ac:dyDescent="0.25">
      <c r="A372" s="59" t="s">
        <v>481</v>
      </c>
      <c r="B372" s="40" t="s">
        <v>284</v>
      </c>
      <c r="C372" s="273"/>
      <c r="D372" s="32"/>
      <c r="E372" s="32"/>
    </row>
    <row r="373" spans="1:6" x14ac:dyDescent="0.25">
      <c r="A373" s="59" t="s">
        <v>482</v>
      </c>
      <c r="B373" s="40" t="s">
        <v>284</v>
      </c>
      <c r="C373" s="273"/>
      <c r="D373" s="32"/>
      <c r="E373" s="32"/>
    </row>
    <row r="374" spans="1:6" x14ac:dyDescent="0.25">
      <c r="A374" s="59" t="s">
        <v>483</v>
      </c>
      <c r="B374" s="40" t="s">
        <v>284</v>
      </c>
      <c r="C374" s="273"/>
      <c r="D374" s="32"/>
      <c r="E374" s="32"/>
    </row>
    <row r="375" spans="1:6" x14ac:dyDescent="0.25">
      <c r="A375" s="59" t="s">
        <v>484</v>
      </c>
      <c r="B375" s="40" t="s">
        <v>284</v>
      </c>
      <c r="C375" s="273"/>
      <c r="D375" s="32"/>
      <c r="E375" s="32"/>
    </row>
    <row r="376" spans="1:6" x14ac:dyDescent="0.25">
      <c r="A376" s="59" t="s">
        <v>485</v>
      </c>
      <c r="B376" s="40" t="s">
        <v>284</v>
      </c>
      <c r="C376" s="273"/>
      <c r="D376" s="32"/>
      <c r="E376" s="32"/>
    </row>
    <row r="377" spans="1:6" x14ac:dyDescent="0.25">
      <c r="A377" s="59" t="s">
        <v>486</v>
      </c>
      <c r="B377" s="40" t="s">
        <v>284</v>
      </c>
      <c r="C377" s="273"/>
      <c r="D377" s="32"/>
      <c r="E377" s="32"/>
    </row>
    <row r="378" spans="1:6" x14ac:dyDescent="0.25">
      <c r="A378" s="59" t="s">
        <v>487</v>
      </c>
      <c r="B378" s="40" t="s">
        <v>284</v>
      </c>
      <c r="C378" s="273"/>
      <c r="D378" s="32"/>
      <c r="E378" s="32"/>
    </row>
    <row r="379" spans="1:6" x14ac:dyDescent="0.25">
      <c r="A379" s="59" t="s">
        <v>488</v>
      </c>
      <c r="B379" s="40" t="s">
        <v>284</v>
      </c>
      <c r="C379" s="273"/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236087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283384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283384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93997200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38133043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8338244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10135773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13695284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567788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4915690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3813148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780737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630617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v>625527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f>746440+571456</f>
        <v>1317896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3"/>
      <c r="D401" s="32"/>
      <c r="E401" s="32"/>
    </row>
    <row r="402" spans="1:9" x14ac:dyDescent="0.25">
      <c r="A402" s="33" t="s">
        <v>256</v>
      </c>
      <c r="B402" s="40" t="s">
        <v>284</v>
      </c>
      <c r="C402" s="273"/>
      <c r="D402" s="32"/>
      <c r="E402" s="32"/>
    </row>
    <row r="403" spans="1:9" x14ac:dyDescent="0.25">
      <c r="A403" s="33" t="s">
        <v>504</v>
      </c>
      <c r="B403" s="40" t="s">
        <v>284</v>
      </c>
      <c r="C403" s="273">
        <f>176363+788</f>
        <v>177151</v>
      </c>
      <c r="D403" s="32"/>
      <c r="E403" s="32"/>
    </row>
    <row r="404" spans="1:9" x14ac:dyDescent="0.25">
      <c r="A404" s="33" t="s">
        <v>258</v>
      </c>
      <c r="B404" s="40" t="s">
        <v>284</v>
      </c>
      <c r="C404" s="273"/>
      <c r="D404" s="32"/>
      <c r="E404" s="32"/>
    </row>
    <row r="405" spans="1:9" x14ac:dyDescent="0.25">
      <c r="A405" s="33" t="s">
        <v>259</v>
      </c>
      <c r="B405" s="40" t="s">
        <v>284</v>
      </c>
      <c r="C405" s="273">
        <v>3005</v>
      </c>
      <c r="D405" s="32"/>
      <c r="E405" s="32"/>
    </row>
    <row r="406" spans="1:9" x14ac:dyDescent="0.25">
      <c r="A406" s="33" t="s">
        <v>260</v>
      </c>
      <c r="B406" s="40" t="s">
        <v>284</v>
      </c>
      <c r="C406" s="273"/>
      <c r="D406" s="32"/>
      <c r="E406" s="32"/>
    </row>
    <row r="407" spans="1:9" x14ac:dyDescent="0.25">
      <c r="A407" s="33" t="s">
        <v>261</v>
      </c>
      <c r="B407" s="40" t="s">
        <v>284</v>
      </c>
      <c r="C407" s="273"/>
      <c r="D407" s="32"/>
      <c r="E407" s="32"/>
    </row>
    <row r="408" spans="1:9" x14ac:dyDescent="0.25">
      <c r="A408" s="33" t="s">
        <v>262</v>
      </c>
      <c r="B408" s="40" t="s">
        <v>284</v>
      </c>
      <c r="C408" s="273">
        <v>657824</v>
      </c>
      <c r="D408" s="32"/>
      <c r="E408" s="32"/>
    </row>
    <row r="409" spans="1:9" x14ac:dyDescent="0.25">
      <c r="A409" s="33" t="s">
        <v>263</v>
      </c>
      <c r="B409" s="40" t="s">
        <v>284</v>
      </c>
      <c r="C409" s="273">
        <v>0</v>
      </c>
      <c r="D409" s="32"/>
      <c r="E409" s="32"/>
    </row>
    <row r="410" spans="1:9" x14ac:dyDescent="0.25">
      <c r="A410" s="33" t="s">
        <v>264</v>
      </c>
      <c r="B410" s="40" t="s">
        <v>284</v>
      </c>
      <c r="C410" s="273">
        <v>316715</v>
      </c>
      <c r="D410" s="32"/>
      <c r="E410" s="32"/>
    </row>
    <row r="411" spans="1:9" x14ac:dyDescent="0.25">
      <c r="A411" s="33" t="s">
        <v>265</v>
      </c>
      <c r="B411" s="40" t="s">
        <v>284</v>
      </c>
      <c r="C411" s="273">
        <v>311816</v>
      </c>
      <c r="D411" s="32"/>
      <c r="E411" s="32"/>
    </row>
    <row r="412" spans="1:9" x14ac:dyDescent="0.25">
      <c r="A412" s="33" t="s">
        <v>266</v>
      </c>
      <c r="B412" s="40" t="s">
        <v>284</v>
      </c>
      <c r="C412" s="273"/>
      <c r="D412" s="32"/>
      <c r="E412" s="32"/>
    </row>
    <row r="413" spans="1:9" x14ac:dyDescent="0.25">
      <c r="A413" s="33" t="s">
        <v>267</v>
      </c>
      <c r="B413" s="40" t="s">
        <v>284</v>
      </c>
      <c r="C413" s="273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f>1385468-C411-C403-C405-C410</f>
        <v>576781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2043292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84997039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9000161</v>
      </c>
      <c r="E417" s="32"/>
    </row>
    <row r="418" spans="1:13" x14ac:dyDescent="0.25">
      <c r="A418" s="32" t="s">
        <v>508</v>
      </c>
      <c r="B418" s="20"/>
      <c r="C418" s="236">
        <v>112970</v>
      </c>
      <c r="D418" s="32"/>
      <c r="E418" s="32"/>
    </row>
    <row r="419" spans="1:13" x14ac:dyDescent="0.25">
      <c r="A419" s="59" t="s">
        <v>509</v>
      </c>
      <c r="B419" s="46" t="s">
        <v>284</v>
      </c>
      <c r="C419" s="273">
        <v>1785037</v>
      </c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1898007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10898168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10898168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1"/>
      <c r="C612" s="249" t="s">
        <v>515</v>
      </c>
      <c r="D612" s="256">
        <f>CE90-(BE90+CD90)</f>
        <v>97662</v>
      </c>
      <c r="E612" s="258">
        <f>SUM(C624:D647)+SUM(C668:D713)</f>
        <v>74134687.396346584</v>
      </c>
      <c r="F612" s="258">
        <f>CE64-(AX64+BD64+BE64+BG64+BJ64+BN64+BP64+BQ64+CB64+CC64+CD64)</f>
        <v>12824427</v>
      </c>
      <c r="G612" s="256">
        <f>CE91-(AX91+AY91+BD91+BE91+BG91+BJ91+BN91+BP91+BQ91+CB91+CC91+CD91)</f>
        <v>20677</v>
      </c>
      <c r="H612" s="261">
        <f>CE60-(AX60+AY60+AZ60+BD60+BE60+BG60+BJ60+BN60+BO60+BP60+BQ60+BR60+CB60+CC60+CD60)</f>
        <v>357.27</v>
      </c>
      <c r="I612" s="256">
        <f>CE92-(AX92+AY92+AZ92+BD92+BE92+BF92+BG92+BJ92+BN92+BO92+BP92+BQ92+BR92+CB92+CC92+CD92)</f>
        <v>2825</v>
      </c>
      <c r="J612" s="256">
        <f>CE93-(AX93+AY93+AZ93+BA93+BD93+BE93+BF93+BG93+BJ93+BN93+BO93+BP93+BQ93+BR93+CB93+CC93+CD93)</f>
        <v>180670</v>
      </c>
      <c r="K612" s="256">
        <f>CE89-(AW89+AX89+AY89+AZ89+BA89+BB89+BC89+BD89+BE89+BF89+BG89+BH89+BI89+BJ89+BK89+BL89+BM89+BN89+BO89+BP89+BQ89+BR89+BS89+BT89+BU89+BV89+BW89+BX89+CB89+CC89+CD89)</f>
        <v>255423651</v>
      </c>
      <c r="L612" s="262">
        <f>CE94-(AW94+AX94+AY94+AZ94+BA94+BB94+BC94+BD94+BE94+BF94+BG94+BH94+BI94+BJ94+BK94+BL94+BM94+BN94+BO94+BP94+BQ94+BR94+BS94+BT94+BU94+BV94+BW94+BX94+BY94+BZ94+CA94+CB94+CC94+CD94)</f>
        <v>80.84</v>
      </c>
    </row>
    <row r="613" spans="1:14" s="231" customFormat="1" ht="12.6" customHeight="1" x14ac:dyDescent="0.2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" customHeight="1" x14ac:dyDescent="0.2">
      <c r="A614" s="251">
        <v>8430</v>
      </c>
      <c r="B614" s="250" t="s">
        <v>152</v>
      </c>
      <c r="C614" s="256">
        <f>BE85</f>
        <v>1202288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" customHeight="1" x14ac:dyDescent="0.2">
      <c r="A615" s="251"/>
      <c r="B615" s="250" t="s">
        <v>527</v>
      </c>
      <c r="C615" s="256">
        <f>CD69-CD84</f>
        <v>-33040</v>
      </c>
      <c r="D615" s="256">
        <f>SUM(C614:C615)</f>
        <v>1169248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" customHeight="1" x14ac:dyDescent="0.2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" customHeight="1" x14ac:dyDescent="0.2">
      <c r="A617" s="251">
        <v>8510</v>
      </c>
      <c r="B617" s="255" t="s">
        <v>157</v>
      </c>
      <c r="C617" s="256">
        <f>BJ85</f>
        <v>1109514</v>
      </c>
      <c r="D617" s="256">
        <f>(D615/D612)*BJ90</f>
        <v>7614.4429563187314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" customHeight="1" x14ac:dyDescent="0.2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" customHeight="1" x14ac:dyDescent="0.2">
      <c r="A619" s="251">
        <v>8610</v>
      </c>
      <c r="B619" s="255" t="s">
        <v>534</v>
      </c>
      <c r="C619" s="256">
        <f>BN85</f>
        <v>4740776</v>
      </c>
      <c r="D619" s="256">
        <f>(D615/D612)*BN90</f>
        <v>7303.1606970981547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" customHeight="1" x14ac:dyDescent="0.2">
      <c r="A620" s="251">
        <v>8790</v>
      </c>
      <c r="B620" s="255" t="s">
        <v>536</v>
      </c>
      <c r="C620" s="256">
        <f>CC85</f>
        <v>0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" customHeight="1" x14ac:dyDescent="0.2">
      <c r="A621" s="251">
        <v>8630</v>
      </c>
      <c r="B621" s="255" t="s">
        <v>538</v>
      </c>
      <c r="C621" s="256">
        <f>BP85</f>
        <v>2190247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" customHeight="1" x14ac:dyDescent="0.2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" customHeight="1" x14ac:dyDescent="0.2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8055454.603653417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" customHeight="1" x14ac:dyDescent="0.2">
      <c r="A624" s="251">
        <v>8420</v>
      </c>
      <c r="B624" s="255" t="s">
        <v>151</v>
      </c>
      <c r="C624" s="256">
        <f>BD85</f>
        <v>0</v>
      </c>
      <c r="D624" s="256">
        <f>(D615/D612)*BD90</f>
        <v>0</v>
      </c>
      <c r="E624" s="258">
        <f>(E623/E612)*SUM(C624:D624)</f>
        <v>0</v>
      </c>
      <c r="F624" s="258">
        <f>SUM(C624:E624)</f>
        <v>0</v>
      </c>
      <c r="G624" s="256"/>
      <c r="H624" s="258"/>
      <c r="I624" s="256"/>
      <c r="J624" s="256"/>
      <c r="N624" s="252" t="s">
        <v>544</v>
      </c>
    </row>
    <row r="625" spans="1:14" s="231" customFormat="1" ht="12.6" customHeight="1" x14ac:dyDescent="0.2">
      <c r="A625" s="251">
        <v>8320</v>
      </c>
      <c r="B625" s="255" t="s">
        <v>147</v>
      </c>
      <c r="C625" s="256">
        <f>AY85</f>
        <v>921909</v>
      </c>
      <c r="D625" s="256">
        <f>(D615/D612)*AY90</f>
        <v>25860.372304478711</v>
      </c>
      <c r="E625" s="258">
        <f>(E623/E612)*SUM(C625:D625)</f>
        <v>102984.3575452652</v>
      </c>
      <c r="F625" s="258">
        <f>(F624/F612)*AY64</f>
        <v>0</v>
      </c>
      <c r="G625" s="256">
        <f>SUM(C625:F625)</f>
        <v>1050753.7298497439</v>
      </c>
      <c r="H625" s="258"/>
      <c r="I625" s="256"/>
      <c r="J625" s="256"/>
      <c r="N625" s="252" t="s">
        <v>545</v>
      </c>
    </row>
    <row r="626" spans="1:14" s="231" customFormat="1" ht="12.6" customHeight="1" x14ac:dyDescent="0.2">
      <c r="A626" s="251">
        <v>8650</v>
      </c>
      <c r="B626" s="255" t="s">
        <v>164</v>
      </c>
      <c r="C626" s="256">
        <f>BR85</f>
        <v>1108057</v>
      </c>
      <c r="D626" s="256">
        <f>(D615/D612)*BR90</f>
        <v>3076.9054084495501</v>
      </c>
      <c r="E626" s="258">
        <f>(E623/E612)*SUM(C626:D626)</f>
        <v>120735.502474635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" customHeight="1" x14ac:dyDescent="0.2">
      <c r="A627" s="251">
        <v>8620</v>
      </c>
      <c r="B627" s="250" t="s">
        <v>547</v>
      </c>
      <c r="C627" s="256">
        <f>BO85</f>
        <v>71420</v>
      </c>
      <c r="D627" s="256">
        <f>(D615/D612)*BO90</f>
        <v>0</v>
      </c>
      <c r="E627" s="258">
        <f>(E623/E612)*SUM(C627:D627)</f>
        <v>7760.4774228977094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" customHeight="1" x14ac:dyDescent="0.2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1311049.8853059821</v>
      </c>
      <c r="I628" s="256"/>
      <c r="J628" s="256"/>
      <c r="N628" s="252" t="s">
        <v>549</v>
      </c>
    </row>
    <row r="629" spans="1:14" s="231" customFormat="1" ht="12.6" customHeight="1" x14ac:dyDescent="0.2">
      <c r="A629" s="251">
        <v>8460</v>
      </c>
      <c r="B629" s="255" t="s">
        <v>153</v>
      </c>
      <c r="C629" s="256">
        <f>BF85</f>
        <v>620346</v>
      </c>
      <c r="D629" s="256">
        <f>(D615/D612)*BF90</f>
        <v>10056.811451741722</v>
      </c>
      <c r="E629" s="258">
        <f>(E623/E612)*SUM(C629:D629)</f>
        <v>68499.394925825865</v>
      </c>
      <c r="F629" s="258">
        <f>(F624/F612)*BF64</f>
        <v>0</v>
      </c>
      <c r="G629" s="256">
        <f>(G625/G612)*BF91</f>
        <v>0</v>
      </c>
      <c r="H629" s="258">
        <f>(H628/H612)*BF60</f>
        <v>39962.306521628307</v>
      </c>
      <c r="I629" s="256">
        <f>SUM(C629:H629)</f>
        <v>738864.51289919589</v>
      </c>
      <c r="J629" s="256"/>
      <c r="N629" s="252" t="s">
        <v>550</v>
      </c>
    </row>
    <row r="630" spans="1:14" s="231" customFormat="1" ht="12.6" customHeight="1" x14ac:dyDescent="0.2">
      <c r="A630" s="251">
        <v>8350</v>
      </c>
      <c r="B630" s="255" t="s">
        <v>551</v>
      </c>
      <c r="C630" s="256">
        <f>BA85</f>
        <v>223312</v>
      </c>
      <c r="D630" s="256">
        <f>(D615/D612)*BA90</f>
        <v>10631.486391841248</v>
      </c>
      <c r="E630" s="258">
        <f>(E623/E612)*SUM(C630:D630)</f>
        <v>25420.234449423995</v>
      </c>
      <c r="F630" s="258">
        <f>(F624/F612)*BA64</f>
        <v>0</v>
      </c>
      <c r="G630" s="256">
        <f>(G625/G612)*BA91</f>
        <v>0</v>
      </c>
      <c r="H630" s="258">
        <f>(H628/H612)*BA60</f>
        <v>7192.4812472352141</v>
      </c>
      <c r="I630" s="256">
        <f>(I629/I612)*BA92</f>
        <v>0</v>
      </c>
      <c r="J630" s="256">
        <f>SUM(C630:I630)</f>
        <v>266556.20208850049</v>
      </c>
      <c r="N630" s="252" t="s">
        <v>552</v>
      </c>
    </row>
    <row r="631" spans="1:14" s="231" customFormat="1" ht="12.6" customHeight="1" x14ac:dyDescent="0.2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" customHeight="1" x14ac:dyDescent="0.2">
      <c r="A632" s="251">
        <v>8360</v>
      </c>
      <c r="B632" s="255" t="s">
        <v>555</v>
      </c>
      <c r="C632" s="256">
        <f>BB85</f>
        <v>489764</v>
      </c>
      <c r="D632" s="256">
        <f>(D615/D612)*BB90</f>
        <v>3400.1600622555343</v>
      </c>
      <c r="E632" s="258">
        <f>(E623/E612)*SUM(C632:D632)</f>
        <v>53587.081068964522</v>
      </c>
      <c r="F632" s="258">
        <f>(F624/F612)*BB64</f>
        <v>0</v>
      </c>
      <c r="G632" s="256">
        <f>(G625/G612)*BB91</f>
        <v>0</v>
      </c>
      <c r="H632" s="258">
        <f>(H628/H612)*BB60</f>
        <v>13027.19817739031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" customHeight="1" x14ac:dyDescent="0.2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" customHeight="1" x14ac:dyDescent="0.2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" customHeight="1" x14ac:dyDescent="0.2">
      <c r="A635" s="251">
        <v>8530</v>
      </c>
      <c r="B635" s="255" t="s">
        <v>561</v>
      </c>
      <c r="C635" s="256">
        <f>BK85</f>
        <v>2167364</v>
      </c>
      <c r="D635" s="256">
        <f>(D615/D612)*BK90</f>
        <v>6153.8108168991002</v>
      </c>
      <c r="E635" s="258">
        <f>(E623/E612)*SUM(C635:D635)</f>
        <v>236173.84344876223</v>
      </c>
      <c r="F635" s="258">
        <f>(F624/F612)*BK64</f>
        <v>0</v>
      </c>
      <c r="G635" s="256">
        <f>(G625/G612)*BK91</f>
        <v>0</v>
      </c>
      <c r="H635" s="258">
        <f>(H628/H612)*BK60</f>
        <v>91557.350570672745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" customHeight="1" x14ac:dyDescent="0.2">
      <c r="A636" s="251">
        <v>8480</v>
      </c>
      <c r="B636" s="255" t="s">
        <v>563</v>
      </c>
      <c r="C636" s="256">
        <f>BH85</f>
        <v>2888930</v>
      </c>
      <c r="D636" s="256">
        <f>(D615/D612)*BH90</f>
        <v>8284.8970531015129</v>
      </c>
      <c r="E636" s="258">
        <f>(E623/E612)*SUM(C636:D636)</f>
        <v>314810.56843830168</v>
      </c>
      <c r="F636" s="258">
        <f>(F624/F612)*BH64</f>
        <v>0</v>
      </c>
      <c r="G636" s="256">
        <f>(G625/G612)*BH91</f>
        <v>0</v>
      </c>
      <c r="H636" s="258">
        <f>(H628/H612)*BH60</f>
        <v>28072.694663953771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" customHeight="1" x14ac:dyDescent="0.2">
      <c r="A637" s="251">
        <v>8560</v>
      </c>
      <c r="B637" s="255" t="s">
        <v>159</v>
      </c>
      <c r="C637" s="256">
        <f>BL85</f>
        <v>628664</v>
      </c>
      <c r="D637" s="256">
        <f>(D615/D612)*BL90</f>
        <v>205146.98122094569</v>
      </c>
      <c r="E637" s="258">
        <f>(E623/E612)*SUM(C637:D637)</f>
        <v>90601.670326649895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" customHeight="1" x14ac:dyDescent="0.2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" customHeight="1" x14ac:dyDescent="0.2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" customHeight="1" x14ac:dyDescent="0.2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" customHeight="1" x14ac:dyDescent="0.2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" customHeight="1" x14ac:dyDescent="0.2">
      <c r="A642" s="251">
        <v>8690</v>
      </c>
      <c r="B642" s="255" t="s">
        <v>574</v>
      </c>
      <c r="C642" s="256">
        <f>BV85</f>
        <v>957114</v>
      </c>
      <c r="D642" s="256">
        <f>(D615/D612)*BV90</f>
        <v>11948.449796235996</v>
      </c>
      <c r="E642" s="258">
        <f>(E623/E612)*SUM(C642:D642)</f>
        <v>105298.05744919679</v>
      </c>
      <c r="F642" s="258">
        <f>(F624/F612)*BV64</f>
        <v>0</v>
      </c>
      <c r="G642" s="256">
        <f>(G625/G612)*BV91</f>
        <v>0</v>
      </c>
      <c r="H642" s="258">
        <f>(H628/H612)*BV60</f>
        <v>32733.128941499035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" customHeight="1" x14ac:dyDescent="0.2">
      <c r="A643" s="251">
        <v>8700</v>
      </c>
      <c r="B643" s="255" t="s">
        <v>576</v>
      </c>
      <c r="C643" s="256">
        <f>BW85</f>
        <v>445238</v>
      </c>
      <c r="D643" s="256">
        <f>(D615/D612)*BW90</f>
        <v>1963.4727120067168</v>
      </c>
      <c r="E643" s="258">
        <f>(E623/E612)*SUM(C643:D643)</f>
        <v>48592.788189136576</v>
      </c>
      <c r="F643" s="258">
        <f>(F624/F612)*BW64</f>
        <v>0</v>
      </c>
      <c r="G643" s="256">
        <f>(G625/G612)*BW91</f>
        <v>0</v>
      </c>
      <c r="H643" s="258">
        <f>(H628/H612)*BW60</f>
        <v>10935.507202429049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" customHeight="1" x14ac:dyDescent="0.2">
      <c r="A644" s="251">
        <v>8710</v>
      </c>
      <c r="B644" s="255" t="s">
        <v>578</v>
      </c>
      <c r="C644" s="256">
        <f>BX85</f>
        <v>1218</v>
      </c>
      <c r="D644" s="256">
        <f>(D615/D612)*BX90</f>
        <v>0</v>
      </c>
      <c r="E644" s="258">
        <f>(E623/E612)*SUM(C644:D644)</f>
        <v>132.34754272037819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8840712.007681122</v>
      </c>
      <c r="L644" s="258"/>
      <c r="N644" s="252" t="s">
        <v>579</v>
      </c>
    </row>
    <row r="645" spans="1:14" s="231" customFormat="1" ht="12.6" customHeight="1" x14ac:dyDescent="0.2">
      <c r="A645" s="251">
        <v>8720</v>
      </c>
      <c r="B645" s="255" t="s">
        <v>580</v>
      </c>
      <c r="C645" s="256">
        <f>BY85</f>
        <v>1682378</v>
      </c>
      <c r="D645" s="256">
        <f>(D615/D612)*BY90</f>
        <v>6716.5133624132204</v>
      </c>
      <c r="E645" s="258">
        <f>(E623/E612)*SUM(C645:D645)</f>
        <v>183536.54209030245</v>
      </c>
      <c r="F645" s="258">
        <f>(F624/F612)*BY64</f>
        <v>0</v>
      </c>
      <c r="G645" s="256">
        <f>(G625/G612)*BY91</f>
        <v>0</v>
      </c>
      <c r="H645" s="258">
        <f>(H628/H612)*BY60</f>
        <v>40072.395520310478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" customHeight="1" x14ac:dyDescent="0.2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" customHeight="1" x14ac:dyDescent="0.2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1912703.450973026</v>
      </c>
      <c r="N647" s="252" t="s">
        <v>585</v>
      </c>
    </row>
    <row r="648" spans="1:14" s="231" customFormat="1" ht="12.6" customHeight="1" x14ac:dyDescent="0.2">
      <c r="A648" s="251"/>
      <c r="B648" s="251"/>
      <c r="C648" s="231">
        <f>SUM(C614:C647)</f>
        <v>21415499</v>
      </c>
      <c r="L648" s="254"/>
    </row>
    <row r="666" spans="1:14" s="231" customFormat="1" ht="12.6" customHeight="1" x14ac:dyDescent="0.2">
      <c r="C666" s="249" t="s">
        <v>586</v>
      </c>
      <c r="M666" s="249" t="s">
        <v>587</v>
      </c>
    </row>
    <row r="667" spans="1:14" s="231" customFormat="1" ht="12.6" customHeight="1" x14ac:dyDescent="0.2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" customHeight="1" x14ac:dyDescent="0.2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t="shared" ref="M668:M713" si="18">ROUND(SUM(D668:L668),0)</f>
        <v>0</v>
      </c>
      <c r="N668" s="250" t="s">
        <v>589</v>
      </c>
    </row>
    <row r="669" spans="1:14" s="231" customFormat="1" ht="12.6" customHeight="1" x14ac:dyDescent="0.2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" customHeight="1" x14ac:dyDescent="0.2">
      <c r="A670" s="251">
        <v>6070</v>
      </c>
      <c r="B670" s="250" t="s">
        <v>591</v>
      </c>
      <c r="C670" s="256">
        <f>E85</f>
        <v>2977393</v>
      </c>
      <c r="D670" s="256">
        <f>(D615/D612)*E90</f>
        <v>64543.179209928116</v>
      </c>
      <c r="E670" s="258">
        <f>(E623/E612)*SUM(C670:D670)</f>
        <v>330535.94288230705</v>
      </c>
      <c r="F670" s="258">
        <f>(F624/F612)*E64</f>
        <v>0</v>
      </c>
      <c r="G670" s="256">
        <f>(G625/G612)*E91</f>
        <v>675009.03388277546</v>
      </c>
      <c r="H670" s="258">
        <f>(H628/H612)*E60</f>
        <v>60035.200614677597</v>
      </c>
      <c r="I670" s="256">
        <f>(I629/I612)*E92</f>
        <v>260498.78047702624</v>
      </c>
      <c r="J670" s="256">
        <f>(J630/J612)*E93</f>
        <v>61542.363744493392</v>
      </c>
      <c r="K670" s="256">
        <f>(K644/K612)*E89</f>
        <v>371813.98100326018</v>
      </c>
      <c r="L670" s="256">
        <f>(L647/L612)*E94</f>
        <v>276092.43923814228</v>
      </c>
      <c r="M670" s="231">
        <f t="shared" si="18"/>
        <v>2100071</v>
      </c>
      <c r="N670" s="250" t="s">
        <v>592</v>
      </c>
    </row>
    <row r="671" spans="1:14" s="231" customFormat="1" ht="12.6" customHeight="1" x14ac:dyDescent="0.2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" customHeight="1" x14ac:dyDescent="0.2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" customHeight="1" x14ac:dyDescent="0.2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" customHeight="1" x14ac:dyDescent="0.2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" customHeight="1" x14ac:dyDescent="0.2">
      <c r="A675" s="251">
        <v>6170</v>
      </c>
      <c r="B675" s="250" t="s">
        <v>110</v>
      </c>
      <c r="C675" s="256">
        <f>J85</f>
        <v>669837</v>
      </c>
      <c r="D675" s="256">
        <f>(D615/D612)*J90</f>
        <v>14522.51463209846</v>
      </c>
      <c r="E675" s="258">
        <f>(E623/E612)*SUM(C675:D675)</f>
        <v>74362.315352109144</v>
      </c>
      <c r="F675" s="258">
        <f>(F624/F612)*J64</f>
        <v>0</v>
      </c>
      <c r="G675" s="256">
        <f>(G625/G612)*J91</f>
        <v>0</v>
      </c>
      <c r="H675" s="258">
        <f>(H628/H612)*J60</f>
        <v>11008.899868217164</v>
      </c>
      <c r="I675" s="256">
        <f>(I629/I612)*J92</f>
        <v>58586.071111299076</v>
      </c>
      <c r="J675" s="256">
        <f>(J630/J612)*J93</f>
        <v>13844.929431551938</v>
      </c>
      <c r="K675" s="256">
        <f>(K644/K612)*J89</f>
        <v>83647.439382640136</v>
      </c>
      <c r="L675" s="256">
        <f>(L647/L612)*J94</f>
        <v>70981.078091527437</v>
      </c>
      <c r="M675" s="231">
        <f t="shared" si="18"/>
        <v>326953</v>
      </c>
      <c r="N675" s="250" t="s">
        <v>601</v>
      </c>
    </row>
    <row r="676" spans="1:14" s="231" customFormat="1" ht="12.6" customHeight="1" x14ac:dyDescent="0.2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" customHeight="1" x14ac:dyDescent="0.2">
      <c r="A677" s="251">
        <v>6210</v>
      </c>
      <c r="B677" s="250" t="s">
        <v>322</v>
      </c>
      <c r="C677" s="256">
        <f>L85</f>
        <v>1048413</v>
      </c>
      <c r="D677" s="256">
        <f>(D615/D612)*L90</f>
        <v>22723.604923102128</v>
      </c>
      <c r="E677" s="258">
        <f>(E623/E612)*SUM(C677:D677)</f>
        <v>116389.40687965608</v>
      </c>
      <c r="F677" s="258">
        <f>(F624/F612)*L64</f>
        <v>0</v>
      </c>
      <c r="G677" s="256">
        <f>(G625/G612)*L91</f>
        <v>237673.51136563584</v>
      </c>
      <c r="H677" s="258">
        <f>(H628/H612)*L60</f>
        <v>21137.087746976955</v>
      </c>
      <c r="I677" s="256">
        <f>(I629/I612)*L92</f>
        <v>91802.281071723104</v>
      </c>
      <c r="J677" s="256">
        <f>(J630/J612)*L93</f>
        <v>21670.324327646511</v>
      </c>
      <c r="K677" s="256">
        <f>(K644/K612)*L89</f>
        <v>130926.43588899031</v>
      </c>
      <c r="L677" s="256">
        <f>(L647/L612)*L94</f>
        <v>97220.122447493122</v>
      </c>
      <c r="M677" s="231">
        <f t="shared" si="18"/>
        <v>739543</v>
      </c>
      <c r="N677" s="250" t="s">
        <v>603</v>
      </c>
    </row>
    <row r="678" spans="1:14" s="231" customFormat="1" ht="12.6" customHeight="1" x14ac:dyDescent="0.2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" customHeight="1" x14ac:dyDescent="0.2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" customHeight="1" x14ac:dyDescent="0.2">
      <c r="A680" s="251">
        <v>7010</v>
      </c>
      <c r="B680" s="250" t="s">
        <v>608</v>
      </c>
      <c r="C680" s="256">
        <f>O85</f>
        <v>2851418</v>
      </c>
      <c r="D680" s="256">
        <f>(D615/D612)*O90</f>
        <v>32409.272142696238</v>
      </c>
      <c r="E680" s="258">
        <f>(E623/E612)*SUM(C680:D680)</f>
        <v>313355.87282273988</v>
      </c>
      <c r="F680" s="258">
        <f>(F624/F612)*O64</f>
        <v>0</v>
      </c>
      <c r="G680" s="256">
        <f>(G625/G612)*O91</f>
        <v>0</v>
      </c>
      <c r="H680" s="258">
        <f>(H628/H612)*O60</f>
        <v>47631.840096486267</v>
      </c>
      <c r="I680" s="256">
        <f>(I629/I612)*O92</f>
        <v>0</v>
      </c>
      <c r="J680" s="256">
        <f>(J630/J612)*O93</f>
        <v>25804.328192438556</v>
      </c>
      <c r="K680" s="256">
        <f>(K644/K612)*O89</f>
        <v>134059.57931257761</v>
      </c>
      <c r="L680" s="256">
        <f>(L647/L612)*O94</f>
        <v>307111.46454267541</v>
      </c>
      <c r="M680" s="231">
        <f t="shared" si="18"/>
        <v>860372</v>
      </c>
      <c r="N680" s="250" t="s">
        <v>609</v>
      </c>
    </row>
    <row r="681" spans="1:14" s="231" customFormat="1" ht="12.6" customHeight="1" x14ac:dyDescent="0.2">
      <c r="A681" s="251">
        <v>7020</v>
      </c>
      <c r="B681" s="250" t="s">
        <v>610</v>
      </c>
      <c r="C681" s="256">
        <f>P85</f>
        <v>9085364</v>
      </c>
      <c r="D681" s="256">
        <f>(D615/D612)*P90</f>
        <v>89074.615715426669</v>
      </c>
      <c r="E681" s="258">
        <f>(E623/E612)*SUM(C681:D681)</f>
        <v>996891.95946542267</v>
      </c>
      <c r="F681" s="258">
        <f>(F624/F612)*P64</f>
        <v>0</v>
      </c>
      <c r="G681" s="256">
        <f>(G625/G612)*P91</f>
        <v>0</v>
      </c>
      <c r="H681" s="258">
        <f>(H628/H612)*P60</f>
        <v>139482.76133031145</v>
      </c>
      <c r="I681" s="256">
        <f>(I629/I612)*P92</f>
        <v>0</v>
      </c>
      <c r="J681" s="256">
        <f>(J630/J612)*P93</f>
        <v>29922.10292000265</v>
      </c>
      <c r="K681" s="256">
        <f>(K644/K612)*P89</f>
        <v>1720258.8656950709</v>
      </c>
      <c r="L681" s="256">
        <f>(L647/L612)*P94</f>
        <v>536853.55396558589</v>
      </c>
      <c r="M681" s="231">
        <f t="shared" si="18"/>
        <v>3512484</v>
      </c>
      <c r="N681" s="250" t="s">
        <v>611</v>
      </c>
    </row>
    <row r="682" spans="1:14" s="231" customFormat="1" ht="12.6" customHeight="1" x14ac:dyDescent="0.2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18"/>
        <v>0</v>
      </c>
      <c r="N682" s="250" t="s">
        <v>613</v>
      </c>
    </row>
    <row r="683" spans="1:14" s="231" customFormat="1" ht="12.6" customHeight="1" x14ac:dyDescent="0.2">
      <c r="A683" s="251">
        <v>7040</v>
      </c>
      <c r="B683" s="250" t="s">
        <v>118</v>
      </c>
      <c r="C683" s="256">
        <f>R85</f>
        <v>1423422</v>
      </c>
      <c r="D683" s="256">
        <f>(D615/D612)*R90</f>
        <v>1927.5555282504965</v>
      </c>
      <c r="E683" s="258">
        <f>(E623/E612)*SUM(C683:D683)</f>
        <v>154878.0880063606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516376.93890297937</v>
      </c>
      <c r="L683" s="256">
        <f>(L647/L612)*R94</f>
        <v>0</v>
      </c>
      <c r="M683" s="231">
        <f t="shared" si="18"/>
        <v>673183</v>
      </c>
      <c r="N683" s="250" t="s">
        <v>614</v>
      </c>
    </row>
    <row r="684" spans="1:14" s="231" customFormat="1" ht="12.6" customHeight="1" x14ac:dyDescent="0.2">
      <c r="A684" s="251">
        <v>7050</v>
      </c>
      <c r="B684" s="250" t="s">
        <v>615</v>
      </c>
      <c r="C684" s="256">
        <f>S85</f>
        <v>482088</v>
      </c>
      <c r="D684" s="256">
        <f>(D615/D612)*S90</f>
        <v>17240.248202985807</v>
      </c>
      <c r="E684" s="258">
        <f>(E623/E612)*SUM(C684:D684)</f>
        <v>54256.869179422218</v>
      </c>
      <c r="F684" s="258">
        <f>(F624/F612)*S64</f>
        <v>0</v>
      </c>
      <c r="G684" s="256">
        <f>(G625/G612)*S91</f>
        <v>0</v>
      </c>
      <c r="H684" s="258">
        <f>(H628/H612)*S60</f>
        <v>21137.087746976955</v>
      </c>
      <c r="I684" s="256">
        <f>(I629/I612)*S92</f>
        <v>0</v>
      </c>
      <c r="J684" s="256">
        <f>(J630/J612)*S93</f>
        <v>0</v>
      </c>
      <c r="K684" s="256">
        <f>(K644/K612)*S89</f>
        <v>366443.86690440663</v>
      </c>
      <c r="L684" s="256">
        <f>(L647/L612)*S94</f>
        <v>0</v>
      </c>
      <c r="M684" s="231">
        <f t="shared" si="18"/>
        <v>459078</v>
      </c>
      <c r="N684" s="250" t="s">
        <v>616</v>
      </c>
    </row>
    <row r="685" spans="1:14" s="231" customFormat="1" ht="12.6" customHeight="1" x14ac:dyDescent="0.2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" customHeight="1" x14ac:dyDescent="0.2">
      <c r="A686" s="251">
        <v>7070</v>
      </c>
      <c r="B686" s="250" t="s">
        <v>121</v>
      </c>
      <c r="C686" s="256">
        <f>U85</f>
        <v>4324413</v>
      </c>
      <c r="D686" s="256">
        <f>(D615/D612)*U90</f>
        <v>19359.362044602814</v>
      </c>
      <c r="E686" s="258">
        <f>(E623/E612)*SUM(C686:D686)</f>
        <v>471993.10201420041</v>
      </c>
      <c r="F686" s="258">
        <f>(F624/F612)*U64</f>
        <v>0</v>
      </c>
      <c r="G686" s="256">
        <f>(G625/G612)*U91</f>
        <v>0</v>
      </c>
      <c r="H686" s="258">
        <f>(H628/H612)*U60</f>
        <v>99924.114470517801</v>
      </c>
      <c r="I686" s="256">
        <f>(I629/I612)*U92</f>
        <v>0</v>
      </c>
      <c r="J686" s="256">
        <f>(J630/J612)*U93</f>
        <v>765.72020193685591</v>
      </c>
      <c r="K686" s="256">
        <f>(K644/K612)*U89</f>
        <v>887984.25192075269</v>
      </c>
      <c r="L686" s="256">
        <f>(L647/L612)*U94</f>
        <v>0</v>
      </c>
      <c r="M686" s="231">
        <f t="shared" si="18"/>
        <v>1480027</v>
      </c>
      <c r="N686" s="250" t="s">
        <v>619</v>
      </c>
    </row>
    <row r="687" spans="1:14" s="231" customFormat="1" ht="12.6" customHeight="1" x14ac:dyDescent="0.2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0</v>
      </c>
      <c r="N687" s="250" t="s">
        <v>621</v>
      </c>
    </row>
    <row r="688" spans="1:14" s="231" customFormat="1" ht="12.6" customHeight="1" x14ac:dyDescent="0.2">
      <c r="A688" s="251">
        <v>7120</v>
      </c>
      <c r="B688" s="250" t="s">
        <v>622</v>
      </c>
      <c r="C688" s="256">
        <f>W85</f>
        <v>225975</v>
      </c>
      <c r="D688" s="256">
        <f>(D615/D612)*W90</f>
        <v>4597.3995207962153</v>
      </c>
      <c r="E688" s="258">
        <f>(E623/E612)*SUM(C688:D688)</f>
        <v>25053.933083512879</v>
      </c>
      <c r="F688" s="258">
        <f>(F624/F612)*W64</f>
        <v>0</v>
      </c>
      <c r="G688" s="256">
        <f>(G625/G612)*W91</f>
        <v>0</v>
      </c>
      <c r="H688" s="258">
        <f>(H628/H612)*W60</f>
        <v>5137.4866051680092</v>
      </c>
      <c r="I688" s="256">
        <f>(I629/I612)*W92</f>
        <v>18569.692182599261</v>
      </c>
      <c r="J688" s="256">
        <f>(J630/J612)*W93</f>
        <v>1324.8877482452729</v>
      </c>
      <c r="K688" s="256">
        <f>(K644/K612)*W89</f>
        <v>108529.80103505391</v>
      </c>
      <c r="L688" s="256">
        <f>(L647/L612)*W94</f>
        <v>0</v>
      </c>
      <c r="M688" s="231">
        <f t="shared" si="18"/>
        <v>163213</v>
      </c>
      <c r="N688" s="250" t="s">
        <v>623</v>
      </c>
    </row>
    <row r="689" spans="1:14" s="231" customFormat="1" ht="12.6" customHeight="1" x14ac:dyDescent="0.2">
      <c r="A689" s="251">
        <v>7130</v>
      </c>
      <c r="B689" s="250" t="s">
        <v>624</v>
      </c>
      <c r="C689" s="256">
        <f>X85</f>
        <v>1699546</v>
      </c>
      <c r="D689" s="256">
        <f>(D615/D612)*X90</f>
        <v>34552.330773484056</v>
      </c>
      <c r="E689" s="258">
        <f>(E623/E612)*SUM(C689:D689)</f>
        <v>188426.64442806254</v>
      </c>
      <c r="F689" s="258">
        <f>(F624/F612)*X64</f>
        <v>0</v>
      </c>
      <c r="G689" s="256">
        <f>(G625/G612)*X91</f>
        <v>0</v>
      </c>
      <c r="H689" s="258">
        <f>(H628/H612)*X60</f>
        <v>38677.934870336299</v>
      </c>
      <c r="I689" s="256">
        <f>(I629/I612)*X92</f>
        <v>144634.36305601959</v>
      </c>
      <c r="J689" s="256">
        <f>(J630/J612)*X93</f>
        <v>9964.6902579605485</v>
      </c>
      <c r="K689" s="256">
        <f>(K644/K612)*X89</f>
        <v>816289.01296489465</v>
      </c>
      <c r="L689" s="256">
        <f>(L647/L612)*X94</f>
        <v>0</v>
      </c>
      <c r="M689" s="231">
        <f t="shared" si="18"/>
        <v>1232545</v>
      </c>
      <c r="N689" s="250" t="s">
        <v>625</v>
      </c>
    </row>
    <row r="690" spans="1:14" s="231" customFormat="1" ht="12.6" customHeight="1" x14ac:dyDescent="0.2">
      <c r="A690" s="251">
        <v>7140</v>
      </c>
      <c r="B690" s="250" t="s">
        <v>626</v>
      </c>
      <c r="C690" s="256">
        <f>Y85</f>
        <v>2453377</v>
      </c>
      <c r="D690" s="256">
        <f>(D615/D612)*Y90</f>
        <v>27680.176281460546</v>
      </c>
      <c r="E690" s="258">
        <f>(E623/E612)*SUM(C690:D690)</f>
        <v>269590.98573859729</v>
      </c>
      <c r="F690" s="258">
        <f>(F624/F612)*Y64</f>
        <v>0</v>
      </c>
      <c r="G690" s="256">
        <f>(G625/G612)*Y91</f>
        <v>0</v>
      </c>
      <c r="H690" s="258">
        <f>(H628/H612)*Y60</f>
        <v>31008.401295478343</v>
      </c>
      <c r="I690" s="256">
        <f>(I629/I612)*Y92</f>
        <v>111679.69805591386</v>
      </c>
      <c r="J690" s="256">
        <f>(J630/J612)*Y93</f>
        <v>7981.7847639275351</v>
      </c>
      <c r="K690" s="256">
        <f>(K644/K612)*Y89</f>
        <v>653876.87735496764</v>
      </c>
      <c r="L690" s="256">
        <f>(L647/L612)*Y94</f>
        <v>0</v>
      </c>
      <c r="M690" s="231">
        <f t="shared" si="18"/>
        <v>1101818</v>
      </c>
      <c r="N690" s="250" t="s">
        <v>627</v>
      </c>
    </row>
    <row r="691" spans="1:14" s="231" customFormat="1" ht="12.6" customHeight="1" x14ac:dyDescent="0.2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" customHeight="1" x14ac:dyDescent="0.2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0</v>
      </c>
      <c r="L692" s="256">
        <f>(L647/L612)*AA94</f>
        <v>0</v>
      </c>
      <c r="M692" s="231">
        <f t="shared" si="18"/>
        <v>0</v>
      </c>
      <c r="N692" s="250" t="s">
        <v>631</v>
      </c>
    </row>
    <row r="693" spans="1:14" s="231" customFormat="1" ht="12.6" customHeight="1" x14ac:dyDescent="0.2">
      <c r="A693" s="251">
        <v>7170</v>
      </c>
      <c r="B693" s="250" t="s">
        <v>127</v>
      </c>
      <c r="C693" s="256">
        <f>AB85</f>
        <v>2199629</v>
      </c>
      <c r="D693" s="256">
        <f>(D615/D612)*AB90</f>
        <v>4753.040650406504</v>
      </c>
      <c r="E693" s="258">
        <f>(E623/E612)*SUM(C693:D693)</f>
        <v>239527.54211577514</v>
      </c>
      <c r="F693" s="258">
        <f>(F624/F612)*AB64</f>
        <v>0</v>
      </c>
      <c r="G693" s="256">
        <f>(G625/G612)*AB91</f>
        <v>0</v>
      </c>
      <c r="H693" s="258">
        <f>(H628/H612)*AB60</f>
        <v>14201.480830000142</v>
      </c>
      <c r="I693" s="256">
        <f>(I629/I612)*AB92</f>
        <v>0</v>
      </c>
      <c r="J693" s="256">
        <f>(J630/J612)*AB93</f>
        <v>0</v>
      </c>
      <c r="K693" s="256">
        <f>(K644/K612)*AB89</f>
        <v>298779.50165844848</v>
      </c>
      <c r="L693" s="256">
        <f>(L647/L612)*AB94</f>
        <v>0</v>
      </c>
      <c r="M693" s="231">
        <f t="shared" si="18"/>
        <v>557262</v>
      </c>
      <c r="N693" s="250" t="s">
        <v>632</v>
      </c>
    </row>
    <row r="694" spans="1:14" s="231" customFormat="1" ht="12.6" customHeight="1" x14ac:dyDescent="0.2">
      <c r="A694" s="251">
        <v>7180</v>
      </c>
      <c r="B694" s="250" t="s">
        <v>633</v>
      </c>
      <c r="C694" s="256">
        <f>AC85</f>
        <v>1051742</v>
      </c>
      <c r="D694" s="256">
        <f>(D615/D612)*AC90</f>
        <v>9206.771436177838</v>
      </c>
      <c r="E694" s="258">
        <f>(E623/E612)*SUM(C694:D694)</f>
        <v>115282.39971410698</v>
      </c>
      <c r="F694" s="258">
        <f>(F624/F612)*AC64</f>
        <v>0</v>
      </c>
      <c r="G694" s="256">
        <f>(G625/G612)*AC91</f>
        <v>0</v>
      </c>
      <c r="H694" s="258">
        <f>(H628/H612)*AC60</f>
        <v>35925.709903282012</v>
      </c>
      <c r="I694" s="256">
        <f>(I629/I612)*AC92</f>
        <v>0</v>
      </c>
      <c r="J694" s="256">
        <f>(J630/J612)*AC93</f>
        <v>1664.2242539205656</v>
      </c>
      <c r="K694" s="256">
        <f>(K644/K612)*AC89</f>
        <v>136741.72895775369</v>
      </c>
      <c r="L694" s="256">
        <f>(L647/L612)*AC94</f>
        <v>0</v>
      </c>
      <c r="M694" s="231">
        <f t="shared" si="18"/>
        <v>298821</v>
      </c>
      <c r="N694" s="250" t="s">
        <v>634</v>
      </c>
    </row>
    <row r="695" spans="1:14" s="231" customFormat="1" ht="12.6" customHeight="1" x14ac:dyDescent="0.2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" customHeight="1" x14ac:dyDescent="0.2">
      <c r="A696" s="251">
        <v>7200</v>
      </c>
      <c r="B696" s="250" t="s">
        <v>636</v>
      </c>
      <c r="C696" s="256">
        <f>AE85</f>
        <v>1735147</v>
      </c>
      <c r="D696" s="256">
        <f>(D615/D612)*AE90</f>
        <v>35522.094734902006</v>
      </c>
      <c r="E696" s="258">
        <f>(E623/E612)*SUM(C696:D696)</f>
        <v>192400.41351320266</v>
      </c>
      <c r="F696" s="258">
        <f>(F624/F612)*AE64</f>
        <v>0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13749.029984295878</v>
      </c>
      <c r="K696" s="256">
        <f>(K644/K612)*AE89</f>
        <v>260755.84585267407</v>
      </c>
      <c r="L696" s="256">
        <f>(L647/L612)*AE94</f>
        <v>0</v>
      </c>
      <c r="M696" s="231">
        <f t="shared" si="18"/>
        <v>502427</v>
      </c>
      <c r="N696" s="250" t="s">
        <v>637</v>
      </c>
    </row>
    <row r="697" spans="1:14" s="231" customFormat="1" ht="12.6" customHeight="1" x14ac:dyDescent="0.2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" customHeight="1" x14ac:dyDescent="0.2">
      <c r="A698" s="251">
        <v>7230</v>
      </c>
      <c r="B698" s="250" t="s">
        <v>640</v>
      </c>
      <c r="C698" s="256">
        <f>AG85</f>
        <v>5783931</v>
      </c>
      <c r="D698" s="256">
        <f>(D615/D612)*AG90</f>
        <v>39748.350023550614</v>
      </c>
      <c r="E698" s="258">
        <f>(E623/E612)*SUM(C698:D698)</f>
        <v>632799.38552301005</v>
      </c>
      <c r="F698" s="258">
        <f>(F624/F612)*AG64</f>
        <v>0</v>
      </c>
      <c r="G698" s="256">
        <f>(G625/G612)*AG91</f>
        <v>0</v>
      </c>
      <c r="H698" s="258">
        <f>(H628/H612)*AG60</f>
        <v>87007.005291809663</v>
      </c>
      <c r="I698" s="256">
        <f>(I629/I612)*AG92</f>
        <v>0</v>
      </c>
      <c r="J698" s="256">
        <f>(J630/J612)*AG93</f>
        <v>49191.990314024377</v>
      </c>
      <c r="K698" s="256">
        <f>(K644/K612)*AG89</f>
        <v>1217369.0982154189</v>
      </c>
      <c r="L698" s="256">
        <f>(L647/L612)*AG94</f>
        <v>275406.58299512649</v>
      </c>
      <c r="M698" s="231">
        <f t="shared" si="18"/>
        <v>2301522</v>
      </c>
      <c r="N698" s="250" t="s">
        <v>641</v>
      </c>
    </row>
    <row r="699" spans="1:14" s="231" customFormat="1" ht="12.6" customHeight="1" x14ac:dyDescent="0.2">
      <c r="A699" s="251">
        <v>7240</v>
      </c>
      <c r="B699" s="250" t="s">
        <v>131</v>
      </c>
      <c r="C699" s="256">
        <f>AH85</f>
        <v>1232356</v>
      </c>
      <c r="D699" s="256">
        <f>(D615/D612)*AH90</f>
        <v>7638.3877454895455</v>
      </c>
      <c r="E699" s="258">
        <f>(E623/E612)*SUM(C699:D699)</f>
        <v>134737.44680227863</v>
      </c>
      <c r="F699" s="258">
        <f>(F624/F612)*AH64</f>
        <v>0</v>
      </c>
      <c r="G699" s="256">
        <f>(G625/G612)*AH91</f>
        <v>0</v>
      </c>
      <c r="H699" s="258">
        <f>(H628/H612)*AH60</f>
        <v>66530.451536925728</v>
      </c>
      <c r="I699" s="256">
        <f>(I629/I612)*AH92</f>
        <v>0</v>
      </c>
      <c r="J699" s="256">
        <f>(J630/J612)*AH93</f>
        <v>2629.1202309277019</v>
      </c>
      <c r="K699" s="256">
        <f>(K644/K612)*AH89</f>
        <v>79092.229160909745</v>
      </c>
      <c r="L699" s="256">
        <f>(L647/L612)*AH94</f>
        <v>0</v>
      </c>
      <c r="M699" s="231">
        <f t="shared" si="18"/>
        <v>290628</v>
      </c>
      <c r="N699" s="250" t="s">
        <v>642</v>
      </c>
    </row>
    <row r="700" spans="1:14" s="231" customFormat="1" ht="12.6" customHeight="1" x14ac:dyDescent="0.2">
      <c r="A700" s="251">
        <v>7250</v>
      </c>
      <c r="B700" s="250" t="s">
        <v>643</v>
      </c>
      <c r="C700" s="256">
        <f>AI85</f>
        <v>630161</v>
      </c>
      <c r="D700" s="256">
        <f>(D615/D612)*AI90</f>
        <v>7674.3049292457654</v>
      </c>
      <c r="E700" s="258">
        <f>(E623/E612)*SUM(C700:D700)</f>
        <v>69307.007608939894</v>
      </c>
      <c r="F700" s="258">
        <f>(F624/F612)*AI64</f>
        <v>0</v>
      </c>
      <c r="G700" s="256">
        <f>(G625/G612)*AI91</f>
        <v>0</v>
      </c>
      <c r="H700" s="258">
        <f>(H628/H612)*AI60</f>
        <v>10311.669543230077</v>
      </c>
      <c r="I700" s="256">
        <f>(I629/I612)*AI92</f>
        <v>0</v>
      </c>
      <c r="J700" s="256">
        <f>(J630/J612)*AI93</f>
        <v>3294.5148572736016</v>
      </c>
      <c r="K700" s="256">
        <f>(K644/K612)*AI89</f>
        <v>111307.92963245825</v>
      </c>
      <c r="L700" s="256">
        <f>(L647/L612)*AI94</f>
        <v>46137.700759492836</v>
      </c>
      <c r="M700" s="231">
        <f t="shared" si="18"/>
        <v>248033</v>
      </c>
      <c r="N700" s="250" t="s">
        <v>644</v>
      </c>
    </row>
    <row r="701" spans="1:14" s="231" customFormat="1" ht="12.6" customHeight="1" x14ac:dyDescent="0.2">
      <c r="A701" s="251">
        <v>7260</v>
      </c>
      <c r="B701" s="250" t="s">
        <v>133</v>
      </c>
      <c r="C701" s="256">
        <f>AJ85</f>
        <v>18816351</v>
      </c>
      <c r="D701" s="256">
        <f>(D615/D612)*AJ90</f>
        <v>375921.21758718847</v>
      </c>
      <c r="E701" s="258">
        <f>(E623/E612)*SUM(C701:D701)</f>
        <v>2085426.9845798421</v>
      </c>
      <c r="F701" s="258">
        <f>(F624/F612)*AJ64</f>
        <v>0</v>
      </c>
      <c r="G701" s="256">
        <f>(G625/G612)*AJ91</f>
        <v>0</v>
      </c>
      <c r="H701" s="258">
        <f>(H628/H612)*AJ60</f>
        <v>332321.99068858213</v>
      </c>
      <c r="I701" s="256">
        <f>(I629/I612)*AJ92</f>
        <v>0</v>
      </c>
      <c r="J701" s="256">
        <f>(J630/J612)*AJ93</f>
        <v>10618.281875413395</v>
      </c>
      <c r="K701" s="256">
        <f>(K644/K612)*AJ89</f>
        <v>767337.60138724337</v>
      </c>
      <c r="L701" s="256">
        <f>(L647/L612)*AJ94</f>
        <v>255295.27753586034</v>
      </c>
      <c r="M701" s="231">
        <f t="shared" si="18"/>
        <v>3826921</v>
      </c>
      <c r="N701" s="250" t="s">
        <v>645</v>
      </c>
    </row>
    <row r="702" spans="1:14" s="231" customFormat="1" ht="12.6" customHeight="1" x14ac:dyDescent="0.2">
      <c r="A702" s="251">
        <v>7310</v>
      </c>
      <c r="B702" s="250" t="s">
        <v>646</v>
      </c>
      <c r="C702" s="256">
        <f>AK85</f>
        <v>255114</v>
      </c>
      <c r="D702" s="256">
        <f>(D615/D612)*AK90</f>
        <v>6141.8384223136936</v>
      </c>
      <c r="E702" s="258">
        <f>(E623/E612)*SUM(C702:D702)</f>
        <v>28387.987057919032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26064.463764008502</v>
      </c>
      <c r="L702" s="256">
        <f>(L647/L612)*AK94</f>
        <v>0</v>
      </c>
      <c r="M702" s="231">
        <f t="shared" si="18"/>
        <v>60594</v>
      </c>
      <c r="N702" s="250" t="s">
        <v>647</v>
      </c>
    </row>
    <row r="703" spans="1:14" s="231" customFormat="1" ht="12.6" customHeight="1" x14ac:dyDescent="0.2">
      <c r="A703" s="251">
        <v>7320</v>
      </c>
      <c r="B703" s="250" t="s">
        <v>648</v>
      </c>
      <c r="C703" s="256">
        <f>AL85</f>
        <v>284213</v>
      </c>
      <c r="D703" s="256">
        <f>(D615/D612)*AL90</f>
        <v>3986.8073969404677</v>
      </c>
      <c r="E703" s="258">
        <f>(E623/E612)*SUM(C703:D703)</f>
        <v>31315.711265575817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36351.067674696533</v>
      </c>
      <c r="L703" s="256">
        <f>(L647/L612)*AL94</f>
        <v>0</v>
      </c>
      <c r="M703" s="231">
        <f t="shared" si="18"/>
        <v>71654</v>
      </c>
      <c r="N703" s="250" t="s">
        <v>649</v>
      </c>
    </row>
    <row r="704" spans="1:14" s="231" customFormat="1" ht="12.6" customHeight="1" x14ac:dyDescent="0.2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" customHeight="1" x14ac:dyDescent="0.2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" customHeight="1" x14ac:dyDescent="0.2">
      <c r="A706" s="251">
        <v>7350</v>
      </c>
      <c r="B706" s="250" t="s">
        <v>654</v>
      </c>
      <c r="C706" s="256">
        <f>AO85</f>
        <v>608983</v>
      </c>
      <c r="D706" s="256">
        <f>(D615/D612)*AO90</f>
        <v>13193.578833118305</v>
      </c>
      <c r="E706" s="258">
        <f>(E623/E612)*SUM(C706:D706)</f>
        <v>67605.534767434219</v>
      </c>
      <c r="F706" s="258">
        <f>(F624/F612)*AO64</f>
        <v>0</v>
      </c>
      <c r="G706" s="256">
        <f>(G625/G612)*AO91</f>
        <v>138071.18460133261</v>
      </c>
      <c r="H706" s="258">
        <f>(H628/H612)*AO60</f>
        <v>14788.622156305059</v>
      </c>
      <c r="I706" s="256">
        <f>(I629/I612)*AO92</f>
        <v>53093.626944614785</v>
      </c>
      <c r="J706" s="256">
        <f>(J630/J612)*AO93</f>
        <v>12587.908984441725</v>
      </c>
      <c r="K706" s="256">
        <f>(K644/K612)*AO89</f>
        <v>76052.884136362685</v>
      </c>
      <c r="L706" s="256">
        <f>(L647/L612)*AO94</f>
        <v>47605.231397122276</v>
      </c>
      <c r="M706" s="231">
        <f t="shared" si="18"/>
        <v>422999</v>
      </c>
      <c r="N706" s="250" t="s">
        <v>655</v>
      </c>
    </row>
    <row r="707" spans="1:14" s="231" customFormat="1" ht="12.6" customHeight="1" x14ac:dyDescent="0.2">
      <c r="A707" s="251">
        <v>7380</v>
      </c>
      <c r="B707" s="250" t="s">
        <v>656</v>
      </c>
      <c r="C707" s="256">
        <f>AP85</f>
        <v>935770</v>
      </c>
      <c r="D707" s="256">
        <f>(D615/D612)*AP90</f>
        <v>28673.885032049311</v>
      </c>
      <c r="E707" s="258">
        <f>(E623/E612)*SUM(C707:D707)</f>
        <v>104796.20548085932</v>
      </c>
      <c r="F707" s="258">
        <f>(F624/F612)*AP64</f>
        <v>0</v>
      </c>
      <c r="G707" s="256">
        <f>(G625/G612)*AP91</f>
        <v>0</v>
      </c>
      <c r="H707" s="258">
        <f>(H628/H612)*AP60</f>
        <v>11229.077865581508</v>
      </c>
      <c r="I707" s="256">
        <f>(I629/I612)*AP92</f>
        <v>0</v>
      </c>
      <c r="J707" s="256">
        <f>(J630/J612)*AP93</f>
        <v>0</v>
      </c>
      <c r="K707" s="256">
        <f>(K644/K612)*AP89</f>
        <v>40652.606875553858</v>
      </c>
      <c r="L707" s="256">
        <f>(L647/L612)*AP94</f>
        <v>0</v>
      </c>
      <c r="M707" s="231">
        <f t="shared" si="18"/>
        <v>185352</v>
      </c>
      <c r="N707" s="250" t="s">
        <v>657</v>
      </c>
    </row>
    <row r="708" spans="1:14" s="231" customFormat="1" ht="12.6" customHeight="1" x14ac:dyDescent="0.2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" customHeight="1" x14ac:dyDescent="0.2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" customHeight="1" x14ac:dyDescent="0.2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" customHeight="1" x14ac:dyDescent="0.2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" customHeight="1" x14ac:dyDescent="0.2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" customHeight="1" x14ac:dyDescent="0.2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>
        <f>(G625/G612)*AV91</f>
        <v>0</v>
      </c>
      <c r="H713" s="258">
        <f>(H628/H612)*AV60</f>
        <v>0</v>
      </c>
      <c r="I713" s="256">
        <f>(I629/I612)*AV92</f>
        <v>0</v>
      </c>
      <c r="J713" s="256">
        <f>(J630/J612)*AV93</f>
        <v>0</v>
      </c>
      <c r="K713" s="256">
        <f>(K644/K612)*AV89</f>
        <v>0</v>
      </c>
      <c r="L713" s="256">
        <f>(L647/L612)*AV94</f>
        <v>0</v>
      </c>
      <c r="M713" s="231">
        <f t="shared" si="18"/>
        <v>0</v>
      </c>
      <c r="N713" s="252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3">
        <f>SUM(C614:C647)+SUM(C668:C713)</f>
        <v>82190142</v>
      </c>
      <c r="D715" s="231">
        <f>SUM(D616:D647)+SUM(D668:D713)</f>
        <v>1169248</v>
      </c>
      <c r="E715" s="231">
        <f>SUM(E624:E647)+SUM(E668:E713)</f>
        <v>8055454.6036534179</v>
      </c>
      <c r="F715" s="231">
        <f>SUM(F625:F648)+SUM(F668:F713)</f>
        <v>0</v>
      </c>
      <c r="G715" s="231">
        <f>SUM(G626:G647)+SUM(G668:G713)</f>
        <v>1050753.7298497439</v>
      </c>
      <c r="H715" s="231">
        <f>SUM(H629:H647)+SUM(H668:H713)</f>
        <v>1311049.8853059821</v>
      </c>
      <c r="I715" s="231">
        <f>SUM(I630:I647)+SUM(I668:I713)</f>
        <v>738864.51289919601</v>
      </c>
      <c r="J715" s="231">
        <f>SUM(J631:J647)+SUM(J668:J713)</f>
        <v>266556.20208850055</v>
      </c>
      <c r="K715" s="231">
        <f>SUM(K668:K713)</f>
        <v>8840712.0076811202</v>
      </c>
      <c r="L715" s="231">
        <f>SUM(L668:L713)</f>
        <v>1912703.4509730262</v>
      </c>
      <c r="M715" s="231">
        <f>SUM(M668:M713)</f>
        <v>21415500</v>
      </c>
      <c r="N715" s="250" t="s">
        <v>669</v>
      </c>
    </row>
    <row r="716" spans="1:14" s="231" customFormat="1" ht="12.6" customHeight="1" x14ac:dyDescent="0.2">
      <c r="C716" s="253">
        <f>CE85</f>
        <v>82190142</v>
      </c>
      <c r="D716" s="231">
        <f>D615</f>
        <v>1169248</v>
      </c>
      <c r="E716" s="231">
        <f>E623</f>
        <v>8055454.603653417</v>
      </c>
      <c r="F716" s="231">
        <f>F624</f>
        <v>0</v>
      </c>
      <c r="G716" s="231">
        <f>G625</f>
        <v>1050753.7298497439</v>
      </c>
      <c r="H716" s="231">
        <f>H628</f>
        <v>1311049.8853059821</v>
      </c>
      <c r="I716" s="231">
        <f>I629</f>
        <v>738864.51289919589</v>
      </c>
      <c r="J716" s="231">
        <f>J630</f>
        <v>266556.20208850049</v>
      </c>
      <c r="K716" s="231">
        <f>K644</f>
        <v>8840712.007681122</v>
      </c>
      <c r="L716" s="231">
        <f>L647</f>
        <v>1912703.450973026</v>
      </c>
      <c r="M716" s="231">
        <f>C648</f>
        <v>21415499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4" workbookViewId="0">
      <selection activeCell="C42" sqref="C42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871</v>
      </c>
      <c r="B1" s="183"/>
      <c r="C1" s="183"/>
    </row>
    <row r="2" spans="1:3" ht="20.100000000000001" customHeight="1" x14ac:dyDescent="0.25">
      <c r="A2" s="182"/>
      <c r="B2" s="183"/>
      <c r="C2" s="108" t="s">
        <v>872</v>
      </c>
    </row>
    <row r="3" spans="1:3" ht="20.100000000000001" customHeight="1" x14ac:dyDescent="0.25">
      <c r="A3" s="134" t="str">
        <f>"Hospital: "&amp;data!C98</f>
        <v>Hospital: PHM Medical Center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873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6167333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40530516</v>
      </c>
    </row>
    <row r="9" spans="1:3" ht="20.100000000000001" customHeight="1" x14ac:dyDescent="0.25">
      <c r="A9" s="188">
        <v>5</v>
      </c>
      <c r="B9" s="190" t="s">
        <v>874</v>
      </c>
      <c r="C9" s="190">
        <f>data!C269</f>
        <v>25024000</v>
      </c>
    </row>
    <row r="10" spans="1:3" ht="20.100000000000001" customHeight="1" x14ac:dyDescent="0.25">
      <c r="A10" s="188">
        <v>6</v>
      </c>
      <c r="B10" s="190" t="s">
        <v>875</v>
      </c>
      <c r="C10" s="190">
        <f>data!C270</f>
        <v>0</v>
      </c>
    </row>
    <row r="11" spans="1:3" ht="20.100000000000001" customHeight="1" x14ac:dyDescent="0.25">
      <c r="A11" s="188">
        <v>7</v>
      </c>
      <c r="B11" s="190" t="s">
        <v>876</v>
      </c>
      <c r="C11" s="190">
        <f>data!C271</f>
        <v>158899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652120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1118427</v>
      </c>
    </row>
    <row r="15" spans="1:3" ht="20.100000000000001" customHeight="1" x14ac:dyDescent="0.25">
      <c r="A15" s="188">
        <v>11</v>
      </c>
      <c r="B15" s="190" t="s">
        <v>877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878</v>
      </c>
      <c r="C16" s="190">
        <f>data!D276</f>
        <v>23603295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879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2963331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17462560</v>
      </c>
    </row>
    <row r="22" spans="1:3" ht="20.100000000000001" customHeight="1" x14ac:dyDescent="0.25">
      <c r="A22" s="188">
        <v>18</v>
      </c>
      <c r="B22" s="190" t="s">
        <v>880</v>
      </c>
      <c r="C22" s="190">
        <f>data!D281</f>
        <v>20425891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881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3121782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632699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35824392</v>
      </c>
    </row>
    <row r="28" spans="1:3" ht="20.100000000000001" customHeight="1" x14ac:dyDescent="0.25">
      <c r="A28" s="188">
        <v>24</v>
      </c>
      <c r="B28" s="190" t="s">
        <v>882</v>
      </c>
      <c r="C28" s="190">
        <f>data!C286</f>
        <v>8131488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665178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18016690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0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6104536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883</v>
      </c>
      <c r="C34" s="190">
        <f>data!C292</f>
        <v>35078542</v>
      </c>
    </row>
    <row r="35" spans="1:3" ht="20.100000000000001" customHeight="1" x14ac:dyDescent="0.25">
      <c r="A35" s="188">
        <v>31</v>
      </c>
      <c r="B35" s="190" t="s">
        <v>884</v>
      </c>
      <c r="C35" s="190">
        <f>data!D293</f>
        <v>37418223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885</v>
      </c>
      <c r="C37" s="189"/>
    </row>
    <row r="38" spans="1:3" ht="20.100000000000001" customHeight="1" x14ac:dyDescent="0.25">
      <c r="A38" s="188">
        <v>34</v>
      </c>
      <c r="B38" s="190" t="s">
        <v>886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887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9291641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904491</v>
      </c>
    </row>
    <row r="42" spans="1:3" ht="20.100000000000001" customHeight="1" x14ac:dyDescent="0.25">
      <c r="A42" s="188">
        <v>38</v>
      </c>
      <c r="B42" s="190" t="s">
        <v>888</v>
      </c>
      <c r="C42" s="190">
        <f>data!D299</f>
        <v>10196132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889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890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891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892</v>
      </c>
      <c r="C50" s="190">
        <f>data!D308</f>
        <v>91643541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893</v>
      </c>
      <c r="B53" s="183"/>
      <c r="C53" s="183"/>
    </row>
    <row r="54" spans="1:3" ht="20.100000000000001" customHeight="1" x14ac:dyDescent="0.25">
      <c r="A54" s="182"/>
      <c r="B54" s="183"/>
      <c r="C54" s="108" t="s">
        <v>894</v>
      </c>
    </row>
    <row r="55" spans="1:3" ht="20.100000000000001" customHeight="1" x14ac:dyDescent="0.25">
      <c r="A55" s="134" t="str">
        <f>"Hospital: "&amp;data!C98</f>
        <v>Hospital: PHM Medical Center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895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896</v>
      </c>
      <c r="C59" s="190">
        <f>data!C315</f>
        <v>1903842</v>
      </c>
    </row>
    <row r="60" spans="1:3" ht="20.100000000000001" customHeight="1" x14ac:dyDescent="0.25">
      <c r="A60" s="188">
        <v>4</v>
      </c>
      <c r="B60" s="190" t="s">
        <v>897</v>
      </c>
      <c r="C60" s="190">
        <f>data!C316</f>
        <v>1717570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2061731</v>
      </c>
    </row>
    <row r="62" spans="1:3" ht="20.100000000000001" customHeight="1" x14ac:dyDescent="0.25">
      <c r="A62" s="188">
        <v>6</v>
      </c>
      <c r="B62" s="190" t="s">
        <v>898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899</v>
      </c>
      <c r="C63" s="190">
        <f>data!C319</f>
        <v>2169713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19670</v>
      </c>
    </row>
    <row r="67" spans="1:3" ht="20.100000000000001" customHeight="1" x14ac:dyDescent="0.25">
      <c r="A67" s="188">
        <v>11</v>
      </c>
      <c r="B67" s="190" t="s">
        <v>900</v>
      </c>
      <c r="C67" s="190">
        <f>data!C323</f>
        <v>2050090</v>
      </c>
    </row>
    <row r="68" spans="1:3" ht="20.100000000000001" customHeight="1" x14ac:dyDescent="0.25">
      <c r="A68" s="188">
        <v>12</v>
      </c>
      <c r="B68" s="190" t="s">
        <v>901</v>
      </c>
      <c r="C68" s="190">
        <f>data!D324</f>
        <v>9922616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902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903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208975</v>
      </c>
    </row>
    <row r="74" spans="1:3" ht="20.100000000000001" customHeight="1" x14ac:dyDescent="0.25">
      <c r="A74" s="188">
        <v>18</v>
      </c>
      <c r="B74" s="190" t="s">
        <v>904</v>
      </c>
      <c r="C74" s="190">
        <f>data!D329</f>
        <v>208975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905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8971217</v>
      </c>
    </row>
    <row r="80" spans="1:3" ht="20.100000000000001" customHeight="1" x14ac:dyDescent="0.25">
      <c r="A80" s="188">
        <v>24</v>
      </c>
      <c r="B80" s="190" t="s">
        <v>906</v>
      </c>
      <c r="C80" s="190">
        <f>data!C334</f>
        <v>12577470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907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21548687</v>
      </c>
    </row>
    <row r="86" spans="1:3" ht="20.100000000000001" customHeight="1" x14ac:dyDescent="0.25">
      <c r="A86" s="188">
        <v>30</v>
      </c>
      <c r="B86" s="190" t="s">
        <v>908</v>
      </c>
      <c r="C86" s="190">
        <f>data!D340</f>
        <v>2050090</v>
      </c>
    </row>
    <row r="87" spans="1:3" ht="20.100000000000001" customHeight="1" x14ac:dyDescent="0.25">
      <c r="A87" s="188">
        <v>31</v>
      </c>
      <c r="B87" s="190" t="s">
        <v>909</v>
      </c>
      <c r="C87" s="190">
        <f>data!D341</f>
        <v>19498597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910</v>
      </c>
      <c r="C89" s="190">
        <f>data!C343</f>
        <v>59963263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911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912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913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914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915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916</v>
      </c>
      <c r="C102" s="190">
        <f>data!C343+data!C345+data!C346+data!C347+data!C348-data!C349</f>
        <v>59963263</v>
      </c>
    </row>
    <row r="103" spans="1:3" ht="20.100000000000001" customHeight="1" x14ac:dyDescent="0.25">
      <c r="A103" s="188">
        <v>47</v>
      </c>
      <c r="B103" s="190" t="s">
        <v>917</v>
      </c>
      <c r="C103" s="190">
        <f>data!D352</f>
        <v>91643541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918</v>
      </c>
      <c r="B106" s="183"/>
      <c r="C106" s="183"/>
    </row>
    <row r="107" spans="1:3" ht="20.100000000000001" customHeight="1" x14ac:dyDescent="0.25">
      <c r="A107" s="184"/>
      <c r="C107" s="108" t="s">
        <v>919</v>
      </c>
    </row>
    <row r="108" spans="1:3" ht="20.100000000000001" customHeight="1" x14ac:dyDescent="0.25">
      <c r="A108" s="134" t="str">
        <f>"Hospital: "&amp;data!C98</f>
        <v>Hospital: PHM Medical Center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920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46041273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209382378</v>
      </c>
    </row>
    <row r="113" spans="1:3" ht="20.100000000000001" customHeight="1" x14ac:dyDescent="0.25">
      <c r="A113" s="188">
        <v>4</v>
      </c>
      <c r="B113" s="190" t="s">
        <v>921</v>
      </c>
      <c r="C113" s="190">
        <f>data!D360</f>
        <v>255423651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922</v>
      </c>
      <c r="C115" s="189"/>
    </row>
    <row r="116" spans="1:3" ht="20.100000000000001" customHeight="1" x14ac:dyDescent="0.25">
      <c r="A116" s="188">
        <v>7</v>
      </c>
      <c r="B116" s="202" t="s">
        <v>923</v>
      </c>
      <c r="C116" s="203">
        <f>data!C362</f>
        <v>3523104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153838792</v>
      </c>
    </row>
    <row r="118" spans="1:3" ht="20.100000000000001" customHeight="1" x14ac:dyDescent="0.25">
      <c r="A118" s="188">
        <v>9</v>
      </c>
      <c r="B118" s="190" t="s">
        <v>924</v>
      </c>
      <c r="C118" s="203">
        <f>data!C364</f>
        <v>4347939</v>
      </c>
    </row>
    <row r="119" spans="1:3" ht="20.100000000000001" customHeight="1" x14ac:dyDescent="0.25">
      <c r="A119" s="188">
        <v>10</v>
      </c>
      <c r="B119" s="190" t="s">
        <v>925</v>
      </c>
      <c r="C119" s="203">
        <f>data!C365</f>
        <v>0</v>
      </c>
    </row>
    <row r="120" spans="1:3" ht="20.100000000000001" customHeight="1" x14ac:dyDescent="0.25">
      <c r="A120" s="188">
        <v>11</v>
      </c>
      <c r="B120" s="190" t="s">
        <v>869</v>
      </c>
      <c r="C120" s="203">
        <f>data!D366</f>
        <v>161709835</v>
      </c>
    </row>
    <row r="121" spans="1:3" ht="20.100000000000001" customHeight="1" x14ac:dyDescent="0.25">
      <c r="A121" s="188">
        <v>12</v>
      </c>
      <c r="B121" s="190" t="s">
        <v>926</v>
      </c>
      <c r="C121" s="203">
        <f>data!D367</f>
        <v>93713816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927</v>
      </c>
      <c r="B125" s="206" t="s">
        <v>479</v>
      </c>
      <c r="C125" s="205">
        <f>data!C370</f>
        <v>0</v>
      </c>
    </row>
    <row r="126" spans="1:3" ht="20.100000000000001" customHeight="1" x14ac:dyDescent="0.25">
      <c r="A126" s="209" t="s">
        <v>928</v>
      </c>
      <c r="B126" s="206" t="s">
        <v>480</v>
      </c>
      <c r="C126" s="205">
        <f>data!C371</f>
        <v>47297</v>
      </c>
    </row>
    <row r="127" spans="1:3" ht="20.100000000000001" customHeight="1" x14ac:dyDescent="0.25">
      <c r="A127" s="209" t="s">
        <v>929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930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931</v>
      </c>
      <c r="B129" s="206" t="s">
        <v>483</v>
      </c>
      <c r="C129" s="205">
        <f>data!C374</f>
        <v>0</v>
      </c>
    </row>
    <row r="130" spans="1:3" ht="20.100000000000001" customHeight="1" x14ac:dyDescent="0.25">
      <c r="A130" s="209" t="s">
        <v>932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933</v>
      </c>
      <c r="B131" s="206" t="s">
        <v>485</v>
      </c>
      <c r="C131" s="205">
        <f>data!C376</f>
        <v>0</v>
      </c>
    </row>
    <row r="132" spans="1:3" ht="20.100000000000001" customHeight="1" x14ac:dyDescent="0.25">
      <c r="A132" s="209" t="s">
        <v>934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935</v>
      </c>
      <c r="B133" s="206" t="s">
        <v>487</v>
      </c>
      <c r="C133" s="205">
        <f>data!C378</f>
        <v>0</v>
      </c>
    </row>
    <row r="134" spans="1:3" ht="20.100000000000001" customHeight="1" x14ac:dyDescent="0.25">
      <c r="A134" s="209" t="s">
        <v>936</v>
      </c>
      <c r="B134" s="206" t="s">
        <v>488</v>
      </c>
      <c r="C134" s="205">
        <f>data!C379</f>
        <v>0</v>
      </c>
    </row>
    <row r="135" spans="1:3" ht="20.100000000000001" customHeight="1" x14ac:dyDescent="0.25">
      <c r="A135" s="209" t="s">
        <v>937</v>
      </c>
      <c r="B135" s="206" t="s">
        <v>489</v>
      </c>
      <c r="C135" s="205">
        <f>data!C380</f>
        <v>236087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data!C382</f>
        <v>0</v>
      </c>
    </row>
    <row r="137" spans="1:3" ht="20.100000000000001" customHeight="1" x14ac:dyDescent="0.25">
      <c r="A137" s="188">
        <v>17</v>
      </c>
      <c r="B137" s="190" t="s">
        <v>938</v>
      </c>
      <c r="C137" s="203">
        <f>data!D383</f>
        <v>283384</v>
      </c>
    </row>
    <row r="138" spans="1:3" ht="20.100000000000001" customHeight="1" x14ac:dyDescent="0.25">
      <c r="A138" s="188">
        <v>18</v>
      </c>
      <c r="B138" s="190" t="s">
        <v>939</v>
      </c>
      <c r="C138" s="203">
        <f>data!D384</f>
        <v>93997200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940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38133043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8338244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10135773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13695284</v>
      </c>
    </row>
    <row r="145" spans="1:3" ht="20.100000000000001" customHeight="1" x14ac:dyDescent="0.25">
      <c r="A145" s="188">
        <v>25</v>
      </c>
      <c r="B145" s="190" t="s">
        <v>941</v>
      </c>
      <c r="C145" s="203">
        <f>data!C393</f>
        <v>567788</v>
      </c>
    </row>
    <row r="146" spans="1:3" ht="20.100000000000001" customHeight="1" x14ac:dyDescent="0.25">
      <c r="A146" s="188">
        <v>26</v>
      </c>
      <c r="B146" s="190" t="s">
        <v>942</v>
      </c>
      <c r="C146" s="203">
        <f>data!C394</f>
        <v>4915690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3813148</v>
      </c>
    </row>
    <row r="148" spans="1:3" ht="20.100000000000001" customHeight="1" x14ac:dyDescent="0.25">
      <c r="A148" s="188">
        <v>28</v>
      </c>
      <c r="B148" s="190" t="s">
        <v>943</v>
      </c>
      <c r="C148" s="203">
        <f>data!C396</f>
        <v>780737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630617</v>
      </c>
    </row>
    <row r="150" spans="1:3" ht="20.100000000000001" customHeight="1" x14ac:dyDescent="0.25">
      <c r="A150" s="188">
        <v>30</v>
      </c>
      <c r="B150" s="190" t="s">
        <v>944</v>
      </c>
      <c r="C150" s="203">
        <f>data!C398</f>
        <v>625527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1317896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945</v>
      </c>
      <c r="B153" s="207" t="s">
        <v>255</v>
      </c>
      <c r="C153" s="203">
        <f>data!C401</f>
        <v>0</v>
      </c>
    </row>
    <row r="154" spans="1:3" ht="20.100000000000001" customHeight="1" x14ac:dyDescent="0.25">
      <c r="A154" s="209" t="s">
        <v>946</v>
      </c>
      <c r="B154" s="207" t="s">
        <v>256</v>
      </c>
      <c r="C154" s="203">
        <f>data!C402</f>
        <v>0</v>
      </c>
    </row>
    <row r="155" spans="1:3" ht="20.100000000000001" customHeight="1" x14ac:dyDescent="0.25">
      <c r="A155" s="209" t="s">
        <v>947</v>
      </c>
      <c r="B155" s="207" t="s">
        <v>948</v>
      </c>
      <c r="C155" s="203">
        <f>data!C403</f>
        <v>177151</v>
      </c>
    </row>
    <row r="156" spans="1:3" ht="20.100000000000001" customHeight="1" x14ac:dyDescent="0.25">
      <c r="A156" s="209" t="s">
        <v>949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950</v>
      </c>
      <c r="B157" s="207" t="s">
        <v>259</v>
      </c>
      <c r="C157" s="203">
        <f>data!C405</f>
        <v>3005</v>
      </c>
    </row>
    <row r="158" spans="1:3" ht="20.100000000000001" customHeight="1" x14ac:dyDescent="0.25">
      <c r="A158" s="209" t="s">
        <v>951</v>
      </c>
      <c r="B158" s="207" t="s">
        <v>260</v>
      </c>
      <c r="C158" s="203">
        <f>data!C406</f>
        <v>0</v>
      </c>
    </row>
    <row r="159" spans="1:3" ht="20.100000000000001" customHeight="1" x14ac:dyDescent="0.25">
      <c r="A159" s="209" t="s">
        <v>952</v>
      </c>
      <c r="B159" s="207" t="s">
        <v>261</v>
      </c>
      <c r="C159" s="203">
        <f>data!C407</f>
        <v>0</v>
      </c>
    </row>
    <row r="160" spans="1:3" ht="20.100000000000001" customHeight="1" x14ac:dyDescent="0.25">
      <c r="A160" s="209" t="s">
        <v>953</v>
      </c>
      <c r="B160" s="207" t="s">
        <v>262</v>
      </c>
      <c r="C160" s="203">
        <f>data!C408</f>
        <v>657824</v>
      </c>
    </row>
    <row r="161" spans="1:3" ht="20.100000000000001" customHeight="1" x14ac:dyDescent="0.25">
      <c r="A161" s="209" t="s">
        <v>954</v>
      </c>
      <c r="B161" s="207" t="s">
        <v>263</v>
      </c>
      <c r="C161" s="203">
        <f>data!C409</f>
        <v>0</v>
      </c>
    </row>
    <row r="162" spans="1:3" ht="20.100000000000001" customHeight="1" x14ac:dyDescent="0.25">
      <c r="A162" s="209" t="s">
        <v>955</v>
      </c>
      <c r="B162" s="207" t="s">
        <v>264</v>
      </c>
      <c r="C162" s="203">
        <f>data!C410</f>
        <v>316715</v>
      </c>
    </row>
    <row r="163" spans="1:3" ht="20.100000000000001" customHeight="1" x14ac:dyDescent="0.25">
      <c r="A163" s="209" t="s">
        <v>956</v>
      </c>
      <c r="B163" s="207" t="s">
        <v>265</v>
      </c>
      <c r="C163" s="203">
        <f>data!C411</f>
        <v>311816</v>
      </c>
    </row>
    <row r="164" spans="1:3" ht="20.100000000000001" customHeight="1" x14ac:dyDescent="0.25">
      <c r="A164" s="209" t="s">
        <v>957</v>
      </c>
      <c r="B164" s="207" t="s">
        <v>266</v>
      </c>
      <c r="C164" s="203">
        <f>data!C412</f>
        <v>0</v>
      </c>
    </row>
    <row r="165" spans="1:3" ht="20.100000000000001" customHeight="1" x14ac:dyDescent="0.25">
      <c r="A165" s="209" t="s">
        <v>958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959</v>
      </c>
      <c r="B166" s="207" t="s">
        <v>960</v>
      </c>
      <c r="C166" s="203">
        <f>data!C414</f>
        <v>576781</v>
      </c>
    </row>
    <row r="167" spans="1:3" ht="20.100000000000001" customHeight="1" x14ac:dyDescent="0.25">
      <c r="A167" s="188">
        <v>34</v>
      </c>
      <c r="B167" s="190" t="s">
        <v>961</v>
      </c>
      <c r="C167" s="203">
        <f>data!D416</f>
        <v>84997039</v>
      </c>
    </row>
    <row r="168" spans="1:3" ht="20.100000000000001" customHeight="1" x14ac:dyDescent="0.25">
      <c r="A168" s="188">
        <v>35</v>
      </c>
      <c r="B168" s="190" t="s">
        <v>962</v>
      </c>
      <c r="C168" s="203">
        <f>data!D417</f>
        <v>9000161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963</v>
      </c>
      <c r="C170" s="203">
        <f>data!D420</f>
        <v>1898007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964</v>
      </c>
      <c r="C172" s="190">
        <f>data!D421</f>
        <v>10898168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965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966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967</v>
      </c>
      <c r="C177" s="203">
        <f>data!D424</f>
        <v>10898168</v>
      </c>
    </row>
    <row r="178" spans="1:3" ht="20.100000000000001" customHeight="1" x14ac:dyDescent="0.25">
      <c r="A178" s="193">
        <v>45</v>
      </c>
      <c r="B178" s="192" t="s">
        <v>968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7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357" zoomScale="65" workbookViewId="0">
      <selection activeCell="C42" sqref="C42"/>
    </sheetView>
  </sheetViews>
  <sheetFormatPr defaultColWidth="8.88671875" defaultRowHeight="20.100000000000001" customHeight="1" x14ac:dyDescent="0.2"/>
  <cols>
    <col min="1" max="1" width="5.77734375" style="282" customWidth="1"/>
    <col min="2" max="2" width="22.44140625" style="282" customWidth="1"/>
    <col min="3" max="8" width="13.77734375" style="282" customWidth="1"/>
    <col min="9" max="9" width="15.77734375" style="282" customWidth="1"/>
    <col min="10" max="10" width="8.88671875" style="282" customWidth="1"/>
    <col min="11" max="16384" width="8.88671875" style="282"/>
  </cols>
  <sheetData>
    <row r="1" spans="1:9" ht="20.100000000000001" customHeight="1" x14ac:dyDescent="0.2">
      <c r="A1" s="280" t="s">
        <v>969</v>
      </c>
      <c r="B1" s="281"/>
      <c r="C1" s="281"/>
      <c r="D1" s="281"/>
      <c r="E1" s="281"/>
      <c r="F1" s="281"/>
      <c r="G1" s="281"/>
      <c r="H1" s="281"/>
    </row>
    <row r="2" spans="1:9" ht="20.100000000000001" customHeight="1" x14ac:dyDescent="0.2">
      <c r="A2" s="283"/>
      <c r="I2" s="284" t="s">
        <v>970</v>
      </c>
    </row>
    <row r="3" spans="1:9" ht="20.100000000000001" customHeight="1" x14ac:dyDescent="0.2">
      <c r="A3" s="283"/>
      <c r="I3" s="283"/>
    </row>
    <row r="4" spans="1:9" ht="20.100000000000001" customHeight="1" x14ac:dyDescent="0.2">
      <c r="A4" s="285" t="str">
        <f>"Hospital: "&amp;data!C98</f>
        <v>Hospital: PHM Medical Center</v>
      </c>
      <c r="G4" s="286"/>
      <c r="H4" s="285" t="str">
        <f>"FYE: "&amp;data!C96</f>
        <v>FYE: 12/31/2022</v>
      </c>
    </row>
    <row r="5" spans="1:9" ht="20.100000000000001" customHeight="1" x14ac:dyDescent="0.2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00000000000001" customHeight="1" x14ac:dyDescent="0.2">
      <c r="A6" s="290">
        <v>2</v>
      </c>
      <c r="B6" s="291" t="s">
        <v>971</v>
      </c>
      <c r="C6" s="292" t="s">
        <v>103</v>
      </c>
      <c r="D6" s="293" t="s">
        <v>972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00000000000001" customHeight="1" x14ac:dyDescent="0.2">
      <c r="A7" s="290"/>
      <c r="B7" s="291"/>
      <c r="C7" s="293" t="s">
        <v>175</v>
      </c>
      <c r="D7" s="293" t="s">
        <v>973</v>
      </c>
      <c r="E7" s="293" t="s">
        <v>175</v>
      </c>
      <c r="F7" s="293" t="s">
        <v>974</v>
      </c>
      <c r="G7" s="293" t="s">
        <v>177</v>
      </c>
      <c r="H7" s="293" t="s">
        <v>175</v>
      </c>
      <c r="I7" s="293" t="s">
        <v>178</v>
      </c>
    </row>
    <row r="8" spans="1:9" ht="20.100000000000001" customHeight="1" x14ac:dyDescent="0.2">
      <c r="A8" s="279">
        <v>3</v>
      </c>
      <c r="B8" s="287" t="s">
        <v>975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00000000000001" customHeight="1" x14ac:dyDescent="0.2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3476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00000000000001" customHeight="1" x14ac:dyDescent="0.2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16.36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00000000000001" customHeight="1" x14ac:dyDescent="0.2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978288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00000000000001" customHeight="1" x14ac:dyDescent="0.2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213914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00000000000001" customHeight="1" x14ac:dyDescent="0.2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1313642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00000000000001" customHeight="1" x14ac:dyDescent="0.2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164263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00000000000001" customHeight="1" x14ac:dyDescent="0.2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00000000000001" customHeight="1" x14ac:dyDescent="0.2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31354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00000000000001" customHeight="1" x14ac:dyDescent="0.2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197790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00000000000001" customHeight="1" x14ac:dyDescent="0.2">
      <c r="A18" s="279">
        <v>13</v>
      </c>
      <c r="B18" s="287" t="s">
        <v>976</v>
      </c>
      <c r="C18" s="287">
        <f>data!C68</f>
        <v>0</v>
      </c>
      <c r="D18" s="287">
        <f>data!D68</f>
        <v>0</v>
      </c>
      <c r="E18" s="287">
        <f>data!E68</f>
        <v>49658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00000000000001" customHeight="1" x14ac:dyDescent="0.2">
      <c r="A19" s="279">
        <v>14</v>
      </c>
      <c r="B19" s="287" t="s">
        <v>977</v>
      </c>
      <c r="C19" s="287">
        <f>data!C69</f>
        <v>0</v>
      </c>
      <c r="D19" s="287">
        <f>data!D69</f>
        <v>0</v>
      </c>
      <c r="E19" s="287">
        <f>data!E69</f>
        <v>28484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00000000000001" customHeight="1" x14ac:dyDescent="0.2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00000000000001" customHeight="1" x14ac:dyDescent="0.2">
      <c r="A21" s="279">
        <v>16</v>
      </c>
      <c r="B21" s="295" t="s">
        <v>978</v>
      </c>
      <c r="C21" s="287">
        <f>data!C85</f>
        <v>0</v>
      </c>
      <c r="D21" s="287">
        <f>data!D85</f>
        <v>0</v>
      </c>
      <c r="E21" s="287">
        <f>data!E85</f>
        <v>2977393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00000000000001" customHeight="1" x14ac:dyDescent="0.2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00000000000001" customHeight="1" x14ac:dyDescent="0.2">
      <c r="A23" s="279">
        <v>18</v>
      </c>
      <c r="B23" s="287" t="s">
        <v>979</v>
      </c>
      <c r="C23" s="295">
        <f>+data!M668</f>
        <v>0</v>
      </c>
      <c r="D23" s="295">
        <f>+data!M669</f>
        <v>0</v>
      </c>
      <c r="E23" s="295">
        <f>+data!M670</f>
        <v>2100071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00000000000001" customHeight="1" x14ac:dyDescent="0.2">
      <c r="A24" s="279">
        <v>19</v>
      </c>
      <c r="B24" s="295" t="s">
        <v>980</v>
      </c>
      <c r="C24" s="287">
        <f>data!C87</f>
        <v>0</v>
      </c>
      <c r="D24" s="287">
        <f>data!D87</f>
        <v>0</v>
      </c>
      <c r="E24" s="287">
        <f>data!E87</f>
        <v>8461944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00000000000001" customHeight="1" x14ac:dyDescent="0.2">
      <c r="A25" s="279">
        <v>20</v>
      </c>
      <c r="B25" s="295" t="s">
        <v>981</v>
      </c>
      <c r="C25" s="287">
        <f>data!C88</f>
        <v>0</v>
      </c>
      <c r="D25" s="287">
        <f>data!D88</f>
        <v>0</v>
      </c>
      <c r="E25" s="287">
        <f>data!E88</f>
        <v>2280413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2">
      <c r="A26" s="279">
        <v>21</v>
      </c>
      <c r="B26" s="295" t="s">
        <v>982</v>
      </c>
      <c r="C26" s="287">
        <f>data!C89</f>
        <v>0</v>
      </c>
      <c r="D26" s="287">
        <f>data!D89</f>
        <v>0</v>
      </c>
      <c r="E26" s="287">
        <f>data!E89</f>
        <v>10742357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00000000000001" customHeight="1" x14ac:dyDescent="0.2">
      <c r="A27" s="279" t="s">
        <v>983</v>
      </c>
      <c r="B27" s="287"/>
      <c r="C27" s="297"/>
      <c r="D27" s="297"/>
      <c r="E27" s="297"/>
      <c r="F27" s="297"/>
      <c r="G27" s="297"/>
      <c r="H27" s="297"/>
      <c r="I27" s="297"/>
    </row>
    <row r="28" spans="1:9" ht="20.100000000000001" customHeight="1" x14ac:dyDescent="0.2">
      <c r="A28" s="279">
        <v>22</v>
      </c>
      <c r="B28" s="287" t="s">
        <v>984</v>
      </c>
      <c r="C28" s="287">
        <f>data!C90</f>
        <v>0</v>
      </c>
      <c r="D28" s="287">
        <f>data!D90</f>
        <v>0</v>
      </c>
      <c r="E28" s="287">
        <f>data!E90</f>
        <v>5391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00000000000001" customHeight="1" x14ac:dyDescent="0.2">
      <c r="A29" s="279">
        <v>23</v>
      </c>
      <c r="B29" s="287" t="s">
        <v>985</v>
      </c>
      <c r="C29" s="287">
        <f>data!C91</f>
        <v>0</v>
      </c>
      <c r="D29" s="287">
        <f>data!D91</f>
        <v>0</v>
      </c>
      <c r="E29" s="287">
        <f>data!E91</f>
        <v>13283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00000000000001" customHeight="1" x14ac:dyDescent="0.2">
      <c r="A30" s="279">
        <v>24</v>
      </c>
      <c r="B30" s="287" t="s">
        <v>986</v>
      </c>
      <c r="C30" s="287">
        <f>data!C92</f>
        <v>0</v>
      </c>
      <c r="D30" s="287">
        <f>data!D92</f>
        <v>0</v>
      </c>
      <c r="E30" s="287">
        <f>data!E92</f>
        <v>996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00000000000001" customHeight="1" x14ac:dyDescent="0.2">
      <c r="A31" s="279">
        <v>25</v>
      </c>
      <c r="B31" s="287" t="s">
        <v>987</v>
      </c>
      <c r="C31" s="287">
        <f>data!C93</f>
        <v>0</v>
      </c>
      <c r="D31" s="287">
        <f>data!D93</f>
        <v>0</v>
      </c>
      <c r="E31" s="287">
        <f>data!E93</f>
        <v>41713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00000000000001" customHeight="1" x14ac:dyDescent="0.2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11.668987566607459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00000000000001" customHeight="1" x14ac:dyDescent="0.2">
      <c r="A33" s="280" t="s">
        <v>969</v>
      </c>
      <c r="B33" s="281"/>
      <c r="C33" s="281"/>
      <c r="D33" s="281"/>
      <c r="E33" s="281"/>
      <c r="F33" s="281"/>
      <c r="G33" s="281"/>
      <c r="H33" s="281"/>
      <c r="I33" s="280"/>
    </row>
    <row r="34" spans="1:9" ht="20.100000000000001" customHeight="1" x14ac:dyDescent="0.2">
      <c r="A34" s="283"/>
      <c r="I34" s="284" t="s">
        <v>988</v>
      </c>
    </row>
    <row r="35" spans="1:9" ht="20.100000000000001" customHeight="1" x14ac:dyDescent="0.2">
      <c r="A35" s="283"/>
      <c r="I35" s="283"/>
    </row>
    <row r="36" spans="1:9" ht="20.100000000000001" customHeight="1" x14ac:dyDescent="0.2">
      <c r="A36" s="285" t="str">
        <f>"Hospital: "&amp;data!C98</f>
        <v>Hospital: PHM Medical Center</v>
      </c>
      <c r="G36" s="286"/>
      <c r="H36" s="285" t="str">
        <f>"FYE: "&amp;data!C96</f>
        <v>FYE: 12/31/2022</v>
      </c>
    </row>
    <row r="37" spans="1:9" ht="20.100000000000001" customHeight="1" x14ac:dyDescent="0.2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00000000000001" customHeight="1" x14ac:dyDescent="0.2">
      <c r="A38" s="290">
        <v>2</v>
      </c>
      <c r="B38" s="291" t="s">
        <v>971</v>
      </c>
      <c r="C38" s="293"/>
      <c r="D38" s="293" t="s">
        <v>111</v>
      </c>
      <c r="E38" s="293" t="s">
        <v>112</v>
      </c>
      <c r="F38" s="293" t="s">
        <v>989</v>
      </c>
      <c r="G38" s="293" t="s">
        <v>114</v>
      </c>
      <c r="H38" s="293" t="s">
        <v>990</v>
      </c>
      <c r="I38" s="293" t="s">
        <v>116</v>
      </c>
    </row>
    <row r="39" spans="1:9" ht="20.100000000000001" customHeight="1" x14ac:dyDescent="0.2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00000000000001" customHeight="1" x14ac:dyDescent="0.2">
      <c r="A40" s="279">
        <v>3</v>
      </c>
      <c r="B40" s="287" t="s">
        <v>975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00000000000001" customHeight="1" x14ac:dyDescent="0.2">
      <c r="A41" s="279">
        <v>4</v>
      </c>
      <c r="B41" s="287" t="s">
        <v>246</v>
      </c>
      <c r="C41" s="287">
        <f>data!J59</f>
        <v>782</v>
      </c>
      <c r="D41" s="287">
        <f>data!K59</f>
        <v>0</v>
      </c>
      <c r="E41" s="287">
        <f>data!L59</f>
        <v>1224</v>
      </c>
      <c r="F41" s="287">
        <f>data!M59</f>
        <v>0</v>
      </c>
      <c r="G41" s="287">
        <f>data!N59</f>
        <v>0</v>
      </c>
      <c r="H41" s="287">
        <f>data!O59</f>
        <v>782</v>
      </c>
      <c r="I41" s="287">
        <f>data!P59</f>
        <v>207711</v>
      </c>
    </row>
    <row r="42" spans="1:9" ht="20.100000000000001" customHeight="1" x14ac:dyDescent="0.2">
      <c r="A42" s="279">
        <v>5</v>
      </c>
      <c r="B42" s="287" t="s">
        <v>247</v>
      </c>
      <c r="C42" s="294">
        <f>data!J60</f>
        <v>3</v>
      </c>
      <c r="D42" s="294">
        <f>data!K60</f>
        <v>0</v>
      </c>
      <c r="E42" s="294">
        <f>data!L60</f>
        <v>5.76</v>
      </c>
      <c r="F42" s="294">
        <f>data!M60</f>
        <v>0</v>
      </c>
      <c r="G42" s="294">
        <f>data!N60</f>
        <v>0</v>
      </c>
      <c r="H42" s="294">
        <f>data!O60</f>
        <v>12.98</v>
      </c>
      <c r="I42" s="294">
        <f>data!P60</f>
        <v>38.01</v>
      </c>
    </row>
    <row r="43" spans="1:9" ht="20.100000000000001" customHeight="1" x14ac:dyDescent="0.2">
      <c r="A43" s="279">
        <v>6</v>
      </c>
      <c r="B43" s="287" t="s">
        <v>248</v>
      </c>
      <c r="C43" s="287">
        <f>data!J61</f>
        <v>220087</v>
      </c>
      <c r="D43" s="287">
        <f>data!K61</f>
        <v>0</v>
      </c>
      <c r="E43" s="287">
        <f>data!L61</f>
        <v>344483</v>
      </c>
      <c r="F43" s="287">
        <f>data!M61</f>
        <v>0</v>
      </c>
      <c r="G43" s="287">
        <f>data!N61</f>
        <v>0</v>
      </c>
      <c r="H43" s="287">
        <f>data!O61</f>
        <v>1728713</v>
      </c>
      <c r="I43" s="287">
        <f>data!P61</f>
        <v>2532045</v>
      </c>
    </row>
    <row r="44" spans="1:9" ht="20.100000000000001" customHeight="1" x14ac:dyDescent="0.2">
      <c r="A44" s="279">
        <v>7</v>
      </c>
      <c r="B44" s="287" t="s">
        <v>9</v>
      </c>
      <c r="C44" s="287">
        <f>data!J62</f>
        <v>48125</v>
      </c>
      <c r="D44" s="287">
        <f>data!K62</f>
        <v>0</v>
      </c>
      <c r="E44" s="287">
        <f>data!L62</f>
        <v>75325</v>
      </c>
      <c r="F44" s="287">
        <f>data!M62</f>
        <v>0</v>
      </c>
      <c r="G44" s="287">
        <f>data!N62</f>
        <v>0</v>
      </c>
      <c r="H44" s="287">
        <f>data!O62</f>
        <v>378004</v>
      </c>
      <c r="I44" s="287">
        <f>data!P62</f>
        <v>553662</v>
      </c>
    </row>
    <row r="45" spans="1:9" ht="20.100000000000001" customHeight="1" x14ac:dyDescent="0.2">
      <c r="A45" s="279">
        <v>8</v>
      </c>
      <c r="B45" s="287" t="s">
        <v>249</v>
      </c>
      <c r="C45" s="287">
        <f>data!J63</f>
        <v>295532</v>
      </c>
      <c r="D45" s="287">
        <f>data!K63</f>
        <v>0</v>
      </c>
      <c r="E45" s="287">
        <f>data!L63</f>
        <v>462571</v>
      </c>
      <c r="F45" s="287">
        <f>data!M63</f>
        <v>0</v>
      </c>
      <c r="G45" s="287">
        <f>data!N63</f>
        <v>0</v>
      </c>
      <c r="H45" s="287">
        <f>data!O63</f>
        <v>378237</v>
      </c>
      <c r="I45" s="287">
        <f>data!P63</f>
        <v>78141</v>
      </c>
    </row>
    <row r="46" spans="1:9" ht="20.100000000000001" customHeight="1" x14ac:dyDescent="0.2">
      <c r="A46" s="279">
        <v>9</v>
      </c>
      <c r="B46" s="287" t="s">
        <v>250</v>
      </c>
      <c r="C46" s="287">
        <f>data!J64</f>
        <v>36955</v>
      </c>
      <c r="D46" s="287">
        <f>data!K64</f>
        <v>0</v>
      </c>
      <c r="E46" s="287">
        <f>data!L64</f>
        <v>57842</v>
      </c>
      <c r="F46" s="287">
        <f>data!M64</f>
        <v>0</v>
      </c>
      <c r="G46" s="287">
        <f>data!N64</f>
        <v>0</v>
      </c>
      <c r="H46" s="287">
        <f>data!O64</f>
        <v>235609</v>
      </c>
      <c r="I46" s="287">
        <f>data!P64</f>
        <v>5000559</v>
      </c>
    </row>
    <row r="47" spans="1:9" ht="20.100000000000001" customHeight="1" x14ac:dyDescent="0.2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00000000000001" customHeight="1" x14ac:dyDescent="0.2">
      <c r="A48" s="279">
        <v>11</v>
      </c>
      <c r="B48" s="287" t="s">
        <v>498</v>
      </c>
      <c r="C48" s="287">
        <f>data!J66</f>
        <v>7054</v>
      </c>
      <c r="D48" s="287">
        <f>data!K66</f>
        <v>0</v>
      </c>
      <c r="E48" s="287">
        <f>data!L66</f>
        <v>11041</v>
      </c>
      <c r="F48" s="287">
        <f>data!M66</f>
        <v>0</v>
      </c>
      <c r="G48" s="287">
        <f>data!N66</f>
        <v>0</v>
      </c>
      <c r="H48" s="287">
        <f>data!O66</f>
        <v>9440</v>
      </c>
      <c r="I48" s="287">
        <f>data!P66</f>
        <v>329966</v>
      </c>
    </row>
    <row r="49" spans="1:11" ht="20.100000000000001" customHeight="1" x14ac:dyDescent="0.2">
      <c r="A49" s="279">
        <v>12</v>
      </c>
      <c r="B49" s="287" t="s">
        <v>11</v>
      </c>
      <c r="C49" s="287">
        <f>data!J67</f>
        <v>44504</v>
      </c>
      <c r="D49" s="287">
        <f>data!K67</f>
        <v>0</v>
      </c>
      <c r="E49" s="287">
        <f>data!L67</f>
        <v>69635</v>
      </c>
      <c r="F49" s="287">
        <f>data!M67</f>
        <v>0</v>
      </c>
      <c r="G49" s="287">
        <f>data!N67</f>
        <v>0</v>
      </c>
      <c r="H49" s="287">
        <f>data!O67</f>
        <v>99317</v>
      </c>
      <c r="I49" s="287">
        <f>data!P67</f>
        <v>272965</v>
      </c>
    </row>
    <row r="50" spans="1:11" ht="20.100000000000001" customHeight="1" x14ac:dyDescent="0.2">
      <c r="A50" s="279">
        <v>13</v>
      </c>
      <c r="B50" s="287" t="s">
        <v>976</v>
      </c>
      <c r="C50" s="287">
        <f>data!J68</f>
        <v>11172</v>
      </c>
      <c r="D50" s="287">
        <f>data!K68</f>
        <v>0</v>
      </c>
      <c r="E50" s="287">
        <f>data!L68</f>
        <v>17486</v>
      </c>
      <c r="F50" s="287">
        <f>data!M68</f>
        <v>0</v>
      </c>
      <c r="G50" s="287">
        <f>data!N68</f>
        <v>0</v>
      </c>
      <c r="H50" s="287">
        <f>data!O68</f>
        <v>7498</v>
      </c>
      <c r="I50" s="287">
        <f>data!P68</f>
        <v>68592</v>
      </c>
    </row>
    <row r="51" spans="1:11" ht="20.100000000000001" customHeight="1" x14ac:dyDescent="0.2">
      <c r="A51" s="279">
        <v>14</v>
      </c>
      <c r="B51" s="287" t="s">
        <v>977</v>
      </c>
      <c r="C51" s="287">
        <f>data!J69</f>
        <v>6408</v>
      </c>
      <c r="D51" s="287">
        <f>data!K69</f>
        <v>0</v>
      </c>
      <c r="E51" s="287">
        <f>data!L69</f>
        <v>10030</v>
      </c>
      <c r="F51" s="287">
        <f>data!M69</f>
        <v>0</v>
      </c>
      <c r="G51" s="287">
        <f>data!N69</f>
        <v>0</v>
      </c>
      <c r="H51" s="287">
        <f>data!O69</f>
        <v>14600</v>
      </c>
      <c r="I51" s="287">
        <f>data!P69</f>
        <v>254634</v>
      </c>
    </row>
    <row r="52" spans="1:11" ht="20.100000000000001" customHeight="1" x14ac:dyDescent="0.2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-5200</v>
      </c>
    </row>
    <row r="53" spans="1:11" ht="20.100000000000001" customHeight="1" x14ac:dyDescent="0.2">
      <c r="A53" s="279">
        <v>16</v>
      </c>
      <c r="B53" s="295" t="s">
        <v>978</v>
      </c>
      <c r="C53" s="287">
        <f>data!J85</f>
        <v>669837</v>
      </c>
      <c r="D53" s="287">
        <f>data!K85</f>
        <v>0</v>
      </c>
      <c r="E53" s="287">
        <f>data!L85</f>
        <v>1048413</v>
      </c>
      <c r="F53" s="287">
        <f>data!M85</f>
        <v>0</v>
      </c>
      <c r="G53" s="287">
        <f>data!N85</f>
        <v>0</v>
      </c>
      <c r="H53" s="287">
        <f>data!O85</f>
        <v>2851418</v>
      </c>
      <c r="I53" s="287">
        <f>data!P85</f>
        <v>9085364</v>
      </c>
    </row>
    <row r="54" spans="1:11" ht="20.100000000000001" customHeight="1" x14ac:dyDescent="0.2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00000000000001" customHeight="1" x14ac:dyDescent="0.2">
      <c r="A55" s="279">
        <v>18</v>
      </c>
      <c r="B55" s="287" t="s">
        <v>979</v>
      </c>
      <c r="C55" s="295">
        <f>+data!M675</f>
        <v>326953</v>
      </c>
      <c r="D55" s="295">
        <f>+data!M676</f>
        <v>0</v>
      </c>
      <c r="E55" s="295">
        <f>+data!M677</f>
        <v>739543</v>
      </c>
      <c r="F55" s="295">
        <f>+data!M678</f>
        <v>0</v>
      </c>
      <c r="G55" s="295">
        <f>+data!M679</f>
        <v>0</v>
      </c>
      <c r="H55" s="295">
        <f>+data!M680</f>
        <v>860372</v>
      </c>
      <c r="I55" s="295">
        <f>+data!M681</f>
        <v>3512484</v>
      </c>
    </row>
    <row r="56" spans="1:11" ht="20.100000000000001" customHeight="1" x14ac:dyDescent="0.2">
      <c r="A56" s="279">
        <v>19</v>
      </c>
      <c r="B56" s="295" t="s">
        <v>980</v>
      </c>
      <c r="C56" s="287">
        <f>data!J87</f>
        <v>1903694</v>
      </c>
      <c r="D56" s="287">
        <f>data!K87</f>
        <v>0</v>
      </c>
      <c r="E56" s="287">
        <f>data!L87</f>
        <v>2979695</v>
      </c>
      <c r="F56" s="287">
        <f>data!M87</f>
        <v>0</v>
      </c>
      <c r="G56" s="287">
        <f>data!N87</f>
        <v>0</v>
      </c>
      <c r="H56" s="287">
        <f>data!O87</f>
        <v>3386971</v>
      </c>
      <c r="I56" s="287">
        <f>data!P87</f>
        <v>6637007</v>
      </c>
    </row>
    <row r="57" spans="1:11" ht="20.100000000000001" customHeight="1" x14ac:dyDescent="0.2">
      <c r="A57" s="279">
        <v>20</v>
      </c>
      <c r="B57" s="295" t="s">
        <v>981</v>
      </c>
      <c r="C57" s="287">
        <f>data!J88</f>
        <v>513027</v>
      </c>
      <c r="D57" s="287">
        <f>data!K88</f>
        <v>0</v>
      </c>
      <c r="E57" s="287">
        <f>data!L88</f>
        <v>802999</v>
      </c>
      <c r="F57" s="287">
        <f>data!M88</f>
        <v>0</v>
      </c>
      <c r="G57" s="287">
        <f>data!N88</f>
        <v>0</v>
      </c>
      <c r="H57" s="287">
        <f>data!O88</f>
        <v>486245</v>
      </c>
      <c r="I57" s="287">
        <f>data!P88</f>
        <v>43064284</v>
      </c>
    </row>
    <row r="58" spans="1:11" ht="20.100000000000001" customHeight="1" x14ac:dyDescent="0.2">
      <c r="A58" s="279">
        <v>21</v>
      </c>
      <c r="B58" s="295" t="s">
        <v>982</v>
      </c>
      <c r="C58" s="287">
        <f>data!J89</f>
        <v>2416721</v>
      </c>
      <c r="D58" s="287">
        <f>data!K89</f>
        <v>0</v>
      </c>
      <c r="E58" s="287">
        <f>data!L89</f>
        <v>3782694</v>
      </c>
      <c r="F58" s="287">
        <f>data!M89</f>
        <v>0</v>
      </c>
      <c r="G58" s="287">
        <f>data!N89</f>
        <v>0</v>
      </c>
      <c r="H58" s="287">
        <f>data!O89</f>
        <v>3873216</v>
      </c>
      <c r="I58" s="287">
        <f>data!P89</f>
        <v>49701291</v>
      </c>
    </row>
    <row r="59" spans="1:11" ht="20.100000000000001" customHeight="1" x14ac:dyDescent="0.2">
      <c r="A59" s="279" t="s">
        <v>983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00000000000001" customHeight="1" x14ac:dyDescent="0.25">
      <c r="A60" s="279">
        <v>22</v>
      </c>
      <c r="B60" s="287" t="s">
        <v>984</v>
      </c>
      <c r="C60" s="287">
        <f>data!J90</f>
        <v>1213</v>
      </c>
      <c r="D60" s="287">
        <f>data!K90</f>
        <v>0</v>
      </c>
      <c r="E60" s="287">
        <f>data!L90</f>
        <v>1898</v>
      </c>
      <c r="F60" s="287">
        <f>data!M90</f>
        <v>0</v>
      </c>
      <c r="G60" s="287">
        <f>data!N90</f>
        <v>0</v>
      </c>
      <c r="H60" s="287">
        <f>data!O90</f>
        <v>2707</v>
      </c>
      <c r="I60" s="287">
        <f>data!P90</f>
        <v>7440</v>
      </c>
      <c r="K60" s="298"/>
    </row>
    <row r="61" spans="1:11" ht="20.100000000000001" customHeight="1" x14ac:dyDescent="0.2">
      <c r="A61" s="279">
        <v>23</v>
      </c>
      <c r="B61" s="287" t="s">
        <v>985</v>
      </c>
      <c r="C61" s="287">
        <f>data!J91</f>
        <v>0</v>
      </c>
      <c r="D61" s="287">
        <f>data!K91</f>
        <v>0</v>
      </c>
      <c r="E61" s="287">
        <f>data!L91</f>
        <v>4677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00000000000001" customHeight="1" x14ac:dyDescent="0.2">
      <c r="A62" s="279">
        <v>24</v>
      </c>
      <c r="B62" s="287" t="s">
        <v>986</v>
      </c>
      <c r="C62" s="287">
        <f>data!J92</f>
        <v>224</v>
      </c>
      <c r="D62" s="287">
        <f>data!K92</f>
        <v>0</v>
      </c>
      <c r="E62" s="287">
        <f>data!L92</f>
        <v>351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00000000000001" customHeight="1" x14ac:dyDescent="0.2">
      <c r="A63" s="279">
        <v>25</v>
      </c>
      <c r="B63" s="287" t="s">
        <v>987</v>
      </c>
      <c r="C63" s="287">
        <f>data!J93</f>
        <v>9384</v>
      </c>
      <c r="D63" s="287">
        <f>data!K93</f>
        <v>0</v>
      </c>
      <c r="E63" s="287">
        <f>data!L93</f>
        <v>14688</v>
      </c>
      <c r="F63" s="287">
        <f>data!M93</f>
        <v>0</v>
      </c>
      <c r="G63" s="287">
        <f>data!N93</f>
        <v>0</v>
      </c>
      <c r="H63" s="287">
        <f>data!O93</f>
        <v>17490</v>
      </c>
      <c r="I63" s="287">
        <f>data!P93</f>
        <v>20281</v>
      </c>
    </row>
    <row r="64" spans="1:11" ht="20.100000000000001" customHeight="1" x14ac:dyDescent="0.2">
      <c r="A64" s="279">
        <v>26</v>
      </c>
      <c r="B64" s="287" t="s">
        <v>279</v>
      </c>
      <c r="C64" s="294">
        <f>data!J94</f>
        <v>3</v>
      </c>
      <c r="D64" s="294">
        <f>data!K94</f>
        <v>0</v>
      </c>
      <c r="E64" s="294">
        <f>data!L94</f>
        <v>4.1089875666074596</v>
      </c>
      <c r="F64" s="294">
        <f>data!M94</f>
        <v>0</v>
      </c>
      <c r="G64" s="294">
        <f>data!N94</f>
        <v>0</v>
      </c>
      <c r="H64" s="294">
        <f>data!O94</f>
        <v>12.98</v>
      </c>
      <c r="I64" s="294">
        <f>data!P94</f>
        <v>22.69</v>
      </c>
    </row>
    <row r="65" spans="1:9" ht="20.100000000000001" customHeight="1" x14ac:dyDescent="0.2">
      <c r="A65" s="280" t="s">
        <v>969</v>
      </c>
      <c r="B65" s="281"/>
      <c r="C65" s="281"/>
      <c r="D65" s="281"/>
      <c r="E65" s="281"/>
      <c r="F65" s="281"/>
      <c r="G65" s="281"/>
      <c r="H65" s="281"/>
      <c r="I65" s="280"/>
    </row>
    <row r="66" spans="1:9" ht="20.100000000000001" customHeight="1" x14ac:dyDescent="0.2">
      <c r="D66" s="283"/>
      <c r="I66" s="284" t="s">
        <v>991</v>
      </c>
    </row>
    <row r="67" spans="1:9" ht="20.100000000000001" customHeight="1" x14ac:dyDescent="0.2">
      <c r="A67" s="283"/>
    </row>
    <row r="68" spans="1:9" ht="20.100000000000001" customHeight="1" x14ac:dyDescent="0.2">
      <c r="A68" s="285" t="str">
        <f>"Hospital: "&amp;data!C98</f>
        <v>Hospital: PHM Medical Center</v>
      </c>
      <c r="G68" s="286"/>
      <c r="H68" s="285" t="str">
        <f>"FYE: "&amp;data!C96</f>
        <v>FYE: 12/31/2022</v>
      </c>
    </row>
    <row r="69" spans="1:9" ht="20.100000000000001" customHeight="1" x14ac:dyDescent="0.2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00000000000001" customHeight="1" x14ac:dyDescent="0.2">
      <c r="A70" s="290">
        <v>2</v>
      </c>
      <c r="B70" s="291" t="s">
        <v>971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00000000000001" customHeight="1" x14ac:dyDescent="0.2">
      <c r="A71" s="290"/>
      <c r="B71" s="291"/>
      <c r="C71" s="293" t="s">
        <v>183</v>
      </c>
      <c r="D71" s="293" t="s">
        <v>992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00000000000001" customHeight="1" x14ac:dyDescent="0.2">
      <c r="A72" s="279">
        <v>3</v>
      </c>
      <c r="B72" s="287" t="s">
        <v>975</v>
      </c>
      <c r="C72" s="289" t="s">
        <v>993</v>
      </c>
      <c r="D72" s="288" t="s">
        <v>994</v>
      </c>
      <c r="E72" s="299"/>
      <c r="F72" s="299"/>
      <c r="G72" s="288" t="s">
        <v>995</v>
      </c>
      <c r="H72" s="288" t="s">
        <v>995</v>
      </c>
      <c r="I72" s="289" t="s">
        <v>235</v>
      </c>
    </row>
    <row r="73" spans="1:9" ht="20.100000000000001" customHeight="1" x14ac:dyDescent="0.2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182998</v>
      </c>
      <c r="H73" s="287">
        <f>data!V59</f>
        <v>0</v>
      </c>
      <c r="I73" s="287">
        <f>data!W59</f>
        <v>1091</v>
      </c>
    </row>
    <row r="74" spans="1:9" ht="20.100000000000001" customHeight="1" x14ac:dyDescent="0.2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5.76</v>
      </c>
      <c r="F74" s="294">
        <f>data!T60</f>
        <v>0</v>
      </c>
      <c r="G74" s="294">
        <f>data!U60</f>
        <v>27.23</v>
      </c>
      <c r="H74" s="294">
        <f>data!V60</f>
        <v>0</v>
      </c>
      <c r="I74" s="294">
        <f>data!W60</f>
        <v>1.4</v>
      </c>
    </row>
    <row r="75" spans="1:9" ht="20.100000000000001" customHeight="1" x14ac:dyDescent="0.2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273247</v>
      </c>
      <c r="F75" s="287">
        <f>data!T61</f>
        <v>0</v>
      </c>
      <c r="G75" s="287">
        <f>data!U61</f>
        <v>1757280</v>
      </c>
      <c r="H75" s="287">
        <f>data!V61</f>
        <v>0</v>
      </c>
      <c r="I75" s="287">
        <f>data!W61</f>
        <v>117723</v>
      </c>
    </row>
    <row r="76" spans="1:9" ht="20.100000000000001" customHeight="1" x14ac:dyDescent="0.2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59749</v>
      </c>
      <c r="F76" s="287">
        <f>data!T62</f>
        <v>0</v>
      </c>
      <c r="G76" s="287">
        <f>data!U62</f>
        <v>384250</v>
      </c>
      <c r="H76" s="287">
        <f>data!V62</f>
        <v>0</v>
      </c>
      <c r="I76" s="287">
        <f>data!W62</f>
        <v>25742</v>
      </c>
    </row>
    <row r="77" spans="1:9" ht="20.100000000000001" customHeight="1" x14ac:dyDescent="0.2">
      <c r="A77" s="279">
        <v>8</v>
      </c>
      <c r="B77" s="287" t="s">
        <v>249</v>
      </c>
      <c r="C77" s="287">
        <f>data!Q63</f>
        <v>0</v>
      </c>
      <c r="D77" s="287">
        <f>data!R63</f>
        <v>1345450</v>
      </c>
      <c r="E77" s="287">
        <f>data!S63</f>
        <v>0</v>
      </c>
      <c r="F77" s="287">
        <f>data!T63</f>
        <v>0</v>
      </c>
      <c r="G77" s="287">
        <f>data!U63</f>
        <v>8250</v>
      </c>
      <c r="H77" s="287">
        <f>data!V63</f>
        <v>0</v>
      </c>
      <c r="I77" s="287">
        <f>data!W63</f>
        <v>2513</v>
      </c>
    </row>
    <row r="78" spans="1:9" ht="20.100000000000001" customHeight="1" x14ac:dyDescent="0.2">
      <c r="A78" s="279">
        <v>9</v>
      </c>
      <c r="B78" s="287" t="s">
        <v>250</v>
      </c>
      <c r="C78" s="287">
        <f>data!Q64</f>
        <v>0</v>
      </c>
      <c r="D78" s="287">
        <f>data!R64</f>
        <v>64163</v>
      </c>
      <c r="E78" s="287">
        <f>data!S64</f>
        <v>-81833</v>
      </c>
      <c r="F78" s="287">
        <f>data!T64</f>
        <v>0</v>
      </c>
      <c r="G78" s="287">
        <f>data!U64</f>
        <v>1549094</v>
      </c>
      <c r="H78" s="287">
        <f>data!V64</f>
        <v>0</v>
      </c>
      <c r="I78" s="287">
        <f>data!W64</f>
        <v>21050</v>
      </c>
    </row>
    <row r="79" spans="1:9" ht="20.100000000000001" customHeight="1" x14ac:dyDescent="0.2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5595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00000000000001" customHeight="1" x14ac:dyDescent="0.2">
      <c r="A80" s="279">
        <v>11</v>
      </c>
      <c r="B80" s="287" t="s">
        <v>498</v>
      </c>
      <c r="C80" s="287">
        <f>data!Q66</f>
        <v>0</v>
      </c>
      <c r="D80" s="287">
        <f>data!R66</f>
        <v>-2191</v>
      </c>
      <c r="E80" s="287">
        <f>data!S66</f>
        <v>11503</v>
      </c>
      <c r="F80" s="287">
        <f>data!T66</f>
        <v>0</v>
      </c>
      <c r="G80" s="287">
        <f>data!U66</f>
        <v>487053</v>
      </c>
      <c r="H80" s="287">
        <f>data!V66</f>
        <v>0</v>
      </c>
      <c r="I80" s="287">
        <f>data!W66</f>
        <v>36671</v>
      </c>
    </row>
    <row r="81" spans="1:9" ht="20.100000000000001" customHeight="1" x14ac:dyDescent="0.2">
      <c r="A81" s="279">
        <v>12</v>
      </c>
      <c r="B81" s="287" t="s">
        <v>11</v>
      </c>
      <c r="C81" s="287">
        <f>data!Q67</f>
        <v>0</v>
      </c>
      <c r="D81" s="287">
        <f>data!R67</f>
        <v>5907</v>
      </c>
      <c r="E81" s="287">
        <f>data!S67</f>
        <v>52832</v>
      </c>
      <c r="F81" s="287">
        <f>data!T67</f>
        <v>0</v>
      </c>
      <c r="G81" s="287">
        <f>data!U67</f>
        <v>59326</v>
      </c>
      <c r="H81" s="287">
        <f>data!V67</f>
        <v>0</v>
      </c>
      <c r="I81" s="287">
        <f>data!W67</f>
        <v>14089</v>
      </c>
    </row>
    <row r="82" spans="1:9" ht="20.100000000000001" customHeight="1" x14ac:dyDescent="0.2">
      <c r="A82" s="279">
        <v>13</v>
      </c>
      <c r="B82" s="287" t="s">
        <v>976</v>
      </c>
      <c r="C82" s="287">
        <f>data!Q68</f>
        <v>0</v>
      </c>
      <c r="D82" s="287">
        <f>data!R68</f>
        <v>0</v>
      </c>
      <c r="E82" s="287">
        <f>data!S68</f>
        <v>10061</v>
      </c>
      <c r="F82" s="287">
        <f>data!T68</f>
        <v>0</v>
      </c>
      <c r="G82" s="287">
        <f>data!U68</f>
        <v>5702</v>
      </c>
      <c r="H82" s="287">
        <f>data!V68</f>
        <v>0</v>
      </c>
      <c r="I82" s="287">
        <f>data!W68</f>
        <v>5539</v>
      </c>
    </row>
    <row r="83" spans="1:9" ht="20.100000000000001" customHeight="1" x14ac:dyDescent="0.2">
      <c r="A83" s="279">
        <v>14</v>
      </c>
      <c r="B83" s="287" t="s">
        <v>977</v>
      </c>
      <c r="C83" s="287">
        <f>data!Q69</f>
        <v>0</v>
      </c>
      <c r="D83" s="287">
        <f>data!R69</f>
        <v>10093</v>
      </c>
      <c r="E83" s="287">
        <f>data!S69</f>
        <v>150934</v>
      </c>
      <c r="F83" s="287">
        <f>data!T69</f>
        <v>0</v>
      </c>
      <c r="G83" s="287">
        <f>data!U69</f>
        <v>73458</v>
      </c>
      <c r="H83" s="287">
        <f>data!V69</f>
        <v>0</v>
      </c>
      <c r="I83" s="287">
        <f>data!W69</f>
        <v>2648</v>
      </c>
    </row>
    <row r="84" spans="1:9" ht="20.100000000000001" customHeight="1" x14ac:dyDescent="0.2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00000000000001" customHeight="1" x14ac:dyDescent="0.2">
      <c r="A85" s="279">
        <v>16</v>
      </c>
      <c r="B85" s="295" t="s">
        <v>978</v>
      </c>
      <c r="C85" s="287">
        <f>data!Q85</f>
        <v>0</v>
      </c>
      <c r="D85" s="287">
        <f>data!R85</f>
        <v>1423422</v>
      </c>
      <c r="E85" s="287">
        <f>data!S85</f>
        <v>482088</v>
      </c>
      <c r="F85" s="287">
        <f>data!T85</f>
        <v>0</v>
      </c>
      <c r="G85" s="287">
        <f>data!U85</f>
        <v>4324413</v>
      </c>
      <c r="H85" s="287">
        <f>data!V85</f>
        <v>0</v>
      </c>
      <c r="I85" s="287">
        <f>data!W85</f>
        <v>225975</v>
      </c>
    </row>
    <row r="86" spans="1:9" ht="20.100000000000001" customHeight="1" x14ac:dyDescent="0.2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00000000000001" customHeight="1" x14ac:dyDescent="0.2">
      <c r="A87" s="279">
        <v>18</v>
      </c>
      <c r="B87" s="287" t="s">
        <v>979</v>
      </c>
      <c r="C87" s="295">
        <f>+data!M682</f>
        <v>0</v>
      </c>
      <c r="D87" s="295">
        <f>+data!M683</f>
        <v>673183</v>
      </c>
      <c r="E87" s="295">
        <f>+data!M684</f>
        <v>459078</v>
      </c>
      <c r="F87" s="295">
        <f>+data!M685</f>
        <v>0</v>
      </c>
      <c r="G87" s="295">
        <f>+data!M686</f>
        <v>1480027</v>
      </c>
      <c r="H87" s="295">
        <f>+data!M687</f>
        <v>0</v>
      </c>
      <c r="I87" s="295">
        <f>+data!M688</f>
        <v>163213</v>
      </c>
    </row>
    <row r="88" spans="1:9" ht="20.100000000000001" customHeight="1" x14ac:dyDescent="0.2">
      <c r="A88" s="279">
        <v>19</v>
      </c>
      <c r="B88" s="295" t="s">
        <v>980</v>
      </c>
      <c r="C88" s="287">
        <f>data!Q87</f>
        <v>0</v>
      </c>
      <c r="D88" s="287">
        <f>data!R87</f>
        <v>3803377</v>
      </c>
      <c r="E88" s="287">
        <f>data!S87</f>
        <v>1161988</v>
      </c>
      <c r="F88" s="287">
        <f>data!T87</f>
        <v>0</v>
      </c>
      <c r="G88" s="287">
        <f>data!U87</f>
        <v>4267943</v>
      </c>
      <c r="H88" s="287">
        <f>data!V87</f>
        <v>0</v>
      </c>
      <c r="I88" s="287">
        <f>data!W87</f>
        <v>183819</v>
      </c>
    </row>
    <row r="89" spans="1:9" ht="20.100000000000001" customHeight="1" x14ac:dyDescent="0.2">
      <c r="A89" s="279">
        <v>20</v>
      </c>
      <c r="B89" s="295" t="s">
        <v>981</v>
      </c>
      <c r="C89" s="287">
        <f>data!Q88</f>
        <v>0</v>
      </c>
      <c r="D89" s="287">
        <f>data!R88</f>
        <v>11115657</v>
      </c>
      <c r="E89" s="287">
        <f>data!S88</f>
        <v>9425217</v>
      </c>
      <c r="F89" s="287">
        <f>data!T88</f>
        <v>0</v>
      </c>
      <c r="G89" s="287">
        <f>data!U88</f>
        <v>21387477</v>
      </c>
      <c r="H89" s="287">
        <f>data!V88</f>
        <v>0</v>
      </c>
      <c r="I89" s="287">
        <f>data!W88</f>
        <v>2951797</v>
      </c>
    </row>
    <row r="90" spans="1:9" ht="20.100000000000001" customHeight="1" x14ac:dyDescent="0.2">
      <c r="A90" s="279">
        <v>21</v>
      </c>
      <c r="B90" s="295" t="s">
        <v>982</v>
      </c>
      <c r="C90" s="287">
        <f>data!Q89</f>
        <v>0</v>
      </c>
      <c r="D90" s="287">
        <f>data!R89</f>
        <v>14919034</v>
      </c>
      <c r="E90" s="287">
        <f>data!S89</f>
        <v>10587205</v>
      </c>
      <c r="F90" s="287">
        <f>data!T89</f>
        <v>0</v>
      </c>
      <c r="G90" s="287">
        <f>data!U89</f>
        <v>25655420</v>
      </c>
      <c r="H90" s="287">
        <f>data!V89</f>
        <v>0</v>
      </c>
      <c r="I90" s="287">
        <f>data!W89</f>
        <v>3135616</v>
      </c>
    </row>
    <row r="91" spans="1:9" ht="20.100000000000001" customHeight="1" x14ac:dyDescent="0.2">
      <c r="A91" s="279" t="s">
        <v>983</v>
      </c>
      <c r="B91" s="287"/>
      <c r="C91" s="297"/>
      <c r="D91" s="297"/>
      <c r="E91" s="297"/>
      <c r="F91" s="297"/>
      <c r="G91" s="297"/>
      <c r="H91" s="297"/>
      <c r="I91" s="297"/>
    </row>
    <row r="92" spans="1:9" ht="20.100000000000001" customHeight="1" x14ac:dyDescent="0.2">
      <c r="A92" s="279">
        <v>22</v>
      </c>
      <c r="B92" s="287" t="s">
        <v>984</v>
      </c>
      <c r="C92" s="287">
        <f>data!Q90</f>
        <v>0</v>
      </c>
      <c r="D92" s="287">
        <f>data!R90</f>
        <v>161</v>
      </c>
      <c r="E92" s="287">
        <f>data!S90</f>
        <v>1440</v>
      </c>
      <c r="F92" s="287">
        <f>data!T90</f>
        <v>0</v>
      </c>
      <c r="G92" s="287">
        <f>data!U90</f>
        <v>1617</v>
      </c>
      <c r="H92" s="287">
        <f>data!V90</f>
        <v>0</v>
      </c>
      <c r="I92" s="287">
        <f>data!W90</f>
        <v>384</v>
      </c>
    </row>
    <row r="93" spans="1:9" ht="20.100000000000001" customHeight="1" x14ac:dyDescent="0.2">
      <c r="A93" s="279">
        <v>23</v>
      </c>
      <c r="B93" s="287" t="s">
        <v>985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00000000000001" customHeight="1" x14ac:dyDescent="0.2">
      <c r="A94" s="279">
        <v>24</v>
      </c>
      <c r="B94" s="287" t="s">
        <v>986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71</v>
      </c>
    </row>
    <row r="95" spans="1:9" ht="20.100000000000001" customHeight="1" x14ac:dyDescent="0.2">
      <c r="A95" s="279">
        <v>25</v>
      </c>
      <c r="B95" s="287" t="s">
        <v>987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519</v>
      </c>
      <c r="H95" s="287">
        <f>data!V93</f>
        <v>0</v>
      </c>
      <c r="I95" s="287">
        <f>data!W93</f>
        <v>898</v>
      </c>
    </row>
    <row r="96" spans="1:9" ht="20.100000000000001" customHeight="1" x14ac:dyDescent="0.2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00000000000001" customHeight="1" x14ac:dyDescent="0.2">
      <c r="A97" s="280" t="s">
        <v>969</v>
      </c>
      <c r="B97" s="281"/>
      <c r="C97" s="281"/>
      <c r="D97" s="281"/>
      <c r="E97" s="281"/>
      <c r="F97" s="281"/>
      <c r="G97" s="281"/>
      <c r="H97" s="281"/>
      <c r="I97" s="280"/>
    </row>
    <row r="98" spans="1:9" ht="20.100000000000001" customHeight="1" x14ac:dyDescent="0.2">
      <c r="D98" s="283"/>
      <c r="I98" s="284" t="s">
        <v>996</v>
      </c>
    </row>
    <row r="99" spans="1:9" ht="20.100000000000001" customHeight="1" x14ac:dyDescent="0.2">
      <c r="A99" s="283"/>
    </row>
    <row r="100" spans="1:9" ht="20.100000000000001" customHeight="1" x14ac:dyDescent="0.2">
      <c r="A100" s="285" t="str">
        <f>"Hospital: "&amp;data!C98</f>
        <v>Hospital: PHM Medical Center</v>
      </c>
      <c r="G100" s="286"/>
      <c r="H100" s="285" t="str">
        <f>"FYE: "&amp;data!C96</f>
        <v>FYE: 12/31/2022</v>
      </c>
    </row>
    <row r="101" spans="1:9" ht="20.100000000000001" customHeight="1" x14ac:dyDescent="0.2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00000000000001" customHeight="1" x14ac:dyDescent="0.2">
      <c r="A102" s="290">
        <v>2</v>
      </c>
      <c r="B102" s="291" t="s">
        <v>971</v>
      </c>
      <c r="C102" s="293" t="s">
        <v>997</v>
      </c>
      <c r="D102" s="293" t="s">
        <v>998</v>
      </c>
      <c r="E102" s="293" t="s">
        <v>998</v>
      </c>
      <c r="F102" s="293" t="s">
        <v>126</v>
      </c>
      <c r="G102" s="293"/>
      <c r="H102" s="293" t="s">
        <v>128</v>
      </c>
      <c r="I102" s="293"/>
    </row>
    <row r="103" spans="1:9" ht="20.100000000000001" customHeight="1" x14ac:dyDescent="0.2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00000000000001" customHeight="1" x14ac:dyDescent="0.2">
      <c r="A104" s="279">
        <v>3</v>
      </c>
      <c r="B104" s="287" t="s">
        <v>975</v>
      </c>
      <c r="C104" s="288" t="s">
        <v>236</v>
      </c>
      <c r="D104" s="289" t="s">
        <v>999</v>
      </c>
      <c r="E104" s="289" t="s">
        <v>999</v>
      </c>
      <c r="F104" s="289" t="s">
        <v>999</v>
      </c>
      <c r="G104" s="299"/>
      <c r="H104" s="289" t="s">
        <v>238</v>
      </c>
      <c r="I104" s="289" t="s">
        <v>239</v>
      </c>
    </row>
    <row r="105" spans="1:9" ht="20.100000000000001" customHeight="1" x14ac:dyDescent="0.2">
      <c r="A105" s="279">
        <v>4</v>
      </c>
      <c r="B105" s="287" t="s">
        <v>246</v>
      </c>
      <c r="C105" s="287">
        <f>data!X59</f>
        <v>5064</v>
      </c>
      <c r="D105" s="287">
        <f>data!Y59</f>
        <v>27640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00000000000001" customHeight="1" x14ac:dyDescent="0.2">
      <c r="A106" s="279">
        <v>5</v>
      </c>
      <c r="B106" s="287" t="s">
        <v>247</v>
      </c>
      <c r="C106" s="294">
        <f>data!X60</f>
        <v>10.54</v>
      </c>
      <c r="D106" s="294">
        <f>data!Y60</f>
        <v>8.4499999999999993</v>
      </c>
      <c r="E106" s="294">
        <f>data!Z60</f>
        <v>0</v>
      </c>
      <c r="F106" s="294">
        <f>data!AA60</f>
        <v>0</v>
      </c>
      <c r="G106" s="294">
        <f>data!AB60</f>
        <v>3.87</v>
      </c>
      <c r="H106" s="294">
        <f>data!AC60</f>
        <v>9.7899999999999991</v>
      </c>
      <c r="I106" s="294">
        <f>data!AD60</f>
        <v>0</v>
      </c>
    </row>
    <row r="107" spans="1:9" ht="20.100000000000001" customHeight="1" x14ac:dyDescent="0.2">
      <c r="A107" s="279">
        <v>6</v>
      </c>
      <c r="B107" s="287" t="s">
        <v>248</v>
      </c>
      <c r="C107" s="287">
        <f>data!X61</f>
        <v>885431</v>
      </c>
      <c r="D107" s="287">
        <f>data!Y61</f>
        <v>709262</v>
      </c>
      <c r="E107" s="287">
        <f>data!Z61</f>
        <v>0</v>
      </c>
      <c r="F107" s="287">
        <f>data!AA61</f>
        <v>0</v>
      </c>
      <c r="G107" s="287">
        <f>data!AB61</f>
        <v>330552</v>
      </c>
      <c r="H107" s="287">
        <f>data!AC61</f>
        <v>606450</v>
      </c>
      <c r="I107" s="287">
        <f>data!AD61</f>
        <v>0</v>
      </c>
    </row>
    <row r="108" spans="1:9" ht="20.100000000000001" customHeight="1" x14ac:dyDescent="0.2">
      <c r="A108" s="279">
        <v>7</v>
      </c>
      <c r="B108" s="287" t="s">
        <v>9</v>
      </c>
      <c r="C108" s="287">
        <f>data!X62</f>
        <v>193610</v>
      </c>
      <c r="D108" s="287">
        <f>data!Y62</f>
        <v>155089</v>
      </c>
      <c r="E108" s="287">
        <f>data!Z62</f>
        <v>0</v>
      </c>
      <c r="F108" s="287">
        <f>data!AA62</f>
        <v>0</v>
      </c>
      <c r="G108" s="287">
        <f>data!AB62</f>
        <v>72279</v>
      </c>
      <c r="H108" s="287">
        <f>data!AC62</f>
        <v>132608</v>
      </c>
      <c r="I108" s="287">
        <f>data!AD62</f>
        <v>0</v>
      </c>
    </row>
    <row r="109" spans="1:9" ht="20.100000000000001" customHeight="1" x14ac:dyDescent="0.2">
      <c r="A109" s="279">
        <v>8</v>
      </c>
      <c r="B109" s="287" t="s">
        <v>249</v>
      </c>
      <c r="C109" s="287">
        <f>data!X63</f>
        <v>18902</v>
      </c>
      <c r="D109" s="287">
        <f>data!Y63</f>
        <v>1107112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171410</v>
      </c>
      <c r="I109" s="287">
        <f>data!AD63</f>
        <v>0</v>
      </c>
    </row>
    <row r="110" spans="1:9" ht="20.100000000000001" customHeight="1" x14ac:dyDescent="0.2">
      <c r="A110" s="279">
        <v>9</v>
      </c>
      <c r="B110" s="287" t="s">
        <v>250</v>
      </c>
      <c r="C110" s="287">
        <f>data!X64</f>
        <v>158328</v>
      </c>
      <c r="D110" s="287">
        <f>data!Y64</f>
        <v>126826</v>
      </c>
      <c r="E110" s="287">
        <f>data!Z64</f>
        <v>0</v>
      </c>
      <c r="F110" s="287">
        <f>data!AA64</f>
        <v>0</v>
      </c>
      <c r="G110" s="287">
        <f>data!AB64</f>
        <v>1584018</v>
      </c>
      <c r="H110" s="287">
        <f>data!AC64</f>
        <v>78087</v>
      </c>
      <c r="I110" s="287">
        <f>data!AD64</f>
        <v>0</v>
      </c>
    </row>
    <row r="111" spans="1:9" ht="20.100000000000001" customHeight="1" x14ac:dyDescent="0.2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00000000000001" customHeight="1" x14ac:dyDescent="0.2">
      <c r="A112" s="279">
        <v>11</v>
      </c>
      <c r="B112" s="287" t="s">
        <v>498</v>
      </c>
      <c r="C112" s="287">
        <f>data!X66</f>
        <v>275817</v>
      </c>
      <c r="D112" s="287">
        <f>data!Y66</f>
        <v>220940</v>
      </c>
      <c r="E112" s="287">
        <f>data!Z66</f>
        <v>0</v>
      </c>
      <c r="F112" s="287">
        <f>data!AA66</f>
        <v>0</v>
      </c>
      <c r="G112" s="287">
        <f>data!AB66</f>
        <v>188990</v>
      </c>
      <c r="H112" s="287">
        <f>data!AC66</f>
        <v>6375</v>
      </c>
      <c r="I112" s="287">
        <f>data!AD66</f>
        <v>0</v>
      </c>
    </row>
    <row r="113" spans="1:9" ht="20.100000000000001" customHeight="1" x14ac:dyDescent="0.2">
      <c r="A113" s="279">
        <v>12</v>
      </c>
      <c r="B113" s="287" t="s">
        <v>11</v>
      </c>
      <c r="C113" s="287">
        <f>data!X67</f>
        <v>105884</v>
      </c>
      <c r="D113" s="287">
        <f>data!Y67</f>
        <v>84825</v>
      </c>
      <c r="E113" s="287">
        <f>data!Z67</f>
        <v>0</v>
      </c>
      <c r="F113" s="287">
        <f>data!AA67</f>
        <v>0</v>
      </c>
      <c r="G113" s="287">
        <f>data!AB67</f>
        <v>14565</v>
      </c>
      <c r="H113" s="287">
        <f>data!AC67</f>
        <v>28214</v>
      </c>
      <c r="I113" s="287">
        <f>data!AD67</f>
        <v>0</v>
      </c>
    </row>
    <row r="114" spans="1:9" ht="20.100000000000001" customHeight="1" x14ac:dyDescent="0.2">
      <c r="A114" s="279">
        <v>13</v>
      </c>
      <c r="B114" s="287" t="s">
        <v>976</v>
      </c>
      <c r="C114" s="287">
        <f>data!X68</f>
        <v>41659</v>
      </c>
      <c r="D114" s="287">
        <f>data!Y68</f>
        <v>33370</v>
      </c>
      <c r="E114" s="287">
        <f>data!Z68</f>
        <v>0</v>
      </c>
      <c r="F114" s="287">
        <f>data!AA68</f>
        <v>0</v>
      </c>
      <c r="G114" s="287">
        <f>data!AB68</f>
        <v>10474</v>
      </c>
      <c r="H114" s="287">
        <f>data!AC68</f>
        <v>23859</v>
      </c>
      <c r="I114" s="287">
        <f>data!AD68</f>
        <v>0</v>
      </c>
    </row>
    <row r="115" spans="1:9" ht="20.100000000000001" customHeight="1" x14ac:dyDescent="0.2">
      <c r="A115" s="279">
        <v>14</v>
      </c>
      <c r="B115" s="287" t="s">
        <v>977</v>
      </c>
      <c r="C115" s="287">
        <f>data!X69</f>
        <v>19915</v>
      </c>
      <c r="D115" s="287">
        <f>data!Y69</f>
        <v>15953</v>
      </c>
      <c r="E115" s="287">
        <f>data!Z69</f>
        <v>0</v>
      </c>
      <c r="F115" s="287">
        <f>data!AA69</f>
        <v>0</v>
      </c>
      <c r="G115" s="287">
        <f>data!AB69</f>
        <v>4785</v>
      </c>
      <c r="H115" s="287">
        <f>data!AC69</f>
        <v>4739</v>
      </c>
      <c r="I115" s="287">
        <f>data!AD69</f>
        <v>0</v>
      </c>
    </row>
    <row r="116" spans="1:9" ht="20.100000000000001" customHeight="1" x14ac:dyDescent="0.2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-6034</v>
      </c>
      <c r="H116" s="287">
        <f>-data!AC84</f>
        <v>0</v>
      </c>
      <c r="I116" s="287">
        <f>-data!AD84</f>
        <v>0</v>
      </c>
    </row>
    <row r="117" spans="1:9" ht="20.100000000000001" customHeight="1" x14ac:dyDescent="0.2">
      <c r="A117" s="279">
        <v>16</v>
      </c>
      <c r="B117" s="295" t="s">
        <v>978</v>
      </c>
      <c r="C117" s="287">
        <f>data!X85</f>
        <v>1699546</v>
      </c>
      <c r="D117" s="287">
        <f>data!Y85</f>
        <v>2453377</v>
      </c>
      <c r="E117" s="287">
        <f>data!Z85</f>
        <v>0</v>
      </c>
      <c r="F117" s="287">
        <f>data!AA85</f>
        <v>0</v>
      </c>
      <c r="G117" s="287">
        <f>data!AB85</f>
        <v>2199629</v>
      </c>
      <c r="H117" s="287">
        <f>data!AC85</f>
        <v>1051742</v>
      </c>
      <c r="I117" s="287">
        <f>data!AD85</f>
        <v>0</v>
      </c>
    </row>
    <row r="118" spans="1:9" ht="20.100000000000001" customHeight="1" x14ac:dyDescent="0.2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00000000000001" customHeight="1" x14ac:dyDescent="0.2">
      <c r="A119" s="279">
        <v>18</v>
      </c>
      <c r="B119" s="287" t="s">
        <v>979</v>
      </c>
      <c r="C119" s="295">
        <f>+data!M689</f>
        <v>1232545</v>
      </c>
      <c r="D119" s="295">
        <f>+data!M690</f>
        <v>1101818</v>
      </c>
      <c r="E119" s="295">
        <f>+data!M691</f>
        <v>0</v>
      </c>
      <c r="F119" s="295">
        <f>+data!M692</f>
        <v>0</v>
      </c>
      <c r="G119" s="295">
        <f>+data!M693</f>
        <v>557262</v>
      </c>
      <c r="H119" s="295">
        <f>+data!M694</f>
        <v>298821</v>
      </c>
      <c r="I119" s="295">
        <f>+data!M695</f>
        <v>0</v>
      </c>
    </row>
    <row r="120" spans="1:9" ht="20.100000000000001" customHeight="1" x14ac:dyDescent="0.2">
      <c r="A120" s="279">
        <v>19</v>
      </c>
      <c r="B120" s="295" t="s">
        <v>980</v>
      </c>
      <c r="C120" s="287">
        <f>data!X87</f>
        <v>1382564</v>
      </c>
      <c r="D120" s="287">
        <f>data!Y87</f>
        <v>1107483</v>
      </c>
      <c r="E120" s="287">
        <f>data!Z87</f>
        <v>0</v>
      </c>
      <c r="F120" s="287">
        <f>data!AA87</f>
        <v>0</v>
      </c>
      <c r="G120" s="287">
        <f>data!AB87</f>
        <v>3437156</v>
      </c>
      <c r="H120" s="287">
        <f>data!AC87</f>
        <v>1870093</v>
      </c>
      <c r="I120" s="287">
        <f>data!AD87</f>
        <v>0</v>
      </c>
    </row>
    <row r="121" spans="1:9" ht="20.100000000000001" customHeight="1" x14ac:dyDescent="0.2">
      <c r="A121" s="279">
        <v>20</v>
      </c>
      <c r="B121" s="295" t="s">
        <v>981</v>
      </c>
      <c r="C121" s="287">
        <f>data!X88</f>
        <v>22201455</v>
      </c>
      <c r="D121" s="287">
        <f>data!Y88</f>
        <v>17784165</v>
      </c>
      <c r="E121" s="287">
        <f>data!Z88</f>
        <v>0</v>
      </c>
      <c r="F121" s="287">
        <f>data!AA88</f>
        <v>0</v>
      </c>
      <c r="G121" s="287">
        <f>data!AB88</f>
        <v>5195107</v>
      </c>
      <c r="H121" s="287">
        <f>data!AC88</f>
        <v>2080615</v>
      </c>
      <c r="I121" s="287">
        <f>data!AD88</f>
        <v>0</v>
      </c>
    </row>
    <row r="122" spans="1:9" ht="20.100000000000001" customHeight="1" x14ac:dyDescent="0.2">
      <c r="A122" s="279">
        <v>21</v>
      </c>
      <c r="B122" s="295" t="s">
        <v>982</v>
      </c>
      <c r="C122" s="287">
        <f>data!X89</f>
        <v>23584019</v>
      </c>
      <c r="D122" s="287">
        <f>data!Y89</f>
        <v>18891648</v>
      </c>
      <c r="E122" s="287">
        <f>data!Z89</f>
        <v>0</v>
      </c>
      <c r="F122" s="287">
        <f>data!AA89</f>
        <v>0</v>
      </c>
      <c r="G122" s="287">
        <f>data!AB89</f>
        <v>8632263</v>
      </c>
      <c r="H122" s="287">
        <f>data!AC89</f>
        <v>3950708</v>
      </c>
      <c r="I122" s="287">
        <f>data!AD89</f>
        <v>0</v>
      </c>
    </row>
    <row r="123" spans="1:9" ht="20.100000000000001" customHeight="1" x14ac:dyDescent="0.2">
      <c r="A123" s="279" t="s">
        <v>983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00000000000001" customHeight="1" x14ac:dyDescent="0.2">
      <c r="A124" s="279">
        <v>22</v>
      </c>
      <c r="B124" s="287" t="s">
        <v>984</v>
      </c>
      <c r="C124" s="287">
        <f>data!X90</f>
        <v>2886</v>
      </c>
      <c r="D124" s="287">
        <f>data!Y90</f>
        <v>2312</v>
      </c>
      <c r="E124" s="287">
        <f>data!Z90</f>
        <v>0</v>
      </c>
      <c r="F124" s="287">
        <f>data!AA90</f>
        <v>0</v>
      </c>
      <c r="G124" s="287">
        <f>data!AB90</f>
        <v>397</v>
      </c>
      <c r="H124" s="287">
        <f>data!AC90</f>
        <v>769</v>
      </c>
      <c r="I124" s="287">
        <f>data!AD90</f>
        <v>0</v>
      </c>
    </row>
    <row r="125" spans="1:9" ht="20.100000000000001" customHeight="1" x14ac:dyDescent="0.2">
      <c r="A125" s="279">
        <v>23</v>
      </c>
      <c r="B125" s="287" t="s">
        <v>985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00000000000001" customHeight="1" x14ac:dyDescent="0.2">
      <c r="A126" s="279">
        <v>24</v>
      </c>
      <c r="B126" s="287" t="s">
        <v>986</v>
      </c>
      <c r="C126" s="287">
        <f>data!X92</f>
        <v>553</v>
      </c>
      <c r="D126" s="287">
        <f>data!Y92</f>
        <v>427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00000000000001" customHeight="1" x14ac:dyDescent="0.2">
      <c r="A127" s="279">
        <v>25</v>
      </c>
      <c r="B127" s="287" t="s">
        <v>987</v>
      </c>
      <c r="C127" s="287">
        <f>data!X93</f>
        <v>6754</v>
      </c>
      <c r="D127" s="287">
        <f>data!Y93</f>
        <v>5410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1128</v>
      </c>
      <c r="I127" s="287">
        <f>data!AD93</f>
        <v>0</v>
      </c>
    </row>
    <row r="128" spans="1:9" ht="20.100000000000001" customHeight="1" x14ac:dyDescent="0.2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00000000000001" customHeight="1" x14ac:dyDescent="0.2">
      <c r="A129" s="280" t="s">
        <v>969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00000000000001" customHeight="1" x14ac:dyDescent="0.2">
      <c r="D130" s="283"/>
      <c r="I130" s="284" t="s">
        <v>1000</v>
      </c>
    </row>
    <row r="131" spans="1:14" ht="20.100000000000001" customHeight="1" x14ac:dyDescent="0.2">
      <c r="A131" s="283"/>
    </row>
    <row r="132" spans="1:14" ht="20.100000000000001" customHeight="1" x14ac:dyDescent="0.2">
      <c r="A132" s="285" t="str">
        <f>"Hospital: "&amp;data!C98</f>
        <v>Hospital: PHM Medical Center</v>
      </c>
      <c r="G132" s="286"/>
      <c r="H132" s="285" t="str">
        <f>"FYE: "&amp;data!C96</f>
        <v>FYE: 12/31/2022</v>
      </c>
    </row>
    <row r="133" spans="1:14" ht="20.100000000000001" customHeight="1" x14ac:dyDescent="0.2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00000000000001" customHeight="1" x14ac:dyDescent="0.2">
      <c r="A134" s="290">
        <v>2</v>
      </c>
      <c r="B134" s="291" t="s">
        <v>971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1001</v>
      </c>
      <c r="H134" s="293"/>
      <c r="I134" s="293" t="s">
        <v>134</v>
      </c>
    </row>
    <row r="135" spans="1:14" ht="20.100000000000001" customHeight="1" x14ac:dyDescent="0.2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00000000000001" customHeight="1" x14ac:dyDescent="0.2">
      <c r="A136" s="279">
        <v>3</v>
      </c>
      <c r="B136" s="287" t="s">
        <v>975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1002</v>
      </c>
      <c r="H136" s="289" t="s">
        <v>240</v>
      </c>
      <c r="I136" s="289" t="s">
        <v>238</v>
      </c>
    </row>
    <row r="137" spans="1:14" ht="20.100000000000001" customHeight="1" x14ac:dyDescent="0.25">
      <c r="A137" s="279">
        <v>4</v>
      </c>
      <c r="B137" s="287" t="s">
        <v>246</v>
      </c>
      <c r="C137" s="287">
        <f>data!AE59</f>
        <v>13242</v>
      </c>
      <c r="D137" s="287">
        <f>data!AF59</f>
        <v>0</v>
      </c>
      <c r="E137" s="287">
        <f>data!AG59</f>
        <v>16543</v>
      </c>
      <c r="F137" s="287">
        <f>data!AH59</f>
        <v>1900</v>
      </c>
      <c r="G137" s="287">
        <f>data!AI59</f>
        <v>4205</v>
      </c>
      <c r="H137" s="287">
        <f>data!AJ59</f>
        <v>59517</v>
      </c>
      <c r="I137" s="287">
        <f>data!AK59</f>
        <v>1647</v>
      </c>
      <c r="K137" s="298"/>
      <c r="L137" s="300"/>
      <c r="M137" s="300"/>
      <c r="N137" s="300"/>
    </row>
    <row r="138" spans="1:14" ht="20.100000000000001" customHeight="1" x14ac:dyDescent="0.2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23.71</v>
      </c>
      <c r="F138" s="294">
        <f>data!AH60</f>
        <v>18.13</v>
      </c>
      <c r="G138" s="294">
        <f>data!AI60</f>
        <v>2.81</v>
      </c>
      <c r="H138" s="294">
        <f>data!AJ60</f>
        <v>90.56</v>
      </c>
      <c r="I138" s="294">
        <f>data!AK60</f>
        <v>0</v>
      </c>
    </row>
    <row r="139" spans="1:14" ht="20.100000000000001" customHeight="1" x14ac:dyDescent="0.2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3855409</v>
      </c>
      <c r="F139" s="287">
        <f>data!AH61</f>
        <v>880531</v>
      </c>
      <c r="G139" s="287">
        <f>data!AI61</f>
        <v>287279</v>
      </c>
      <c r="H139" s="287">
        <f>data!AJ61</f>
        <v>12484749</v>
      </c>
      <c r="I139" s="287">
        <f>data!AK61</f>
        <v>0</v>
      </c>
    </row>
    <row r="140" spans="1:14" ht="20.100000000000001" customHeight="1" x14ac:dyDescent="0.2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843031</v>
      </c>
      <c r="F140" s="287">
        <f>data!AH62</f>
        <v>192539</v>
      </c>
      <c r="G140" s="287">
        <f>data!AI62</f>
        <v>62817</v>
      </c>
      <c r="H140" s="287">
        <f>data!AJ62</f>
        <v>2729939</v>
      </c>
      <c r="I140" s="287">
        <f>data!AK62</f>
        <v>0</v>
      </c>
    </row>
    <row r="141" spans="1:14" ht="20.100000000000001" customHeight="1" x14ac:dyDescent="0.2">
      <c r="A141" s="279">
        <v>8</v>
      </c>
      <c r="B141" s="287" t="s">
        <v>249</v>
      </c>
      <c r="C141" s="287">
        <f>data!AE63</f>
        <v>1511645</v>
      </c>
      <c r="D141" s="287">
        <f>data!AF63</f>
        <v>0</v>
      </c>
      <c r="E141" s="287">
        <f>data!AG63</f>
        <v>663880</v>
      </c>
      <c r="F141" s="287">
        <f>data!AH63</f>
        <v>0</v>
      </c>
      <c r="G141" s="287">
        <f>data!AI63</f>
        <v>1688</v>
      </c>
      <c r="H141" s="287">
        <f>data!AJ63</f>
        <v>751308</v>
      </c>
      <c r="I141" s="287">
        <f>data!AK63</f>
        <v>219541</v>
      </c>
    </row>
    <row r="142" spans="1:14" ht="20.100000000000001" customHeight="1" x14ac:dyDescent="0.2">
      <c r="A142" s="279">
        <v>9</v>
      </c>
      <c r="B142" s="287" t="s">
        <v>250</v>
      </c>
      <c r="C142" s="287">
        <f>data!AE64</f>
        <v>23818</v>
      </c>
      <c r="D142" s="287">
        <f>data!AF64</f>
        <v>0</v>
      </c>
      <c r="E142" s="287">
        <f>data!AG64</f>
        <v>212491</v>
      </c>
      <c r="F142" s="287">
        <f>data!AH64</f>
        <v>29401</v>
      </c>
      <c r="G142" s="287">
        <f>data!AI64</f>
        <v>100103</v>
      </c>
      <c r="H142" s="287">
        <f>data!AJ64</f>
        <v>939181</v>
      </c>
      <c r="I142" s="287">
        <f>data!AK64</f>
        <v>2378</v>
      </c>
    </row>
    <row r="143" spans="1:14" ht="20.100000000000001" customHeight="1" x14ac:dyDescent="0.2">
      <c r="A143" s="279">
        <v>10</v>
      </c>
      <c r="B143" s="287" t="s">
        <v>497</v>
      </c>
      <c r="C143" s="287">
        <f>data!AE65</f>
        <v>9984</v>
      </c>
      <c r="D143" s="287">
        <f>data!AF65</f>
        <v>0</v>
      </c>
      <c r="E143" s="287">
        <f>data!AG65</f>
        <v>0</v>
      </c>
      <c r="F143" s="287">
        <f>data!AH65</f>
        <v>51361</v>
      </c>
      <c r="G143" s="287">
        <f>data!AI65</f>
        <v>0</v>
      </c>
      <c r="H143" s="287">
        <f>data!AJ65</f>
        <v>56805</v>
      </c>
      <c r="I143" s="287">
        <f>data!AK65</f>
        <v>670</v>
      </c>
    </row>
    <row r="144" spans="1:14" ht="20.100000000000001" customHeight="1" x14ac:dyDescent="0.2">
      <c r="A144" s="279">
        <v>11</v>
      </c>
      <c r="B144" s="287" t="s">
        <v>498</v>
      </c>
      <c r="C144" s="287">
        <f>data!AE66</f>
        <v>30341</v>
      </c>
      <c r="D144" s="287">
        <f>data!AF66</f>
        <v>0</v>
      </c>
      <c r="E144" s="287">
        <f>data!AG66</f>
        <v>27518</v>
      </c>
      <c r="F144" s="287">
        <f>data!AH66</f>
        <v>40787</v>
      </c>
      <c r="G144" s="287">
        <f>data!AI66</f>
        <v>118425</v>
      </c>
      <c r="H144" s="287">
        <f>data!AJ66</f>
        <v>304929</v>
      </c>
      <c r="I144" s="287">
        <f>data!AK66</f>
        <v>2205</v>
      </c>
    </row>
    <row r="145" spans="1:9" ht="20.100000000000001" customHeight="1" x14ac:dyDescent="0.2">
      <c r="A145" s="279">
        <v>12</v>
      </c>
      <c r="B145" s="287" t="s">
        <v>11</v>
      </c>
      <c r="C145" s="287">
        <f>data!AE67</f>
        <v>108856</v>
      </c>
      <c r="D145" s="287">
        <f>data!AF67</f>
        <v>0</v>
      </c>
      <c r="E145" s="287">
        <f>data!AG67</f>
        <v>121807</v>
      </c>
      <c r="F145" s="287">
        <f>data!AH67</f>
        <v>23408</v>
      </c>
      <c r="G145" s="287">
        <f>data!AI67</f>
        <v>23518</v>
      </c>
      <c r="H145" s="287">
        <f>data!AJ67</f>
        <v>1151994</v>
      </c>
      <c r="I145" s="287">
        <f>data!AK67</f>
        <v>18821</v>
      </c>
    </row>
    <row r="146" spans="1:9" ht="20.100000000000001" customHeight="1" x14ac:dyDescent="0.2">
      <c r="A146" s="279">
        <v>13</v>
      </c>
      <c r="B146" s="287" t="s">
        <v>976</v>
      </c>
      <c r="C146" s="287">
        <f>data!AE68</f>
        <v>49178</v>
      </c>
      <c r="D146" s="287">
        <f>data!AF68</f>
        <v>0</v>
      </c>
      <c r="E146" s="287">
        <f>data!AG68</f>
        <v>17553</v>
      </c>
      <c r="F146" s="287">
        <f>data!AH68</f>
        <v>163</v>
      </c>
      <c r="G146" s="287">
        <f>data!AI68</f>
        <v>5284</v>
      </c>
      <c r="H146" s="287">
        <f>data!AJ68</f>
        <v>211320</v>
      </c>
      <c r="I146" s="287">
        <f>data!AK68</f>
        <v>11499</v>
      </c>
    </row>
    <row r="147" spans="1:9" ht="20.100000000000001" customHeight="1" x14ac:dyDescent="0.2">
      <c r="A147" s="279">
        <v>14</v>
      </c>
      <c r="B147" s="287" t="s">
        <v>977</v>
      </c>
      <c r="C147" s="287">
        <f>data!AE69</f>
        <v>1325</v>
      </c>
      <c r="D147" s="287">
        <f>data!AF69</f>
        <v>0</v>
      </c>
      <c r="E147" s="287">
        <f>data!AG69</f>
        <v>42242</v>
      </c>
      <c r="F147" s="287">
        <f>data!AH69</f>
        <v>14166</v>
      </c>
      <c r="G147" s="287">
        <f>data!AI69</f>
        <v>31047</v>
      </c>
      <c r="H147" s="287">
        <f>data!AJ69</f>
        <v>186126</v>
      </c>
      <c r="I147" s="287">
        <f>data!AK69</f>
        <v>0</v>
      </c>
    </row>
    <row r="148" spans="1:9" ht="20.100000000000001" customHeight="1" x14ac:dyDescent="0.2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00000000000001" customHeight="1" x14ac:dyDescent="0.2">
      <c r="A149" s="279">
        <v>16</v>
      </c>
      <c r="B149" s="295" t="s">
        <v>978</v>
      </c>
      <c r="C149" s="287">
        <f>data!AE85</f>
        <v>1735147</v>
      </c>
      <c r="D149" s="287">
        <f>data!AF85</f>
        <v>0</v>
      </c>
      <c r="E149" s="287">
        <f>data!AG85</f>
        <v>5783931</v>
      </c>
      <c r="F149" s="287">
        <f>data!AH85</f>
        <v>1232356</v>
      </c>
      <c r="G149" s="287">
        <f>data!AI85</f>
        <v>630161</v>
      </c>
      <c r="H149" s="287">
        <f>data!AJ85</f>
        <v>18816351</v>
      </c>
      <c r="I149" s="287">
        <f>data!AK85</f>
        <v>255114</v>
      </c>
    </row>
    <row r="150" spans="1:9" ht="20.100000000000001" customHeight="1" x14ac:dyDescent="0.2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00000000000001" customHeight="1" x14ac:dyDescent="0.2">
      <c r="A151" s="279">
        <v>18</v>
      </c>
      <c r="B151" s="287" t="s">
        <v>979</v>
      </c>
      <c r="C151" s="295">
        <f>+data!M696</f>
        <v>502427</v>
      </c>
      <c r="D151" s="295">
        <f>+data!M697</f>
        <v>0</v>
      </c>
      <c r="E151" s="295">
        <f>+data!M698</f>
        <v>2301522</v>
      </c>
      <c r="F151" s="295">
        <f>+data!M699</f>
        <v>290628</v>
      </c>
      <c r="G151" s="295">
        <f>+data!M700</f>
        <v>248033</v>
      </c>
      <c r="H151" s="295">
        <f>+data!M701</f>
        <v>3826921</v>
      </c>
      <c r="I151" s="295">
        <f>+data!M702</f>
        <v>60594</v>
      </c>
    </row>
    <row r="152" spans="1:9" ht="20.100000000000001" customHeight="1" x14ac:dyDescent="0.2">
      <c r="A152" s="279">
        <v>19</v>
      </c>
      <c r="B152" s="295" t="s">
        <v>980</v>
      </c>
      <c r="C152" s="287">
        <f>data!AE87</f>
        <v>430395</v>
      </c>
      <c r="D152" s="287">
        <f>data!AF87</f>
        <v>0</v>
      </c>
      <c r="E152" s="287">
        <f>data!AG87</f>
        <v>1406486</v>
      </c>
      <c r="F152" s="287">
        <f>data!AH87</f>
        <v>0</v>
      </c>
      <c r="G152" s="287">
        <f>data!AI87</f>
        <v>78394</v>
      </c>
      <c r="H152" s="287">
        <f>data!AJ87</f>
        <v>1447947</v>
      </c>
      <c r="I152" s="287">
        <f>data!AK87</f>
        <v>288741</v>
      </c>
    </row>
    <row r="153" spans="1:9" ht="20.100000000000001" customHeight="1" x14ac:dyDescent="0.2">
      <c r="A153" s="279">
        <v>20</v>
      </c>
      <c r="B153" s="295" t="s">
        <v>981</v>
      </c>
      <c r="C153" s="287">
        <f>data!AE88</f>
        <v>7103298</v>
      </c>
      <c r="D153" s="287">
        <f>data!AF88</f>
        <v>0</v>
      </c>
      <c r="E153" s="287">
        <f>data!AG88</f>
        <v>33765439</v>
      </c>
      <c r="F153" s="287">
        <f>data!AH88</f>
        <v>2285113</v>
      </c>
      <c r="G153" s="287">
        <f>data!AI88</f>
        <v>3137487</v>
      </c>
      <c r="H153" s="287">
        <f>data!AJ88</f>
        <v>20721780</v>
      </c>
      <c r="I153" s="287">
        <f>data!AK88</f>
        <v>464307</v>
      </c>
    </row>
    <row r="154" spans="1:9" ht="20.100000000000001" customHeight="1" x14ac:dyDescent="0.2">
      <c r="A154" s="279">
        <v>21</v>
      </c>
      <c r="B154" s="295" t="s">
        <v>982</v>
      </c>
      <c r="C154" s="287">
        <f>data!AE89</f>
        <v>7533693</v>
      </c>
      <c r="D154" s="287">
        <f>data!AF89</f>
        <v>0</v>
      </c>
      <c r="E154" s="287">
        <f>data!AG89</f>
        <v>35171925</v>
      </c>
      <c r="F154" s="287">
        <f>data!AH89</f>
        <v>2285113</v>
      </c>
      <c r="G154" s="287">
        <f>data!AI89</f>
        <v>3215881</v>
      </c>
      <c r="H154" s="287">
        <f>data!AJ89</f>
        <v>22169727</v>
      </c>
      <c r="I154" s="287">
        <f>data!AK89</f>
        <v>753048</v>
      </c>
    </row>
    <row r="155" spans="1:9" ht="20.100000000000001" customHeight="1" x14ac:dyDescent="0.2">
      <c r="A155" s="279" t="s">
        <v>983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00000000000001" customHeight="1" x14ac:dyDescent="0.2">
      <c r="A156" s="279">
        <v>22</v>
      </c>
      <c r="B156" s="287" t="s">
        <v>984</v>
      </c>
      <c r="C156" s="287">
        <f>data!AE90</f>
        <v>2967</v>
      </c>
      <c r="D156" s="287">
        <f>data!AF90</f>
        <v>0</v>
      </c>
      <c r="E156" s="287">
        <f>data!AG90</f>
        <v>3320</v>
      </c>
      <c r="F156" s="287">
        <f>data!AH90</f>
        <v>638</v>
      </c>
      <c r="G156" s="287">
        <f>data!AI90</f>
        <v>641</v>
      </c>
      <c r="H156" s="287">
        <f>data!AJ90</f>
        <v>31399</v>
      </c>
      <c r="I156" s="287">
        <f>data!AK90</f>
        <v>513</v>
      </c>
    </row>
    <row r="157" spans="1:9" ht="20.100000000000001" customHeight="1" x14ac:dyDescent="0.2">
      <c r="A157" s="279">
        <v>23</v>
      </c>
      <c r="B157" s="287" t="s">
        <v>985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00000000000001" customHeight="1" x14ac:dyDescent="0.2">
      <c r="A158" s="279">
        <v>24</v>
      </c>
      <c r="B158" s="287" t="s">
        <v>986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00000000000001" customHeight="1" x14ac:dyDescent="0.2">
      <c r="A159" s="279">
        <v>25</v>
      </c>
      <c r="B159" s="287" t="s">
        <v>987</v>
      </c>
      <c r="C159" s="287">
        <f>data!AE93</f>
        <v>9319</v>
      </c>
      <c r="D159" s="287">
        <f>data!AF93</f>
        <v>0</v>
      </c>
      <c r="E159" s="287">
        <f>data!AG93</f>
        <v>33342</v>
      </c>
      <c r="F159" s="287">
        <f>data!AH93</f>
        <v>1782</v>
      </c>
      <c r="G159" s="287">
        <f>data!AI93</f>
        <v>2233</v>
      </c>
      <c r="H159" s="287">
        <f>data!AJ93</f>
        <v>7197</v>
      </c>
      <c r="I159" s="287">
        <f>data!AK93</f>
        <v>0</v>
      </c>
    </row>
    <row r="160" spans="1:9" ht="20.100000000000001" customHeight="1" x14ac:dyDescent="0.2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11.64</v>
      </c>
      <c r="F160" s="294">
        <f>data!AH94</f>
        <v>0</v>
      </c>
      <c r="G160" s="294">
        <f>data!AI94</f>
        <v>1.95</v>
      </c>
      <c r="H160" s="294">
        <f>data!AJ94</f>
        <v>10.79</v>
      </c>
      <c r="I160" s="294">
        <f>data!AK94</f>
        <v>0</v>
      </c>
    </row>
    <row r="161" spans="1:9" ht="20.100000000000001" customHeight="1" x14ac:dyDescent="0.2">
      <c r="A161" s="280" t="s">
        <v>969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00000000000001" customHeight="1" x14ac:dyDescent="0.2">
      <c r="D162" s="283"/>
      <c r="I162" s="284" t="s">
        <v>1003</v>
      </c>
    </row>
    <row r="163" spans="1:9" ht="20.100000000000001" customHeight="1" x14ac:dyDescent="0.2">
      <c r="A163" s="283"/>
    </row>
    <row r="164" spans="1:9" ht="20.100000000000001" customHeight="1" x14ac:dyDescent="0.2">
      <c r="A164" s="285" t="str">
        <f>"Hospital: "&amp;data!C98</f>
        <v>Hospital: PHM Medical Center</v>
      </c>
      <c r="G164" s="286"/>
      <c r="H164" s="285" t="str">
        <f>"FYE: "&amp;data!C96</f>
        <v>FYE: 12/31/2022</v>
      </c>
    </row>
    <row r="165" spans="1:9" ht="20.100000000000001" customHeight="1" x14ac:dyDescent="0.2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00000000000001" customHeight="1" x14ac:dyDescent="0.2">
      <c r="A166" s="290">
        <v>2</v>
      </c>
      <c r="B166" s="291" t="s">
        <v>971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1004</v>
      </c>
      <c r="H166" s="293" t="s">
        <v>139</v>
      </c>
      <c r="I166" s="293" t="s">
        <v>140</v>
      </c>
    </row>
    <row r="167" spans="1:9" ht="20.100000000000001" customHeight="1" x14ac:dyDescent="0.2">
      <c r="A167" s="290"/>
      <c r="B167" s="291"/>
      <c r="C167" s="293" t="s">
        <v>184</v>
      </c>
      <c r="D167" s="293" t="s">
        <v>184</v>
      </c>
      <c r="E167" s="293" t="s">
        <v>1005</v>
      </c>
      <c r="F167" s="293" t="s">
        <v>194</v>
      </c>
      <c r="G167" s="293" t="s">
        <v>133</v>
      </c>
      <c r="H167" s="292" t="s">
        <v>1006</v>
      </c>
      <c r="I167" s="293" t="s">
        <v>181</v>
      </c>
    </row>
    <row r="168" spans="1:9" ht="20.100000000000001" customHeight="1" x14ac:dyDescent="0.2">
      <c r="A168" s="279">
        <v>3</v>
      </c>
      <c r="B168" s="287" t="s">
        <v>975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00000000000001" customHeight="1" x14ac:dyDescent="0.2">
      <c r="A169" s="279">
        <v>4</v>
      </c>
      <c r="B169" s="287" t="s">
        <v>246</v>
      </c>
      <c r="C169" s="287">
        <f>data!AL59</f>
        <v>2698</v>
      </c>
      <c r="D169" s="287">
        <f>data!AM59</f>
        <v>0</v>
      </c>
      <c r="E169" s="287">
        <f>data!AN59</f>
        <v>0</v>
      </c>
      <c r="F169" s="287">
        <f>data!AO59</f>
        <v>17999</v>
      </c>
      <c r="G169" s="287">
        <f>data!AP59</f>
        <v>2461</v>
      </c>
      <c r="H169" s="287">
        <f>data!AQ59</f>
        <v>0</v>
      </c>
      <c r="I169" s="287">
        <f>data!AR59</f>
        <v>0</v>
      </c>
    </row>
    <row r="170" spans="1:9" ht="20.100000000000001" customHeight="1" x14ac:dyDescent="0.2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4.03</v>
      </c>
      <c r="G170" s="294">
        <f>data!AP60</f>
        <v>3.06</v>
      </c>
      <c r="H170" s="294">
        <f>data!AQ60</f>
        <v>0</v>
      </c>
      <c r="I170" s="294">
        <f>data!AR60</f>
        <v>0</v>
      </c>
    </row>
    <row r="171" spans="1:9" ht="20.100000000000001" customHeight="1" x14ac:dyDescent="0.2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200104</v>
      </c>
      <c r="G171" s="287">
        <f>data!AP61</f>
        <v>576169</v>
      </c>
      <c r="H171" s="287">
        <f>data!AQ61</f>
        <v>0</v>
      </c>
      <c r="I171" s="287">
        <f>data!AR61</f>
        <v>0</v>
      </c>
    </row>
    <row r="172" spans="1:9" ht="20.100000000000001" customHeight="1" x14ac:dyDescent="0.2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43755</v>
      </c>
      <c r="G172" s="287">
        <f>data!AP62</f>
        <v>125986</v>
      </c>
      <c r="H172" s="287">
        <f>data!AQ62</f>
        <v>0</v>
      </c>
      <c r="I172" s="287">
        <f>data!AR62</f>
        <v>0</v>
      </c>
    </row>
    <row r="173" spans="1:9" ht="20.100000000000001" customHeight="1" x14ac:dyDescent="0.2">
      <c r="A173" s="279">
        <v>8</v>
      </c>
      <c r="B173" s="287" t="s">
        <v>249</v>
      </c>
      <c r="C173" s="287">
        <f>data!AL63</f>
        <v>259247</v>
      </c>
      <c r="D173" s="287">
        <f>data!AM63</f>
        <v>0</v>
      </c>
      <c r="E173" s="287">
        <f>data!AN63</f>
        <v>0</v>
      </c>
      <c r="F173" s="287">
        <f>data!AO63</f>
        <v>268699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00000000000001" customHeight="1" x14ac:dyDescent="0.2">
      <c r="A174" s="279">
        <v>9</v>
      </c>
      <c r="B174" s="287" t="s">
        <v>250</v>
      </c>
      <c r="C174" s="287">
        <f>data!AL64</f>
        <v>4752</v>
      </c>
      <c r="D174" s="287">
        <f>data!AM64</f>
        <v>0</v>
      </c>
      <c r="E174" s="287">
        <f>data!AN64</f>
        <v>0</v>
      </c>
      <c r="F174" s="287">
        <f>data!AO64</f>
        <v>33599</v>
      </c>
      <c r="G174" s="287">
        <f>data!AP64</f>
        <v>52435</v>
      </c>
      <c r="H174" s="287">
        <f>data!AQ64</f>
        <v>0</v>
      </c>
      <c r="I174" s="287">
        <f>data!AR64</f>
        <v>0</v>
      </c>
    </row>
    <row r="175" spans="1:9" ht="20.100000000000001" customHeight="1" x14ac:dyDescent="0.2">
      <c r="A175" s="279">
        <v>10</v>
      </c>
      <c r="B175" s="287" t="s">
        <v>497</v>
      </c>
      <c r="C175" s="287">
        <f>data!AL65</f>
        <v>335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3558</v>
      </c>
      <c r="H175" s="287">
        <f>data!AQ65</f>
        <v>0</v>
      </c>
      <c r="I175" s="287">
        <f>data!AR65</f>
        <v>0</v>
      </c>
    </row>
    <row r="176" spans="1:9" ht="20.100000000000001" customHeight="1" x14ac:dyDescent="0.2">
      <c r="A176" s="279">
        <v>11</v>
      </c>
      <c r="B176" s="287" t="s">
        <v>498</v>
      </c>
      <c r="C176" s="287">
        <f>data!AL66</f>
        <v>1103</v>
      </c>
      <c r="D176" s="287">
        <f>data!AM66</f>
        <v>0</v>
      </c>
      <c r="E176" s="287">
        <f>data!AN66</f>
        <v>0</v>
      </c>
      <c r="F176" s="287">
        <f>data!AO66</f>
        <v>6412</v>
      </c>
      <c r="G176" s="287">
        <f>data!AP66</f>
        <v>6741</v>
      </c>
      <c r="H176" s="287">
        <f>data!AQ66</f>
        <v>0</v>
      </c>
      <c r="I176" s="287">
        <f>data!AR66</f>
        <v>0</v>
      </c>
    </row>
    <row r="177" spans="1:9" ht="20.100000000000001" customHeight="1" x14ac:dyDescent="0.2">
      <c r="A177" s="279">
        <v>12</v>
      </c>
      <c r="B177" s="287" t="s">
        <v>11</v>
      </c>
      <c r="C177" s="287">
        <f>data!AL67</f>
        <v>12217</v>
      </c>
      <c r="D177" s="287">
        <f>data!AM67</f>
        <v>0</v>
      </c>
      <c r="E177" s="287">
        <f>data!AN67</f>
        <v>0</v>
      </c>
      <c r="F177" s="287">
        <f>data!AO67</f>
        <v>40431</v>
      </c>
      <c r="G177" s="287">
        <f>data!AP67</f>
        <v>87870</v>
      </c>
      <c r="H177" s="287">
        <f>data!AQ67</f>
        <v>0</v>
      </c>
      <c r="I177" s="287">
        <f>data!AR67</f>
        <v>0</v>
      </c>
    </row>
    <row r="178" spans="1:9" ht="20.100000000000001" customHeight="1" x14ac:dyDescent="0.2">
      <c r="A178" s="279">
        <v>13</v>
      </c>
      <c r="B178" s="287" t="s">
        <v>976</v>
      </c>
      <c r="C178" s="287">
        <f>data!AL68</f>
        <v>5742</v>
      </c>
      <c r="D178" s="287">
        <f>data!AM68</f>
        <v>0</v>
      </c>
      <c r="E178" s="287">
        <f>data!AN68</f>
        <v>0</v>
      </c>
      <c r="F178" s="287">
        <f>data!AO68</f>
        <v>10157</v>
      </c>
      <c r="G178" s="287">
        <f>data!AP68</f>
        <v>58065</v>
      </c>
      <c r="H178" s="287">
        <f>data!AQ68</f>
        <v>0</v>
      </c>
      <c r="I178" s="287">
        <f>data!AR68</f>
        <v>0</v>
      </c>
    </row>
    <row r="179" spans="1:9" ht="20.100000000000001" customHeight="1" x14ac:dyDescent="0.2">
      <c r="A179" s="279">
        <v>14</v>
      </c>
      <c r="B179" s="287" t="s">
        <v>977</v>
      </c>
      <c r="C179" s="287">
        <f>data!AL69</f>
        <v>817</v>
      </c>
      <c r="D179" s="287">
        <f>data!AM69</f>
        <v>0</v>
      </c>
      <c r="E179" s="287">
        <f>data!AN69</f>
        <v>0</v>
      </c>
      <c r="F179" s="287">
        <f>data!AO69</f>
        <v>5826</v>
      </c>
      <c r="G179" s="287">
        <f>data!AP69</f>
        <v>24946</v>
      </c>
      <c r="H179" s="287">
        <f>data!AQ69</f>
        <v>0</v>
      </c>
      <c r="I179" s="287">
        <f>data!AR69</f>
        <v>0</v>
      </c>
    </row>
    <row r="180" spans="1:9" ht="20.100000000000001" customHeight="1" x14ac:dyDescent="0.2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00000000000001" customHeight="1" x14ac:dyDescent="0.2">
      <c r="A181" s="279">
        <v>16</v>
      </c>
      <c r="B181" s="295" t="s">
        <v>978</v>
      </c>
      <c r="C181" s="287">
        <f>data!AL85</f>
        <v>284213</v>
      </c>
      <c r="D181" s="287">
        <f>data!AM85</f>
        <v>0</v>
      </c>
      <c r="E181" s="287">
        <f>data!AN85</f>
        <v>0</v>
      </c>
      <c r="F181" s="287">
        <f>data!AO85</f>
        <v>608983</v>
      </c>
      <c r="G181" s="287">
        <f>data!AP85</f>
        <v>935770</v>
      </c>
      <c r="H181" s="287">
        <f>data!AQ85</f>
        <v>0</v>
      </c>
      <c r="I181" s="287">
        <f>data!AR85</f>
        <v>0</v>
      </c>
    </row>
    <row r="182" spans="1:9" ht="20.100000000000001" customHeight="1" x14ac:dyDescent="0.2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00000000000001" customHeight="1" x14ac:dyDescent="0.2">
      <c r="A183" s="279">
        <v>18</v>
      </c>
      <c r="B183" s="287" t="s">
        <v>979</v>
      </c>
      <c r="C183" s="295">
        <f>+data!M703</f>
        <v>71654</v>
      </c>
      <c r="D183" s="295">
        <f>+data!M704</f>
        <v>0</v>
      </c>
      <c r="E183" s="295">
        <f>+data!M705</f>
        <v>0</v>
      </c>
      <c r="F183" s="295">
        <f>+data!M706</f>
        <v>422999</v>
      </c>
      <c r="G183" s="295">
        <f>+data!M707</f>
        <v>185352</v>
      </c>
      <c r="H183" s="295">
        <f>+data!M708</f>
        <v>0</v>
      </c>
      <c r="I183" s="295">
        <f>+data!M709</f>
        <v>0</v>
      </c>
    </row>
    <row r="184" spans="1:9" ht="20.100000000000001" customHeight="1" x14ac:dyDescent="0.2">
      <c r="A184" s="279">
        <v>19</v>
      </c>
      <c r="B184" s="295" t="s">
        <v>980</v>
      </c>
      <c r="C184" s="287">
        <f>data!AL87</f>
        <v>74724</v>
      </c>
      <c r="D184" s="287">
        <f>data!AM87</f>
        <v>0</v>
      </c>
      <c r="E184" s="287">
        <f>data!AN87</f>
        <v>0</v>
      </c>
      <c r="F184" s="287">
        <f>data!AO87</f>
        <v>1730852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00000000000001" customHeight="1" x14ac:dyDescent="0.2">
      <c r="A185" s="279">
        <v>20</v>
      </c>
      <c r="B185" s="295" t="s">
        <v>981</v>
      </c>
      <c r="C185" s="287">
        <f>data!AL88</f>
        <v>975522</v>
      </c>
      <c r="D185" s="287">
        <f>data!AM88</f>
        <v>0</v>
      </c>
      <c r="E185" s="287">
        <f>data!AN88</f>
        <v>0</v>
      </c>
      <c r="F185" s="287">
        <f>data!AO88</f>
        <v>466449</v>
      </c>
      <c r="G185" s="287">
        <f>data!AP88</f>
        <v>1174525</v>
      </c>
      <c r="H185" s="287">
        <f>data!AQ88</f>
        <v>0</v>
      </c>
      <c r="I185" s="287">
        <f>data!AR88</f>
        <v>0</v>
      </c>
    </row>
    <row r="186" spans="1:9" ht="20.100000000000001" customHeight="1" x14ac:dyDescent="0.2">
      <c r="A186" s="279">
        <v>21</v>
      </c>
      <c r="B186" s="295" t="s">
        <v>982</v>
      </c>
      <c r="C186" s="287">
        <f>data!AL89</f>
        <v>1050246</v>
      </c>
      <c r="D186" s="287">
        <f>data!AM89</f>
        <v>0</v>
      </c>
      <c r="E186" s="287">
        <f>data!AN89</f>
        <v>0</v>
      </c>
      <c r="F186" s="287">
        <f>data!AO89</f>
        <v>2197301</v>
      </c>
      <c r="G186" s="287">
        <f>data!AP89</f>
        <v>1174525</v>
      </c>
      <c r="H186" s="287">
        <f>data!AQ89</f>
        <v>0</v>
      </c>
      <c r="I186" s="287">
        <f>data!AR89</f>
        <v>0</v>
      </c>
    </row>
    <row r="187" spans="1:9" ht="20.100000000000001" customHeight="1" x14ac:dyDescent="0.2">
      <c r="A187" s="279" t="s">
        <v>983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00000000000001" customHeight="1" x14ac:dyDescent="0.2">
      <c r="A188" s="279">
        <v>22</v>
      </c>
      <c r="B188" s="287" t="s">
        <v>984</v>
      </c>
      <c r="C188" s="287">
        <f>data!AL90</f>
        <v>333</v>
      </c>
      <c r="D188" s="287">
        <f>data!AM90</f>
        <v>0</v>
      </c>
      <c r="E188" s="287">
        <f>data!AN90</f>
        <v>0</v>
      </c>
      <c r="F188" s="287">
        <f>data!AO90</f>
        <v>1102</v>
      </c>
      <c r="G188" s="287">
        <f>data!AP90</f>
        <v>2395</v>
      </c>
      <c r="H188" s="287">
        <f>data!AQ90</f>
        <v>0</v>
      </c>
      <c r="I188" s="287">
        <f>data!AR90</f>
        <v>0</v>
      </c>
    </row>
    <row r="189" spans="1:9" ht="20.100000000000001" customHeight="1" x14ac:dyDescent="0.2">
      <c r="A189" s="279">
        <v>23</v>
      </c>
      <c r="B189" s="287" t="s">
        <v>985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2717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00000000000001" customHeight="1" x14ac:dyDescent="0.2">
      <c r="A190" s="279">
        <v>24</v>
      </c>
      <c r="B190" s="287" t="s">
        <v>986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203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00000000000001" customHeight="1" x14ac:dyDescent="0.2">
      <c r="A191" s="279">
        <v>25</v>
      </c>
      <c r="B191" s="287" t="s">
        <v>987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8532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00000000000001" customHeight="1" x14ac:dyDescent="0.2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2.0120248667850795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00000000000001" customHeight="1" x14ac:dyDescent="0.2">
      <c r="A193" s="280" t="s">
        <v>969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00000000000001" customHeight="1" x14ac:dyDescent="0.2">
      <c r="D194" s="283"/>
      <c r="I194" s="284" t="s">
        <v>1007</v>
      </c>
    </row>
    <row r="195" spans="1:9" ht="20.100000000000001" customHeight="1" x14ac:dyDescent="0.2">
      <c r="A195" s="283"/>
    </row>
    <row r="196" spans="1:9" ht="20.100000000000001" customHeight="1" x14ac:dyDescent="0.2">
      <c r="A196" s="285" t="str">
        <f>"Hospital: "&amp;data!C98</f>
        <v>Hospital: PHM Medical Center</v>
      </c>
      <c r="G196" s="286"/>
      <c r="H196" s="285" t="str">
        <f>"FYE: "&amp;data!C96</f>
        <v>FYE: 12/31/2022</v>
      </c>
    </row>
    <row r="197" spans="1:9" ht="20.100000000000001" customHeight="1" x14ac:dyDescent="0.2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00000000000001" customHeight="1" x14ac:dyDescent="0.2">
      <c r="A198" s="290">
        <v>2</v>
      </c>
      <c r="B198" s="291" t="s">
        <v>971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1008</v>
      </c>
      <c r="H198" s="293" t="s">
        <v>146</v>
      </c>
      <c r="I198" s="293"/>
    </row>
    <row r="199" spans="1:9" ht="20.100000000000001" customHeight="1" x14ac:dyDescent="0.2">
      <c r="A199" s="290"/>
      <c r="B199" s="291"/>
      <c r="C199" s="293" t="s">
        <v>141</v>
      </c>
      <c r="D199" s="293" t="s">
        <v>243</v>
      </c>
      <c r="E199" s="293" t="s">
        <v>1009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00000000000001" customHeight="1" x14ac:dyDescent="0.2">
      <c r="A200" s="279">
        <v>3</v>
      </c>
      <c r="B200" s="287" t="s">
        <v>975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00000000000001" customHeight="1" x14ac:dyDescent="0.2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20677</v>
      </c>
    </row>
    <row r="202" spans="1:9" ht="20.100000000000001" customHeight="1" x14ac:dyDescent="0.2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9.35</v>
      </c>
    </row>
    <row r="203" spans="1:9" ht="20.100000000000001" customHeight="1" x14ac:dyDescent="0.2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458201</v>
      </c>
    </row>
    <row r="204" spans="1:9" ht="20.100000000000001" customHeight="1" x14ac:dyDescent="0.2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100191</v>
      </c>
    </row>
    <row r="205" spans="1:9" ht="20.100000000000001" customHeight="1" x14ac:dyDescent="0.2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00000000000001" customHeight="1" x14ac:dyDescent="0.2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185813</v>
      </c>
    </row>
    <row r="207" spans="1:9" ht="20.100000000000001" customHeight="1" x14ac:dyDescent="0.2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00000000000001" customHeight="1" x14ac:dyDescent="0.2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223793</v>
      </c>
    </row>
    <row r="209" spans="1:9" ht="20.100000000000001" customHeight="1" x14ac:dyDescent="0.2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79248</v>
      </c>
    </row>
    <row r="210" spans="1:9" ht="20.100000000000001" customHeight="1" x14ac:dyDescent="0.2">
      <c r="A210" s="279">
        <v>13</v>
      </c>
      <c r="B210" s="287" t="s">
        <v>976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00000000000001" customHeight="1" x14ac:dyDescent="0.2">
      <c r="A211" s="279">
        <v>14</v>
      </c>
      <c r="B211" s="287" t="s">
        <v>977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5198</v>
      </c>
    </row>
    <row r="212" spans="1:9" ht="20.100000000000001" customHeight="1" x14ac:dyDescent="0.2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-130535</v>
      </c>
    </row>
    <row r="213" spans="1:9" ht="20.100000000000001" customHeight="1" x14ac:dyDescent="0.2">
      <c r="A213" s="279">
        <v>16</v>
      </c>
      <c r="B213" s="295" t="s">
        <v>978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921909</v>
      </c>
    </row>
    <row r="214" spans="1:9" ht="20.100000000000001" customHeight="1" x14ac:dyDescent="0.2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00000000000001" customHeight="1" x14ac:dyDescent="0.2">
      <c r="A215" s="279">
        <v>18</v>
      </c>
      <c r="B215" s="287" t="s">
        <v>979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0</v>
      </c>
      <c r="G215" s="301"/>
      <c r="H215" s="287"/>
      <c r="I215" s="287"/>
    </row>
    <row r="216" spans="1:9" ht="20.100000000000001" customHeight="1" x14ac:dyDescent="0.2">
      <c r="A216" s="279">
        <v>19</v>
      </c>
      <c r="B216" s="295" t="s">
        <v>980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00000000000001" customHeight="1" x14ac:dyDescent="0.2">
      <c r="A217" s="279">
        <v>20</v>
      </c>
      <c r="B217" s="295" t="s">
        <v>981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00000000000001" customHeight="1" x14ac:dyDescent="0.2">
      <c r="A218" s="279">
        <v>21</v>
      </c>
      <c r="B218" s="295" t="s">
        <v>982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00000000000001" customHeight="1" x14ac:dyDescent="0.2">
      <c r="A219" s="279" t="s">
        <v>983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00000000000001" customHeight="1" x14ac:dyDescent="0.2">
      <c r="A220" s="279">
        <v>22</v>
      </c>
      <c r="B220" s="287" t="s">
        <v>984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2160</v>
      </c>
    </row>
    <row r="221" spans="1:9" ht="20.100000000000001" customHeight="1" x14ac:dyDescent="0.2">
      <c r="A221" s="279">
        <v>23</v>
      </c>
      <c r="B221" s="287" t="s">
        <v>985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00000000000001" customHeight="1" x14ac:dyDescent="0.2">
      <c r="A222" s="279">
        <v>24</v>
      </c>
      <c r="B222" s="287" t="s">
        <v>986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/>
    </row>
    <row r="223" spans="1:9" ht="20.100000000000001" customHeight="1" x14ac:dyDescent="0.2">
      <c r="A223" s="279">
        <v>25</v>
      </c>
      <c r="B223" s="287" t="s">
        <v>987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00000000000001" customHeight="1" x14ac:dyDescent="0.2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00000000000001" customHeight="1" x14ac:dyDescent="0.2">
      <c r="A225" s="280" t="s">
        <v>969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00000000000001" customHeight="1" x14ac:dyDescent="0.2">
      <c r="D226" s="283"/>
      <c r="I226" s="284" t="s">
        <v>1010</v>
      </c>
    </row>
    <row r="227" spans="1:9" ht="20.100000000000001" customHeight="1" x14ac:dyDescent="0.2">
      <c r="A227" s="283"/>
    </row>
    <row r="228" spans="1:9" ht="20.100000000000001" customHeight="1" x14ac:dyDescent="0.2">
      <c r="A228" s="285" t="str">
        <f>"Hospital: "&amp;data!C98</f>
        <v>Hospital: PHM Medical Center</v>
      </c>
      <c r="G228" s="286"/>
      <c r="H228" s="285" t="str">
        <f>"FYE: "&amp;data!C96</f>
        <v>FYE: 12/31/2022</v>
      </c>
    </row>
    <row r="229" spans="1:9" ht="20.100000000000001" customHeight="1" x14ac:dyDescent="0.2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00000000000001" customHeight="1" x14ac:dyDescent="0.2">
      <c r="A230" s="290">
        <v>2</v>
      </c>
      <c r="B230" s="291" t="s">
        <v>971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00000000000001" customHeight="1" x14ac:dyDescent="0.2">
      <c r="A231" s="290"/>
      <c r="B231" s="291"/>
      <c r="C231" s="293" t="s">
        <v>148</v>
      </c>
      <c r="D231" s="293" t="s">
        <v>201</v>
      </c>
      <c r="E231" s="293" t="s">
        <v>1011</v>
      </c>
      <c r="F231" s="293" t="s">
        <v>1012</v>
      </c>
      <c r="G231" s="293" t="s">
        <v>151</v>
      </c>
      <c r="H231" s="293" t="s">
        <v>152</v>
      </c>
      <c r="I231" s="293" t="s">
        <v>153</v>
      </c>
    </row>
    <row r="232" spans="1:9" ht="20.100000000000001" customHeight="1" x14ac:dyDescent="0.2">
      <c r="A232" s="279">
        <v>3</v>
      </c>
      <c r="B232" s="287" t="s">
        <v>975</v>
      </c>
      <c r="C232" s="289" t="s">
        <v>1013</v>
      </c>
      <c r="D232" s="289" t="s">
        <v>1014</v>
      </c>
      <c r="E232" s="299"/>
      <c r="F232" s="299"/>
      <c r="G232" s="299"/>
      <c r="H232" s="289" t="s">
        <v>245</v>
      </c>
      <c r="I232" s="299"/>
    </row>
    <row r="233" spans="1:9" ht="20.100000000000001" customHeight="1" x14ac:dyDescent="0.2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103932</v>
      </c>
      <c r="I233" s="299"/>
    </row>
    <row r="234" spans="1:9" ht="20.100000000000001" customHeight="1" x14ac:dyDescent="0.2">
      <c r="A234" s="279">
        <v>5</v>
      </c>
      <c r="B234" s="287" t="s">
        <v>247</v>
      </c>
      <c r="C234" s="294">
        <f>data!AZ60</f>
        <v>0</v>
      </c>
      <c r="D234" s="294">
        <f>data!BA60</f>
        <v>1.96</v>
      </c>
      <c r="E234" s="294">
        <f>data!BB60</f>
        <v>3.55</v>
      </c>
      <c r="F234" s="294">
        <f>data!BC60</f>
        <v>0</v>
      </c>
      <c r="G234" s="294">
        <f>data!BD60</f>
        <v>0</v>
      </c>
      <c r="H234" s="294">
        <f>data!BE60</f>
        <v>7.55</v>
      </c>
      <c r="I234" s="294">
        <f>data!BF60</f>
        <v>10.89</v>
      </c>
    </row>
    <row r="235" spans="1:9" ht="20.100000000000001" customHeight="1" x14ac:dyDescent="0.2">
      <c r="A235" s="279">
        <v>6</v>
      </c>
      <c r="B235" s="287" t="s">
        <v>248</v>
      </c>
      <c r="C235" s="287">
        <f>data!AZ61</f>
        <v>0</v>
      </c>
      <c r="D235" s="287">
        <f>data!BA61</f>
        <v>74469</v>
      </c>
      <c r="E235" s="287">
        <f>data!BB61</f>
        <v>375543</v>
      </c>
      <c r="F235" s="287">
        <f>data!BC61</f>
        <v>0</v>
      </c>
      <c r="G235" s="287">
        <f>data!BD61</f>
        <v>0</v>
      </c>
      <c r="H235" s="287">
        <f>data!BE61</f>
        <v>389513</v>
      </c>
      <c r="I235" s="287">
        <f>data!BF61</f>
        <v>432036</v>
      </c>
    </row>
    <row r="236" spans="1:9" ht="20.100000000000001" customHeight="1" x14ac:dyDescent="0.2">
      <c r="A236" s="279">
        <v>7</v>
      </c>
      <c r="B236" s="287" t="s">
        <v>9</v>
      </c>
      <c r="C236" s="287">
        <f>data!AZ62</f>
        <v>0</v>
      </c>
      <c r="D236" s="287">
        <f>data!BA62</f>
        <v>16284</v>
      </c>
      <c r="E236" s="287">
        <f>data!BB62</f>
        <v>82117</v>
      </c>
      <c r="F236" s="287">
        <f>data!BC62</f>
        <v>0</v>
      </c>
      <c r="G236" s="287">
        <f>data!BD62</f>
        <v>0</v>
      </c>
      <c r="H236" s="287">
        <f>data!BE62</f>
        <v>85172</v>
      </c>
      <c r="I236" s="287">
        <f>data!BF62</f>
        <v>94470</v>
      </c>
    </row>
    <row r="237" spans="1:9" ht="20.100000000000001" customHeight="1" x14ac:dyDescent="0.2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00000000000001" customHeight="1" x14ac:dyDescent="0.2">
      <c r="A238" s="279">
        <v>9</v>
      </c>
      <c r="B238" s="287" t="s">
        <v>250</v>
      </c>
      <c r="C238" s="287">
        <f>data!AZ64</f>
        <v>0</v>
      </c>
      <c r="D238" s="287">
        <f>data!BA64</f>
        <v>57420</v>
      </c>
      <c r="E238" s="287">
        <f>data!BB64</f>
        <v>2327</v>
      </c>
      <c r="F238" s="287">
        <f>data!BC64</f>
        <v>0</v>
      </c>
      <c r="G238" s="287">
        <f>data!BD64</f>
        <v>0</v>
      </c>
      <c r="H238" s="287">
        <f>data!BE64</f>
        <v>39754</v>
      </c>
      <c r="I238" s="287">
        <f>data!BF64</f>
        <v>56895</v>
      </c>
    </row>
    <row r="239" spans="1:9" ht="20.100000000000001" customHeight="1" x14ac:dyDescent="0.2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325652</v>
      </c>
      <c r="I239" s="287">
        <f>data!BF65</f>
        <v>0</v>
      </c>
    </row>
    <row r="240" spans="1:9" ht="20.100000000000001" customHeight="1" x14ac:dyDescent="0.2">
      <c r="A240" s="279">
        <v>11</v>
      </c>
      <c r="B240" s="287" t="s">
        <v>498</v>
      </c>
      <c r="C240" s="287">
        <f>data!AZ66</f>
        <v>0</v>
      </c>
      <c r="D240" s="287">
        <f>data!BA66</f>
        <v>39554</v>
      </c>
      <c r="E240" s="287">
        <f>data!BB66</f>
        <v>17986</v>
      </c>
      <c r="F240" s="287">
        <f>data!BC66</f>
        <v>0</v>
      </c>
      <c r="G240" s="287">
        <f>data!BD66</f>
        <v>0</v>
      </c>
      <c r="H240" s="287">
        <f>data!BE66</f>
        <v>110695</v>
      </c>
      <c r="I240" s="287">
        <f>data!BF66</f>
        <v>2543</v>
      </c>
    </row>
    <row r="241" spans="1:9" ht="20.100000000000001" customHeight="1" x14ac:dyDescent="0.2">
      <c r="A241" s="279">
        <v>12</v>
      </c>
      <c r="B241" s="287" t="s">
        <v>11</v>
      </c>
      <c r="C241" s="287">
        <f>data!AZ67</f>
        <v>0</v>
      </c>
      <c r="D241" s="287">
        <f>data!BA67</f>
        <v>32580</v>
      </c>
      <c r="E241" s="287">
        <f>data!BB67</f>
        <v>10420</v>
      </c>
      <c r="F241" s="287">
        <f>data!BC67</f>
        <v>0</v>
      </c>
      <c r="G241" s="287">
        <f>data!BD67</f>
        <v>0</v>
      </c>
      <c r="H241" s="287">
        <f>data!BE67</f>
        <v>230039</v>
      </c>
      <c r="I241" s="287">
        <f>data!BF67</f>
        <v>30819</v>
      </c>
    </row>
    <row r="242" spans="1:9" ht="20.100000000000001" customHeight="1" x14ac:dyDescent="0.2">
      <c r="A242" s="279">
        <v>13</v>
      </c>
      <c r="B242" s="287" t="s">
        <v>976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2773</v>
      </c>
      <c r="I242" s="287">
        <f>data!BF68</f>
        <v>0</v>
      </c>
    </row>
    <row r="243" spans="1:9" ht="20.100000000000001" customHeight="1" x14ac:dyDescent="0.2">
      <c r="A243" s="279">
        <v>14</v>
      </c>
      <c r="B243" s="287" t="s">
        <v>977</v>
      </c>
      <c r="C243" s="287">
        <f>data!AZ69</f>
        <v>0</v>
      </c>
      <c r="D243" s="287">
        <f>data!BA69</f>
        <v>3005</v>
      </c>
      <c r="E243" s="287">
        <f>data!BB69</f>
        <v>1371</v>
      </c>
      <c r="F243" s="287">
        <f>data!BC69</f>
        <v>0</v>
      </c>
      <c r="G243" s="287">
        <f>data!BD69</f>
        <v>0</v>
      </c>
      <c r="H243" s="287">
        <f>data!BE69</f>
        <v>18690</v>
      </c>
      <c r="I243" s="287">
        <f>data!BF69</f>
        <v>3583</v>
      </c>
    </row>
    <row r="244" spans="1:9" ht="20.100000000000001" customHeight="1" x14ac:dyDescent="0.2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00000000000001" customHeight="1" x14ac:dyDescent="0.2">
      <c r="A245" s="279">
        <v>16</v>
      </c>
      <c r="B245" s="295" t="s">
        <v>978</v>
      </c>
      <c r="C245" s="287">
        <f>data!AZ85</f>
        <v>0</v>
      </c>
      <c r="D245" s="287">
        <f>data!BA85</f>
        <v>223312</v>
      </c>
      <c r="E245" s="287">
        <f>data!BB85</f>
        <v>489764</v>
      </c>
      <c r="F245" s="287">
        <f>data!BC85</f>
        <v>0</v>
      </c>
      <c r="G245" s="287">
        <f>data!BD85</f>
        <v>0</v>
      </c>
      <c r="H245" s="287">
        <f>data!BE85</f>
        <v>1202288</v>
      </c>
      <c r="I245" s="287">
        <f>data!BF85</f>
        <v>620346</v>
      </c>
    </row>
    <row r="246" spans="1:9" ht="20.100000000000001" customHeight="1" x14ac:dyDescent="0.2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00000000000001" customHeight="1" x14ac:dyDescent="0.2">
      <c r="A247" s="279">
        <v>18</v>
      </c>
      <c r="B247" s="287" t="s">
        <v>979</v>
      </c>
      <c r="C247" s="287"/>
      <c r="D247" s="287"/>
      <c r="E247" s="287"/>
      <c r="F247" s="287"/>
      <c r="G247" s="287"/>
      <c r="H247" s="287"/>
      <c r="I247" s="287"/>
    </row>
    <row r="248" spans="1:9" ht="20.100000000000001" customHeight="1" x14ac:dyDescent="0.2">
      <c r="A248" s="279">
        <v>19</v>
      </c>
      <c r="B248" s="295" t="s">
        <v>980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00000000000001" customHeight="1" x14ac:dyDescent="0.2">
      <c r="A249" s="279">
        <v>20</v>
      </c>
      <c r="B249" s="295" t="s">
        <v>981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00000000000001" customHeight="1" x14ac:dyDescent="0.2">
      <c r="A250" s="279">
        <v>21</v>
      </c>
      <c r="B250" s="295" t="s">
        <v>982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00000000000001" customHeight="1" x14ac:dyDescent="0.2">
      <c r="A251" s="279" t="s">
        <v>983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00000000000001" customHeight="1" x14ac:dyDescent="0.2">
      <c r="A252" s="279">
        <v>22</v>
      </c>
      <c r="B252" s="287" t="s">
        <v>984</v>
      </c>
      <c r="C252" s="303">
        <f>data!AZ90</f>
        <v>0</v>
      </c>
      <c r="D252" s="303">
        <f>data!BA90</f>
        <v>888</v>
      </c>
      <c r="E252" s="303">
        <f>data!BB90</f>
        <v>284</v>
      </c>
      <c r="F252" s="303">
        <f>data!BC90</f>
        <v>0</v>
      </c>
      <c r="G252" s="303">
        <f>data!BD90</f>
        <v>0</v>
      </c>
      <c r="H252" s="303">
        <f>data!BE90</f>
        <v>6270</v>
      </c>
      <c r="I252" s="303">
        <f>data!BF90</f>
        <v>840</v>
      </c>
    </row>
    <row r="253" spans="1:9" ht="20.100000000000001" customHeight="1" x14ac:dyDescent="0.2">
      <c r="A253" s="279">
        <v>23</v>
      </c>
      <c r="B253" s="287" t="s">
        <v>985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00000000000001" customHeight="1" x14ac:dyDescent="0.2">
      <c r="A254" s="279">
        <v>24</v>
      </c>
      <c r="B254" s="287" t="s">
        <v>986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/>
      <c r="I254" s="302"/>
    </row>
    <row r="255" spans="1:9" ht="20.100000000000001" customHeight="1" x14ac:dyDescent="0.2">
      <c r="A255" s="279">
        <v>25</v>
      </c>
      <c r="B255" s="287" t="s">
        <v>987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00000000000001" customHeight="1" x14ac:dyDescent="0.2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00000000000001" customHeight="1" x14ac:dyDescent="0.2">
      <c r="A257" s="280" t="s">
        <v>969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00000000000001" customHeight="1" x14ac:dyDescent="0.2">
      <c r="D258" s="283"/>
      <c r="I258" s="284" t="s">
        <v>1015</v>
      </c>
    </row>
    <row r="259" spans="1:9" ht="20.100000000000001" customHeight="1" x14ac:dyDescent="0.2">
      <c r="A259" s="283"/>
    </row>
    <row r="260" spans="1:9" ht="20.100000000000001" customHeight="1" x14ac:dyDescent="0.2">
      <c r="A260" s="285" t="str">
        <f>"Hospital: "&amp;data!C98</f>
        <v>Hospital: PHM Medical Center</v>
      </c>
      <c r="G260" s="286"/>
      <c r="H260" s="285" t="str">
        <f>"FYE: "&amp;data!C96</f>
        <v>FYE: 12/31/2022</v>
      </c>
    </row>
    <row r="261" spans="1:9" ht="20.100000000000001" customHeight="1" x14ac:dyDescent="0.2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00000000000001" customHeight="1" x14ac:dyDescent="0.2">
      <c r="A262" s="290">
        <v>2</v>
      </c>
      <c r="B262" s="291" t="s">
        <v>971</v>
      </c>
      <c r="C262" s="293" t="s">
        <v>1016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00000000000001" customHeight="1" x14ac:dyDescent="0.2">
      <c r="A263" s="290"/>
      <c r="B263" s="291"/>
      <c r="C263" s="293" t="s">
        <v>1017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1018</v>
      </c>
    </row>
    <row r="264" spans="1:9" ht="20.100000000000001" customHeight="1" x14ac:dyDescent="0.2">
      <c r="A264" s="279">
        <v>3</v>
      </c>
      <c r="B264" s="287" t="s">
        <v>975</v>
      </c>
      <c r="C264" s="299"/>
      <c r="D264" s="299"/>
      <c r="E264" s="299"/>
      <c r="F264" s="299"/>
      <c r="G264" s="299"/>
      <c r="H264" s="299"/>
      <c r="I264" s="299"/>
    </row>
    <row r="265" spans="1:9" ht="20.100000000000001" customHeight="1" x14ac:dyDescent="0.2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00000000000001" customHeight="1" x14ac:dyDescent="0.2">
      <c r="A266" s="279">
        <v>5</v>
      </c>
      <c r="B266" s="287" t="s">
        <v>247</v>
      </c>
      <c r="C266" s="294">
        <f>data!BG60</f>
        <v>0</v>
      </c>
      <c r="D266" s="294">
        <f>data!BH60</f>
        <v>7.65</v>
      </c>
      <c r="E266" s="294">
        <f>data!BI60</f>
        <v>0</v>
      </c>
      <c r="F266" s="294">
        <f>data!BJ60</f>
        <v>5.14</v>
      </c>
      <c r="G266" s="294">
        <f>data!BK60</f>
        <v>24.95</v>
      </c>
      <c r="H266" s="294">
        <f>data!BL60</f>
        <v>0</v>
      </c>
      <c r="I266" s="294">
        <f>data!BM60</f>
        <v>0</v>
      </c>
    </row>
    <row r="267" spans="1:9" ht="20.100000000000001" customHeight="1" x14ac:dyDescent="0.2">
      <c r="A267" s="279">
        <v>6</v>
      </c>
      <c r="B267" s="287" t="s">
        <v>248</v>
      </c>
      <c r="C267" s="287">
        <f>data!BG61</f>
        <v>0</v>
      </c>
      <c r="D267" s="287">
        <f>data!BH61</f>
        <v>516761</v>
      </c>
      <c r="E267" s="287">
        <f>data!BI61</f>
        <v>0</v>
      </c>
      <c r="F267" s="287">
        <f>data!BJ61</f>
        <v>584176</v>
      </c>
      <c r="G267" s="287">
        <f>data!BK61</f>
        <v>1200422</v>
      </c>
      <c r="H267" s="287">
        <f>data!BL61</f>
        <v>0</v>
      </c>
      <c r="I267" s="287">
        <f>data!BM61</f>
        <v>0</v>
      </c>
    </row>
    <row r="268" spans="1:9" ht="20.100000000000001" customHeight="1" x14ac:dyDescent="0.2">
      <c r="A268" s="279">
        <v>7</v>
      </c>
      <c r="B268" s="287" t="s">
        <v>9</v>
      </c>
      <c r="C268" s="287">
        <f>data!BG62</f>
        <v>0</v>
      </c>
      <c r="D268" s="287">
        <f>data!BH62</f>
        <v>112996</v>
      </c>
      <c r="E268" s="287">
        <f>data!BI62</f>
        <v>0</v>
      </c>
      <c r="F268" s="287">
        <f>data!BJ62</f>
        <v>127737</v>
      </c>
      <c r="G268" s="287">
        <f>data!BK62</f>
        <v>262487</v>
      </c>
      <c r="H268" s="287">
        <f>data!BL62</f>
        <v>0</v>
      </c>
      <c r="I268" s="287">
        <f>data!BM62</f>
        <v>0</v>
      </c>
    </row>
    <row r="269" spans="1:9" ht="20.100000000000001" customHeight="1" x14ac:dyDescent="0.2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127620</v>
      </c>
      <c r="G269" s="287">
        <f>data!BK63</f>
        <v>281291</v>
      </c>
      <c r="H269" s="287">
        <f>data!BL63</f>
        <v>0</v>
      </c>
      <c r="I269" s="287">
        <f>data!BM63</f>
        <v>0</v>
      </c>
    </row>
    <row r="270" spans="1:9" ht="20.100000000000001" customHeight="1" x14ac:dyDescent="0.2">
      <c r="A270" s="279">
        <v>9</v>
      </c>
      <c r="B270" s="287" t="s">
        <v>250</v>
      </c>
      <c r="C270" s="287">
        <f>data!BG64</f>
        <v>0</v>
      </c>
      <c r="D270" s="287">
        <f>data!BH64</f>
        <v>1719304</v>
      </c>
      <c r="E270" s="287">
        <f>data!BI64</f>
        <v>0</v>
      </c>
      <c r="F270" s="287">
        <f>data!BJ64</f>
        <v>123780</v>
      </c>
      <c r="G270" s="287">
        <f>data!BK64</f>
        <v>26104</v>
      </c>
      <c r="H270" s="287">
        <f>data!BL64</f>
        <v>0</v>
      </c>
      <c r="I270" s="287">
        <f>data!BM64</f>
        <v>0</v>
      </c>
    </row>
    <row r="271" spans="1:9" ht="20.100000000000001" customHeight="1" x14ac:dyDescent="0.2">
      <c r="A271" s="279">
        <v>10</v>
      </c>
      <c r="B271" s="287" t="s">
        <v>497</v>
      </c>
      <c r="C271" s="287">
        <f>data!BG65</f>
        <v>0</v>
      </c>
      <c r="D271" s="287">
        <f>data!BH65</f>
        <v>113828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00000000000001" customHeight="1" x14ac:dyDescent="0.2">
      <c r="A272" s="279">
        <v>11</v>
      </c>
      <c r="B272" s="287" t="s">
        <v>498</v>
      </c>
      <c r="C272" s="287">
        <f>data!BG66</f>
        <v>0</v>
      </c>
      <c r="D272" s="287">
        <f>data!BH66</f>
        <v>99456</v>
      </c>
      <c r="E272" s="287">
        <f>data!BI66</f>
        <v>0</v>
      </c>
      <c r="F272" s="287">
        <f>data!BJ66</f>
        <v>19640</v>
      </c>
      <c r="G272" s="287">
        <f>data!BK66</f>
        <v>238309</v>
      </c>
      <c r="H272" s="287">
        <f>data!BL66</f>
        <v>0</v>
      </c>
      <c r="I272" s="287">
        <f>data!BM66</f>
        <v>0</v>
      </c>
    </row>
    <row r="273" spans="1:9" ht="20.100000000000001" customHeight="1" x14ac:dyDescent="0.2">
      <c r="A273" s="279">
        <v>12</v>
      </c>
      <c r="B273" s="287" t="s">
        <v>11</v>
      </c>
      <c r="C273" s="287">
        <f>data!BG67</f>
        <v>0</v>
      </c>
      <c r="D273" s="287">
        <f>data!BH67</f>
        <v>25389</v>
      </c>
      <c r="E273" s="287">
        <f>data!BI67</f>
        <v>0</v>
      </c>
      <c r="F273" s="287">
        <f>data!BJ67</f>
        <v>23334</v>
      </c>
      <c r="G273" s="287">
        <f>data!BK67</f>
        <v>18858</v>
      </c>
      <c r="H273" s="287">
        <f>data!BL67</f>
        <v>628664</v>
      </c>
      <c r="I273" s="287">
        <f>data!BM67</f>
        <v>0</v>
      </c>
    </row>
    <row r="274" spans="1:9" ht="20.100000000000001" customHeight="1" x14ac:dyDescent="0.2">
      <c r="A274" s="279">
        <v>13</v>
      </c>
      <c r="B274" s="287" t="s">
        <v>976</v>
      </c>
      <c r="C274" s="287">
        <f>data!BG68</f>
        <v>0</v>
      </c>
      <c r="D274" s="287">
        <f>data!BH68</f>
        <v>109669</v>
      </c>
      <c r="E274" s="287">
        <f>data!BI68</f>
        <v>0</v>
      </c>
      <c r="F274" s="287">
        <f>data!BJ68</f>
        <v>74</v>
      </c>
      <c r="G274" s="287">
        <f>data!BK68</f>
        <v>7345</v>
      </c>
      <c r="H274" s="287">
        <f>data!BL68</f>
        <v>0</v>
      </c>
      <c r="I274" s="287">
        <f>data!BM68</f>
        <v>0</v>
      </c>
    </row>
    <row r="275" spans="1:9" ht="20.100000000000001" customHeight="1" x14ac:dyDescent="0.2">
      <c r="A275" s="279">
        <v>14</v>
      </c>
      <c r="B275" s="287" t="s">
        <v>977</v>
      </c>
      <c r="C275" s="287">
        <f>data!BG69</f>
        <v>0</v>
      </c>
      <c r="D275" s="287">
        <f>data!BH69</f>
        <v>191527</v>
      </c>
      <c r="E275" s="287">
        <f>data!BI69</f>
        <v>0</v>
      </c>
      <c r="F275" s="287">
        <f>data!BJ69</f>
        <v>103153</v>
      </c>
      <c r="G275" s="287">
        <f>data!BK69</f>
        <v>132548</v>
      </c>
      <c r="H275" s="287">
        <f>data!BL69</f>
        <v>0</v>
      </c>
      <c r="I275" s="287">
        <f>data!BM69</f>
        <v>0</v>
      </c>
    </row>
    <row r="276" spans="1:9" ht="20.100000000000001" customHeight="1" x14ac:dyDescent="0.2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00000000000001" customHeight="1" x14ac:dyDescent="0.2">
      <c r="A277" s="279">
        <v>16</v>
      </c>
      <c r="B277" s="295" t="s">
        <v>978</v>
      </c>
      <c r="C277" s="287">
        <f>data!BG85</f>
        <v>0</v>
      </c>
      <c r="D277" s="287">
        <f>data!BH85</f>
        <v>2888930</v>
      </c>
      <c r="E277" s="287">
        <f>data!BI85</f>
        <v>0</v>
      </c>
      <c r="F277" s="287">
        <f>data!BJ85</f>
        <v>1109514</v>
      </c>
      <c r="G277" s="287">
        <f>data!BK85</f>
        <v>2167364</v>
      </c>
      <c r="H277" s="287">
        <f>data!BL85</f>
        <v>628664</v>
      </c>
      <c r="I277" s="287">
        <f>data!BM85</f>
        <v>0</v>
      </c>
    </row>
    <row r="278" spans="1:9" ht="20.100000000000001" customHeight="1" x14ac:dyDescent="0.2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00000000000001" customHeight="1" x14ac:dyDescent="0.2">
      <c r="A279" s="279">
        <v>18</v>
      </c>
      <c r="B279" s="287" t="s">
        <v>979</v>
      </c>
      <c r="C279" s="287"/>
      <c r="D279" s="287"/>
      <c r="E279" s="287"/>
      <c r="F279" s="287"/>
      <c r="G279" s="287"/>
      <c r="H279" s="287"/>
      <c r="I279" s="287"/>
    </row>
    <row r="280" spans="1:9" ht="20.100000000000001" customHeight="1" x14ac:dyDescent="0.2">
      <c r="A280" s="279">
        <v>19</v>
      </c>
      <c r="B280" s="295" t="s">
        <v>980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00000000000001" customHeight="1" x14ac:dyDescent="0.2">
      <c r="A281" s="279">
        <v>20</v>
      </c>
      <c r="B281" s="295" t="s">
        <v>981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00000000000001" customHeight="1" x14ac:dyDescent="0.2">
      <c r="A282" s="279">
        <v>21</v>
      </c>
      <c r="B282" s="295" t="s">
        <v>982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00000000000001" customHeight="1" x14ac:dyDescent="0.2">
      <c r="A283" s="279" t="s">
        <v>983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00000000000001" customHeight="1" x14ac:dyDescent="0.2">
      <c r="A284" s="279">
        <v>22</v>
      </c>
      <c r="B284" s="287" t="s">
        <v>984</v>
      </c>
      <c r="C284" s="303">
        <f>data!BG90</f>
        <v>0</v>
      </c>
      <c r="D284" s="303">
        <f>data!BH90</f>
        <v>692</v>
      </c>
      <c r="E284" s="303">
        <f>data!BI90</f>
        <v>0</v>
      </c>
      <c r="F284" s="303">
        <f>data!BJ90</f>
        <v>636</v>
      </c>
      <c r="G284" s="303">
        <f>data!BK90</f>
        <v>514</v>
      </c>
      <c r="H284" s="303">
        <f>data!BL90</f>
        <v>17135</v>
      </c>
      <c r="I284" s="303">
        <f>data!BM90</f>
        <v>0</v>
      </c>
    </row>
    <row r="285" spans="1:9" ht="20.100000000000001" customHeight="1" x14ac:dyDescent="0.2">
      <c r="A285" s="279">
        <v>23</v>
      </c>
      <c r="B285" s="287" t="s">
        <v>985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00000000000001" customHeight="1" x14ac:dyDescent="0.2">
      <c r="A286" s="279">
        <v>24</v>
      </c>
      <c r="B286" s="287" t="s">
        <v>986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/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00000000000001" customHeight="1" x14ac:dyDescent="0.2">
      <c r="A287" s="279">
        <v>25</v>
      </c>
      <c r="B287" s="287" t="s">
        <v>987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00000000000001" customHeight="1" x14ac:dyDescent="0.2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00000000000001" customHeight="1" x14ac:dyDescent="0.2">
      <c r="A289" s="280" t="s">
        <v>969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00000000000001" customHeight="1" x14ac:dyDescent="0.2">
      <c r="D290" s="283"/>
      <c r="I290" s="284" t="s">
        <v>1019</v>
      </c>
    </row>
    <row r="291" spans="1:9" ht="20.100000000000001" customHeight="1" x14ac:dyDescent="0.2">
      <c r="A291" s="283"/>
    </row>
    <row r="292" spans="1:9" ht="20.100000000000001" customHeight="1" x14ac:dyDescent="0.2">
      <c r="A292" s="285" t="str">
        <f>"Hospital: "&amp;data!C98</f>
        <v>Hospital: PHM Medical Center</v>
      </c>
      <c r="G292" s="286"/>
      <c r="H292" s="285" t="str">
        <f>"FYE: "&amp;data!C96</f>
        <v>FYE: 12/31/2022</v>
      </c>
    </row>
    <row r="293" spans="1:9" ht="20.100000000000001" customHeight="1" x14ac:dyDescent="0.2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00000000000001" customHeight="1" x14ac:dyDescent="0.2">
      <c r="A294" s="290">
        <v>2</v>
      </c>
      <c r="B294" s="291" t="s">
        <v>971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00000000000001" customHeight="1" x14ac:dyDescent="0.2">
      <c r="A295" s="290"/>
      <c r="B295" s="291"/>
      <c r="C295" s="293" t="s">
        <v>1020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00000000000001" customHeight="1" x14ac:dyDescent="0.2">
      <c r="A296" s="279">
        <v>3</v>
      </c>
      <c r="B296" s="287" t="s">
        <v>975</v>
      </c>
      <c r="C296" s="299"/>
      <c r="D296" s="299"/>
      <c r="E296" s="299"/>
      <c r="F296" s="299"/>
      <c r="G296" s="299"/>
      <c r="H296" s="299"/>
      <c r="I296" s="299"/>
    </row>
    <row r="297" spans="1:9" ht="20.100000000000001" customHeight="1" x14ac:dyDescent="0.2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00000000000001" customHeight="1" x14ac:dyDescent="0.2">
      <c r="A298" s="279">
        <v>5</v>
      </c>
      <c r="B298" s="287" t="s">
        <v>247</v>
      </c>
      <c r="C298" s="294">
        <f>data!BN60</f>
        <v>7.21</v>
      </c>
      <c r="D298" s="294">
        <f>data!BO60</f>
        <v>0.14000000000000001</v>
      </c>
      <c r="E298" s="294">
        <f>data!BP60</f>
        <v>4.26</v>
      </c>
      <c r="F298" s="294">
        <f>data!BQ60</f>
        <v>0</v>
      </c>
      <c r="G298" s="294">
        <f>data!BR60</f>
        <v>4.04</v>
      </c>
      <c r="H298" s="294">
        <f>data!BS60</f>
        <v>0</v>
      </c>
      <c r="I298" s="294">
        <f>data!BT60</f>
        <v>0</v>
      </c>
    </row>
    <row r="299" spans="1:9" ht="20.100000000000001" customHeight="1" x14ac:dyDescent="0.2">
      <c r="A299" s="279">
        <v>6</v>
      </c>
      <c r="B299" s="287" t="s">
        <v>248</v>
      </c>
      <c r="C299" s="287">
        <f>data!BN61</f>
        <v>2539711</v>
      </c>
      <c r="D299" s="287">
        <f>data!BO61</f>
        <v>42973</v>
      </c>
      <c r="E299" s="287">
        <f>data!BP61</f>
        <v>302646</v>
      </c>
      <c r="F299" s="287">
        <f>data!BQ61</f>
        <v>0</v>
      </c>
      <c r="G299" s="287">
        <f>data!BR61</f>
        <v>373301</v>
      </c>
      <c r="H299" s="287">
        <f>data!BS61</f>
        <v>0</v>
      </c>
      <c r="I299" s="287">
        <f>data!BT61</f>
        <v>0</v>
      </c>
    </row>
    <row r="300" spans="1:9" ht="20.100000000000001" customHeight="1" x14ac:dyDescent="0.2">
      <c r="A300" s="279">
        <v>7</v>
      </c>
      <c r="B300" s="287" t="s">
        <v>9</v>
      </c>
      <c r="C300" s="287">
        <f>data!BN62</f>
        <v>555338</v>
      </c>
      <c r="D300" s="287">
        <f>data!BO62</f>
        <v>9397</v>
      </c>
      <c r="E300" s="287">
        <f>data!BP62</f>
        <v>66177</v>
      </c>
      <c r="F300" s="287">
        <f>data!BQ62</f>
        <v>0</v>
      </c>
      <c r="G300" s="287">
        <f>data!BR62</f>
        <v>81627</v>
      </c>
      <c r="H300" s="287">
        <f>data!BS62</f>
        <v>0</v>
      </c>
      <c r="I300" s="287">
        <f>data!BT62</f>
        <v>0</v>
      </c>
    </row>
    <row r="301" spans="1:9" ht="20.100000000000001" customHeight="1" x14ac:dyDescent="0.2">
      <c r="A301" s="279">
        <v>8</v>
      </c>
      <c r="B301" s="287" t="s">
        <v>249</v>
      </c>
      <c r="C301" s="287">
        <f>data!BN63</f>
        <v>447894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129445</v>
      </c>
      <c r="H301" s="287">
        <f>data!BS63</f>
        <v>0</v>
      </c>
      <c r="I301" s="287">
        <f>data!BT63</f>
        <v>0</v>
      </c>
    </row>
    <row r="302" spans="1:9" ht="20.100000000000001" customHeight="1" x14ac:dyDescent="0.2">
      <c r="A302" s="279">
        <v>9</v>
      </c>
      <c r="B302" s="287" t="s">
        <v>250</v>
      </c>
      <c r="C302" s="287">
        <f>data!BN64</f>
        <v>226861</v>
      </c>
      <c r="D302" s="287">
        <f>data!BO64</f>
        <v>9077</v>
      </c>
      <c r="E302" s="287">
        <f>data!BP64</f>
        <v>480462</v>
      </c>
      <c r="F302" s="287">
        <f>data!BQ64</f>
        <v>0</v>
      </c>
      <c r="G302" s="287">
        <f>data!BR64</f>
        <v>347197</v>
      </c>
      <c r="H302" s="287">
        <f>data!BS64</f>
        <v>0</v>
      </c>
      <c r="I302" s="287">
        <f>data!BT64</f>
        <v>0</v>
      </c>
    </row>
    <row r="303" spans="1:9" ht="20.100000000000001" customHeight="1" x14ac:dyDescent="0.2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00000000000001" customHeight="1" x14ac:dyDescent="0.2">
      <c r="A304" s="279">
        <v>11</v>
      </c>
      <c r="B304" s="287" t="s">
        <v>498</v>
      </c>
      <c r="C304" s="287">
        <f>data!BN66</f>
        <v>517380</v>
      </c>
      <c r="D304" s="287">
        <f>data!BO66</f>
        <v>9973</v>
      </c>
      <c r="E304" s="287">
        <f>data!BP66</f>
        <v>1227272</v>
      </c>
      <c r="F304" s="287">
        <f>data!BQ66</f>
        <v>0</v>
      </c>
      <c r="G304" s="287">
        <f>data!BR66</f>
        <v>50767</v>
      </c>
      <c r="H304" s="287">
        <f>data!BS66</f>
        <v>0</v>
      </c>
      <c r="I304" s="287">
        <f>data!BT66</f>
        <v>0</v>
      </c>
    </row>
    <row r="305" spans="1:9" ht="20.100000000000001" customHeight="1" x14ac:dyDescent="0.2">
      <c r="A305" s="279">
        <v>12</v>
      </c>
      <c r="B305" s="287" t="s">
        <v>11</v>
      </c>
      <c r="C305" s="287">
        <f>data!BN67</f>
        <v>22380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9429</v>
      </c>
      <c r="H305" s="287">
        <f>data!BS67</f>
        <v>0</v>
      </c>
      <c r="I305" s="287">
        <f>data!BT67</f>
        <v>0</v>
      </c>
    </row>
    <row r="306" spans="1:9" ht="20.100000000000001" customHeight="1" x14ac:dyDescent="0.2">
      <c r="A306" s="279">
        <v>13</v>
      </c>
      <c r="B306" s="287" t="s">
        <v>976</v>
      </c>
      <c r="C306" s="287">
        <f>data!BN68</f>
        <v>0</v>
      </c>
      <c r="D306" s="287">
        <f>data!BO68</f>
        <v>0</v>
      </c>
      <c r="E306" s="287">
        <f>data!BP68</f>
        <v>4620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00000000000001" customHeight="1" x14ac:dyDescent="0.2">
      <c r="A307" s="279">
        <v>14</v>
      </c>
      <c r="B307" s="287" t="s">
        <v>977</v>
      </c>
      <c r="C307" s="287">
        <f>data!BN69</f>
        <v>444938</v>
      </c>
      <c r="D307" s="287">
        <f>data!BO69</f>
        <v>0</v>
      </c>
      <c r="E307" s="287">
        <f>data!BP69</f>
        <v>109070</v>
      </c>
      <c r="F307" s="287">
        <f>data!BQ69</f>
        <v>0</v>
      </c>
      <c r="G307" s="287">
        <f>data!BR69</f>
        <v>116291</v>
      </c>
      <c r="H307" s="287">
        <f>data!BS69</f>
        <v>0</v>
      </c>
      <c r="I307" s="287">
        <f>data!BT69</f>
        <v>0</v>
      </c>
    </row>
    <row r="308" spans="1:9" ht="20.100000000000001" customHeight="1" x14ac:dyDescent="0.2">
      <c r="A308" s="279">
        <v>15</v>
      </c>
      <c r="B308" s="287" t="s">
        <v>269</v>
      </c>
      <c r="C308" s="287">
        <f>-data!BN84</f>
        <v>-13726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00000000000001" customHeight="1" x14ac:dyDescent="0.2">
      <c r="A309" s="279">
        <v>16</v>
      </c>
      <c r="B309" s="295" t="s">
        <v>978</v>
      </c>
      <c r="C309" s="287">
        <f>data!BN85</f>
        <v>4740776</v>
      </c>
      <c r="D309" s="287">
        <f>data!BO85</f>
        <v>71420</v>
      </c>
      <c r="E309" s="287">
        <f>data!BP85</f>
        <v>2190247</v>
      </c>
      <c r="F309" s="287">
        <f>data!BQ85</f>
        <v>0</v>
      </c>
      <c r="G309" s="287">
        <f>data!BR85</f>
        <v>1108057</v>
      </c>
      <c r="H309" s="287">
        <f>data!BS85</f>
        <v>0</v>
      </c>
      <c r="I309" s="287">
        <f>data!BT85</f>
        <v>0</v>
      </c>
    </row>
    <row r="310" spans="1:9" ht="20.100000000000001" customHeight="1" x14ac:dyDescent="0.2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00000000000001" customHeight="1" x14ac:dyDescent="0.2">
      <c r="A311" s="279">
        <v>18</v>
      </c>
      <c r="B311" s="287" t="s">
        <v>979</v>
      </c>
      <c r="C311" s="287"/>
      <c r="D311" s="287"/>
      <c r="E311" s="287"/>
      <c r="F311" s="287"/>
      <c r="G311" s="287"/>
      <c r="H311" s="287"/>
      <c r="I311" s="287"/>
    </row>
    <row r="312" spans="1:9" ht="20.100000000000001" customHeight="1" x14ac:dyDescent="0.2">
      <c r="A312" s="279">
        <v>19</v>
      </c>
      <c r="B312" s="295" t="s">
        <v>980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00000000000001" customHeight="1" x14ac:dyDescent="0.2">
      <c r="A313" s="279">
        <v>20</v>
      </c>
      <c r="B313" s="295" t="s">
        <v>981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00000000000001" customHeight="1" x14ac:dyDescent="0.2">
      <c r="A314" s="279">
        <v>21</v>
      </c>
      <c r="B314" s="295" t="s">
        <v>982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00000000000001" customHeight="1" x14ac:dyDescent="0.2">
      <c r="A315" s="279" t="s">
        <v>983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00000000000001" customHeight="1" x14ac:dyDescent="0.2">
      <c r="A316" s="279">
        <v>22</v>
      </c>
      <c r="B316" s="287" t="s">
        <v>984</v>
      </c>
      <c r="C316" s="303">
        <f>data!BN90</f>
        <v>610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257</v>
      </c>
      <c r="H316" s="303">
        <f>data!BS90</f>
        <v>0</v>
      </c>
      <c r="I316" s="303">
        <f>data!BT90</f>
        <v>0</v>
      </c>
    </row>
    <row r="317" spans="1:9" ht="20.100000000000001" customHeight="1" x14ac:dyDescent="0.2">
      <c r="A317" s="279">
        <v>23</v>
      </c>
      <c r="B317" s="287" t="s">
        <v>985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00000000000001" customHeight="1" x14ac:dyDescent="0.2">
      <c r="A318" s="279">
        <v>24</v>
      </c>
      <c r="B318" s="287" t="s">
        <v>986</v>
      </c>
      <c r="C318" s="302"/>
      <c r="D318" s="302" t="str">
        <f>IF(data!BO78&gt;0,data!BO78,"")</f>
        <v/>
      </c>
      <c r="E318" s="302"/>
      <c r="F318" s="302" t="str">
        <f>IF(data!BQ78&gt;0,data!BQ78,"")</f>
        <v/>
      </c>
      <c r="G318" s="302"/>
      <c r="H318" s="303">
        <f>data!BS92</f>
        <v>0</v>
      </c>
      <c r="I318" s="303">
        <f>data!BT92</f>
        <v>0</v>
      </c>
    </row>
    <row r="319" spans="1:9" ht="20.100000000000001" customHeight="1" x14ac:dyDescent="0.2">
      <c r="A319" s="279">
        <v>25</v>
      </c>
      <c r="B319" s="287" t="s">
        <v>987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00000000000001" customHeight="1" x14ac:dyDescent="0.2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00000000000001" customHeight="1" x14ac:dyDescent="0.2">
      <c r="A321" s="280" t="s">
        <v>969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00000000000001" customHeight="1" x14ac:dyDescent="0.2">
      <c r="D322" s="283"/>
      <c r="I322" s="284" t="s">
        <v>1021</v>
      </c>
    </row>
    <row r="323" spans="1:9" ht="20.100000000000001" customHeight="1" x14ac:dyDescent="0.2">
      <c r="A323" s="283"/>
    </row>
    <row r="324" spans="1:9" ht="20.100000000000001" customHeight="1" x14ac:dyDescent="0.2">
      <c r="A324" s="285" t="str">
        <f>"Hospital: "&amp;data!C98</f>
        <v>Hospital: PHM Medical Center</v>
      </c>
      <c r="G324" s="286"/>
      <c r="H324" s="285" t="str">
        <f>"FYE: "&amp;data!C96</f>
        <v>FYE: 12/31/2022</v>
      </c>
    </row>
    <row r="325" spans="1:9" ht="20.100000000000001" customHeight="1" x14ac:dyDescent="0.2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00000000000001" customHeight="1" x14ac:dyDescent="0.2">
      <c r="A326" s="290">
        <v>2</v>
      </c>
      <c r="B326" s="291" t="s">
        <v>971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00000000000001" customHeight="1" x14ac:dyDescent="0.2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1020</v>
      </c>
      <c r="H327" s="293" t="s">
        <v>164</v>
      </c>
      <c r="I327" s="293" t="s">
        <v>213</v>
      </c>
    </row>
    <row r="328" spans="1:9" ht="20.100000000000001" customHeight="1" x14ac:dyDescent="0.2">
      <c r="A328" s="279">
        <v>3</v>
      </c>
      <c r="B328" s="287" t="s">
        <v>975</v>
      </c>
      <c r="C328" s="299"/>
      <c r="D328" s="299"/>
      <c r="E328" s="299"/>
      <c r="F328" s="299"/>
      <c r="G328" s="299"/>
      <c r="H328" s="299"/>
      <c r="I328" s="299"/>
    </row>
    <row r="329" spans="1:9" ht="20.100000000000001" customHeight="1" x14ac:dyDescent="0.2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00000000000001" customHeight="1" x14ac:dyDescent="0.2">
      <c r="A330" s="279">
        <v>5</v>
      </c>
      <c r="B330" s="287" t="s">
        <v>247</v>
      </c>
      <c r="C330" s="294">
        <f>data!BU60</f>
        <v>0</v>
      </c>
      <c r="D330" s="294">
        <f>data!BV60</f>
        <v>8.92</v>
      </c>
      <c r="E330" s="294">
        <f>data!BW60</f>
        <v>2.98</v>
      </c>
      <c r="F330" s="294">
        <f>data!BX60</f>
        <v>0</v>
      </c>
      <c r="G330" s="294">
        <f>data!BY60</f>
        <v>10.92</v>
      </c>
      <c r="H330" s="294">
        <f>data!BZ60</f>
        <v>0</v>
      </c>
      <c r="I330" s="294">
        <f>data!CA60</f>
        <v>0</v>
      </c>
    </row>
    <row r="331" spans="1:9" ht="20.100000000000001" customHeight="1" x14ac:dyDescent="0.2">
      <c r="A331" s="279">
        <v>6</v>
      </c>
      <c r="B331" s="287" t="s">
        <v>248</v>
      </c>
      <c r="C331" s="306">
        <f>data!BU61</f>
        <v>0</v>
      </c>
      <c r="D331" s="306">
        <f>data!BV61</f>
        <v>473745</v>
      </c>
      <c r="E331" s="306">
        <f>data!BW61</f>
        <v>277956</v>
      </c>
      <c r="F331" s="306">
        <f>data!BX61</f>
        <v>0</v>
      </c>
      <c r="G331" s="306">
        <f>data!BY61</f>
        <v>1323788</v>
      </c>
      <c r="H331" s="306">
        <f>data!BZ61</f>
        <v>0</v>
      </c>
      <c r="I331" s="306">
        <f>data!CA61</f>
        <v>0</v>
      </c>
    </row>
    <row r="332" spans="1:9" ht="20.100000000000001" customHeight="1" x14ac:dyDescent="0.2">
      <c r="A332" s="279">
        <v>7</v>
      </c>
      <c r="B332" s="287" t="s">
        <v>9</v>
      </c>
      <c r="C332" s="306">
        <f>data!BU62</f>
        <v>0</v>
      </c>
      <c r="D332" s="306">
        <f>data!BV62</f>
        <v>103590</v>
      </c>
      <c r="E332" s="306">
        <f>data!BW62</f>
        <v>60778</v>
      </c>
      <c r="F332" s="306">
        <f>data!BX62</f>
        <v>0</v>
      </c>
      <c r="G332" s="306">
        <f>data!BY62</f>
        <v>289462</v>
      </c>
      <c r="H332" s="306">
        <f>data!BZ62</f>
        <v>0</v>
      </c>
      <c r="I332" s="306">
        <f>data!CA62</f>
        <v>0</v>
      </c>
    </row>
    <row r="333" spans="1:9" ht="20.100000000000001" customHeight="1" x14ac:dyDescent="0.2">
      <c r="A333" s="279">
        <v>8</v>
      </c>
      <c r="B333" s="287" t="s">
        <v>249</v>
      </c>
      <c r="C333" s="306">
        <f>data!BU63</f>
        <v>0</v>
      </c>
      <c r="D333" s="306">
        <f>data!BV63</f>
        <v>241913</v>
      </c>
      <c r="E333" s="306">
        <f>data!BW63</f>
        <v>47400</v>
      </c>
      <c r="F333" s="306">
        <f>data!BX63</f>
        <v>0</v>
      </c>
      <c r="G333" s="306">
        <f>data!BY63</f>
        <v>2441</v>
      </c>
      <c r="H333" s="306">
        <f>data!BZ63</f>
        <v>0</v>
      </c>
      <c r="I333" s="306">
        <f>data!CA63</f>
        <v>0</v>
      </c>
    </row>
    <row r="334" spans="1:9" ht="20.100000000000001" customHeight="1" x14ac:dyDescent="0.2">
      <c r="A334" s="279">
        <v>9</v>
      </c>
      <c r="B334" s="287" t="s">
        <v>250</v>
      </c>
      <c r="C334" s="306">
        <f>data!BU64</f>
        <v>0</v>
      </c>
      <c r="D334" s="306">
        <f>data!BV64</f>
        <v>5077</v>
      </c>
      <c r="E334" s="306">
        <f>data!BW64</f>
        <v>19591</v>
      </c>
      <c r="F334" s="306">
        <f>data!BX64</f>
        <v>1218</v>
      </c>
      <c r="G334" s="306">
        <f>data!BY64</f>
        <v>1285</v>
      </c>
      <c r="H334" s="306">
        <f>data!BZ64</f>
        <v>0</v>
      </c>
      <c r="I334" s="306">
        <f>data!CA64</f>
        <v>0</v>
      </c>
    </row>
    <row r="335" spans="1:9" ht="20.100000000000001" customHeight="1" x14ac:dyDescent="0.2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00000000000001" customHeight="1" x14ac:dyDescent="0.2">
      <c r="A336" s="279">
        <v>11</v>
      </c>
      <c r="B336" s="287" t="s">
        <v>498</v>
      </c>
      <c r="C336" s="306">
        <f>data!BU66</f>
        <v>0</v>
      </c>
      <c r="D336" s="306">
        <f>data!BV66</f>
        <v>111378</v>
      </c>
      <c r="E336" s="306">
        <f>data!BW66</f>
        <v>51118</v>
      </c>
      <c r="F336" s="306">
        <f>data!BX66</f>
        <v>0</v>
      </c>
      <c r="G336" s="306">
        <f>data!BY66</f>
        <v>43352</v>
      </c>
      <c r="H336" s="306">
        <f>data!BZ66</f>
        <v>0</v>
      </c>
      <c r="I336" s="306">
        <f>data!CA66</f>
        <v>0</v>
      </c>
    </row>
    <row r="337" spans="1:9" ht="20.100000000000001" customHeight="1" x14ac:dyDescent="0.2">
      <c r="A337" s="279">
        <v>12</v>
      </c>
      <c r="B337" s="287" t="s">
        <v>11</v>
      </c>
      <c r="C337" s="306">
        <f>data!BU67</f>
        <v>0</v>
      </c>
      <c r="D337" s="306">
        <f>data!BV67</f>
        <v>36615</v>
      </c>
      <c r="E337" s="306">
        <f>data!BW67</f>
        <v>6017</v>
      </c>
      <c r="F337" s="306">
        <f>data!BX67</f>
        <v>0</v>
      </c>
      <c r="G337" s="306">
        <f>data!BY67</f>
        <v>20582</v>
      </c>
      <c r="H337" s="306">
        <f>data!BZ67</f>
        <v>0</v>
      </c>
      <c r="I337" s="306">
        <f>data!CA67</f>
        <v>0</v>
      </c>
    </row>
    <row r="338" spans="1:9" ht="20.100000000000001" customHeight="1" x14ac:dyDescent="0.2">
      <c r="A338" s="279">
        <v>13</v>
      </c>
      <c r="B338" s="287" t="s">
        <v>976</v>
      </c>
      <c r="C338" s="306">
        <f>data!BU68</f>
        <v>0</v>
      </c>
      <c r="D338" s="306">
        <f>data!BV68</f>
        <v>2225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00000000000001" customHeight="1" x14ac:dyDescent="0.2">
      <c r="A339" s="279">
        <v>14</v>
      </c>
      <c r="B339" s="287" t="s">
        <v>977</v>
      </c>
      <c r="C339" s="306">
        <f>data!BU69</f>
        <v>0</v>
      </c>
      <c r="D339" s="306">
        <f>data!BV69</f>
        <v>3424</v>
      </c>
      <c r="E339" s="306">
        <f>data!BW69</f>
        <v>8228</v>
      </c>
      <c r="F339" s="306">
        <f>data!BX69</f>
        <v>0</v>
      </c>
      <c r="G339" s="306">
        <f>data!BY69</f>
        <v>2317</v>
      </c>
      <c r="H339" s="306">
        <f>data!BZ69</f>
        <v>0</v>
      </c>
      <c r="I339" s="306">
        <f>data!CA69</f>
        <v>0</v>
      </c>
    </row>
    <row r="340" spans="1:9" ht="20.100000000000001" customHeight="1" x14ac:dyDescent="0.2">
      <c r="A340" s="279">
        <v>15</v>
      </c>
      <c r="B340" s="287" t="s">
        <v>269</v>
      </c>
      <c r="C340" s="287">
        <f>-data!BU84</f>
        <v>0</v>
      </c>
      <c r="D340" s="287">
        <f>-data!BV84</f>
        <v>-20853</v>
      </c>
      <c r="E340" s="287">
        <f>-data!BW84</f>
        <v>-25850</v>
      </c>
      <c r="F340" s="287">
        <f>-data!BX84</f>
        <v>0</v>
      </c>
      <c r="G340" s="287">
        <f>-data!BY84</f>
        <v>-849</v>
      </c>
      <c r="H340" s="287">
        <f>-data!BZ84</f>
        <v>0</v>
      </c>
      <c r="I340" s="287">
        <f>-data!CA84</f>
        <v>0</v>
      </c>
    </row>
    <row r="341" spans="1:9" ht="20.100000000000001" customHeight="1" x14ac:dyDescent="0.2">
      <c r="A341" s="279">
        <v>16</v>
      </c>
      <c r="B341" s="295" t="s">
        <v>978</v>
      </c>
      <c r="C341" s="287">
        <f>data!BU85</f>
        <v>0</v>
      </c>
      <c r="D341" s="287">
        <f>data!BV85</f>
        <v>957114</v>
      </c>
      <c r="E341" s="287">
        <f>data!BW85</f>
        <v>445238</v>
      </c>
      <c r="F341" s="287">
        <f>data!BX85</f>
        <v>1218</v>
      </c>
      <c r="G341" s="287">
        <f>data!BY85</f>
        <v>1682378</v>
      </c>
      <c r="H341" s="287">
        <f>data!BZ85</f>
        <v>0</v>
      </c>
      <c r="I341" s="287">
        <f>data!CA85</f>
        <v>0</v>
      </c>
    </row>
    <row r="342" spans="1:9" ht="20.100000000000001" customHeight="1" x14ac:dyDescent="0.2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00000000000001" customHeight="1" x14ac:dyDescent="0.2">
      <c r="A343" s="279">
        <v>18</v>
      </c>
      <c r="B343" s="287" t="s">
        <v>979</v>
      </c>
      <c r="C343" s="287"/>
      <c r="D343" s="287"/>
      <c r="E343" s="287"/>
      <c r="F343" s="287"/>
      <c r="G343" s="287"/>
      <c r="H343" s="287"/>
      <c r="I343" s="287"/>
    </row>
    <row r="344" spans="1:9" ht="20.100000000000001" customHeight="1" x14ac:dyDescent="0.2">
      <c r="A344" s="279">
        <v>19</v>
      </c>
      <c r="B344" s="295" t="s">
        <v>980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00000000000001" customHeight="1" x14ac:dyDescent="0.2">
      <c r="A345" s="279">
        <v>20</v>
      </c>
      <c r="B345" s="295" t="s">
        <v>981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00000000000001" customHeight="1" x14ac:dyDescent="0.2">
      <c r="A346" s="279">
        <v>21</v>
      </c>
      <c r="B346" s="295" t="s">
        <v>982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00000000000001" customHeight="1" x14ac:dyDescent="0.2">
      <c r="A347" s="279" t="s">
        <v>983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00000000000001" customHeight="1" x14ac:dyDescent="0.2">
      <c r="A348" s="279">
        <v>22</v>
      </c>
      <c r="B348" s="287" t="s">
        <v>984</v>
      </c>
      <c r="C348" s="303">
        <f>data!BU90</f>
        <v>0</v>
      </c>
      <c r="D348" s="303">
        <f>data!BV90</f>
        <v>998</v>
      </c>
      <c r="E348" s="303">
        <f>data!BW90</f>
        <v>164</v>
      </c>
      <c r="F348" s="303">
        <f>data!BX90</f>
        <v>0</v>
      </c>
      <c r="G348" s="303">
        <f>data!BY90</f>
        <v>561</v>
      </c>
      <c r="H348" s="303">
        <f>data!BZ90</f>
        <v>0</v>
      </c>
      <c r="I348" s="303">
        <f>data!CA90</f>
        <v>0</v>
      </c>
    </row>
    <row r="349" spans="1:9" ht="20.100000000000001" customHeight="1" x14ac:dyDescent="0.2">
      <c r="A349" s="279">
        <v>23</v>
      </c>
      <c r="B349" s="287" t="s">
        <v>985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00000000000001" customHeight="1" x14ac:dyDescent="0.2">
      <c r="A350" s="279">
        <v>24</v>
      </c>
      <c r="B350" s="287" t="s">
        <v>986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00000000000001" customHeight="1" x14ac:dyDescent="0.2">
      <c r="A351" s="279">
        <v>25</v>
      </c>
      <c r="B351" s="287" t="s">
        <v>987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00000000000001" customHeight="1" x14ac:dyDescent="0.2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00000000000001" customHeight="1" x14ac:dyDescent="0.2">
      <c r="A353" s="280" t="s">
        <v>969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00000000000001" customHeight="1" x14ac:dyDescent="0.2">
      <c r="D354" s="283"/>
      <c r="I354" s="284" t="s">
        <v>1022</v>
      </c>
    </row>
    <row r="355" spans="1:9" ht="20.100000000000001" customHeight="1" x14ac:dyDescent="0.2">
      <c r="A355" s="283"/>
    </row>
    <row r="356" spans="1:9" ht="20.100000000000001" customHeight="1" x14ac:dyDescent="0.2">
      <c r="A356" s="285" t="str">
        <f>"Hospital: "&amp;data!C98</f>
        <v>Hospital: PHM Medical Center</v>
      </c>
      <c r="G356" s="286"/>
      <c r="H356" s="285" t="str">
        <f>"FYE: "&amp;data!C96</f>
        <v>FYE: 12/31/2022</v>
      </c>
    </row>
    <row r="357" spans="1:9" ht="20.100000000000001" customHeight="1" x14ac:dyDescent="0.2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00000000000001" customHeight="1" x14ac:dyDescent="0.2">
      <c r="A358" s="290">
        <v>2</v>
      </c>
      <c r="B358" s="291" t="s">
        <v>971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00000000000001" customHeight="1" x14ac:dyDescent="0.2">
      <c r="A359" s="290"/>
      <c r="B359" s="291"/>
      <c r="C359" s="293" t="s">
        <v>213</v>
      </c>
      <c r="D359" s="293" t="s">
        <v>1023</v>
      </c>
      <c r="E359" s="293" t="s">
        <v>225</v>
      </c>
      <c r="F359" s="308"/>
      <c r="G359" s="308"/>
      <c r="H359" s="308"/>
      <c r="I359" s="293" t="s">
        <v>215</v>
      </c>
    </row>
    <row r="360" spans="1:9" ht="20.100000000000001" customHeight="1" x14ac:dyDescent="0.2">
      <c r="A360" s="279">
        <v>3</v>
      </c>
      <c r="B360" s="287" t="s">
        <v>975</v>
      </c>
      <c r="C360" s="299"/>
      <c r="D360" s="299"/>
      <c r="E360" s="299"/>
      <c r="F360" s="299"/>
      <c r="G360" s="299"/>
      <c r="H360" s="299"/>
      <c r="I360" s="299"/>
    </row>
    <row r="361" spans="1:9" ht="20.100000000000001" customHeight="1" x14ac:dyDescent="0.2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00000000000001" customHeight="1" x14ac:dyDescent="0.2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394.96</v>
      </c>
    </row>
    <row r="363" spans="1:9" ht="20.100000000000001" customHeight="1" x14ac:dyDescent="0.2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38133043</v>
      </c>
    </row>
    <row r="364" spans="1:9" ht="20.100000000000001" customHeight="1" x14ac:dyDescent="0.2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8338247</v>
      </c>
    </row>
    <row r="365" spans="1:9" ht="20.100000000000001" customHeight="1" x14ac:dyDescent="0.2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10135772</v>
      </c>
    </row>
    <row r="366" spans="1:9" ht="20.100000000000001" customHeight="1" x14ac:dyDescent="0.2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13695284</v>
      </c>
    </row>
    <row r="367" spans="1:9" ht="20.100000000000001" customHeight="1" x14ac:dyDescent="0.2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567788</v>
      </c>
    </row>
    <row r="368" spans="1:9" ht="20.100000000000001" customHeight="1" x14ac:dyDescent="0.2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4915690</v>
      </c>
    </row>
    <row r="369" spans="1:9" ht="20.100000000000001" customHeight="1" x14ac:dyDescent="0.2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3813149</v>
      </c>
    </row>
    <row r="370" spans="1:9" ht="20.100000000000001" customHeight="1" x14ac:dyDescent="0.2">
      <c r="A370" s="279">
        <v>13</v>
      </c>
      <c r="B370" s="287" t="s">
        <v>976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780737</v>
      </c>
    </row>
    <row r="371" spans="1:9" ht="20.100000000000001" customHeight="1" x14ac:dyDescent="0.2">
      <c r="A371" s="279">
        <v>14</v>
      </c>
      <c r="B371" s="287" t="s">
        <v>977</v>
      </c>
      <c r="C371" s="306">
        <f>data!CB69</f>
        <v>0</v>
      </c>
      <c r="D371" s="306">
        <f>data!CC69</f>
        <v>0</v>
      </c>
      <c r="E371" s="306">
        <f>data!CD69</f>
        <v>0</v>
      </c>
      <c r="F371" s="311"/>
      <c r="G371" s="311"/>
      <c r="H371" s="311"/>
      <c r="I371" s="306">
        <f>data!CE69</f>
        <v>2282606</v>
      </c>
    </row>
    <row r="372" spans="1:9" ht="20.100000000000001" customHeight="1" x14ac:dyDescent="0.2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-33040</v>
      </c>
      <c r="F372" s="297"/>
      <c r="G372" s="297"/>
      <c r="H372" s="297"/>
      <c r="I372" s="287">
        <f>-data!CE84</f>
        <v>-236087</v>
      </c>
    </row>
    <row r="373" spans="1:9" ht="20.100000000000001" customHeight="1" x14ac:dyDescent="0.2">
      <c r="A373" s="279">
        <v>16</v>
      </c>
      <c r="B373" s="295" t="s">
        <v>978</v>
      </c>
      <c r="C373" s="306">
        <f>data!CB85</f>
        <v>0</v>
      </c>
      <c r="D373" s="306">
        <f>data!CC85</f>
        <v>0</v>
      </c>
      <c r="E373" s="306">
        <f>data!CD85</f>
        <v>-33040</v>
      </c>
      <c r="F373" s="311"/>
      <c r="G373" s="311"/>
      <c r="H373" s="311"/>
      <c r="I373" s="287">
        <f>data!CE85</f>
        <v>82190142</v>
      </c>
    </row>
    <row r="374" spans="1:9" ht="20.100000000000001" customHeight="1" x14ac:dyDescent="0.2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941175</v>
      </c>
    </row>
    <row r="375" spans="1:9" ht="20.100000000000001" customHeight="1" x14ac:dyDescent="0.2">
      <c r="A375" s="279">
        <v>18</v>
      </c>
      <c r="B375" s="287" t="s">
        <v>979</v>
      </c>
      <c r="C375" s="287"/>
      <c r="D375" s="287"/>
      <c r="E375" s="287"/>
      <c r="F375" s="287"/>
      <c r="G375" s="287"/>
      <c r="H375" s="287"/>
      <c r="I375" s="287"/>
    </row>
    <row r="376" spans="1:9" ht="20.100000000000001" customHeight="1" x14ac:dyDescent="0.2">
      <c r="A376" s="279">
        <v>19</v>
      </c>
      <c r="B376" s="295" t="s">
        <v>980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46041273</v>
      </c>
    </row>
    <row r="377" spans="1:9" ht="20.100000000000001" customHeight="1" x14ac:dyDescent="0.2">
      <c r="A377" s="279">
        <v>20</v>
      </c>
      <c r="B377" s="295" t="s">
        <v>981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209382378</v>
      </c>
    </row>
    <row r="378" spans="1:9" ht="20.100000000000001" customHeight="1" x14ac:dyDescent="0.2">
      <c r="A378" s="279">
        <v>21</v>
      </c>
      <c r="B378" s="295" t="s">
        <v>982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255423651</v>
      </c>
    </row>
    <row r="379" spans="1:9" ht="20.100000000000001" customHeight="1" x14ac:dyDescent="0.2">
      <c r="A379" s="279" t="s">
        <v>983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00000000000001" customHeight="1" x14ac:dyDescent="0.2">
      <c r="A380" s="279">
        <v>22</v>
      </c>
      <c r="B380" s="287" t="s">
        <v>984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103932</v>
      </c>
    </row>
    <row r="381" spans="1:9" ht="20.100000000000001" customHeight="1" x14ac:dyDescent="0.2">
      <c r="A381" s="279">
        <v>23</v>
      </c>
      <c r="B381" s="287" t="s">
        <v>985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20677</v>
      </c>
    </row>
    <row r="382" spans="1:9" ht="20.100000000000001" customHeight="1" x14ac:dyDescent="0.2">
      <c r="A382" s="279">
        <v>24</v>
      </c>
      <c r="B382" s="287" t="s">
        <v>986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2825</v>
      </c>
    </row>
    <row r="383" spans="1:9" ht="20.100000000000001" customHeight="1" x14ac:dyDescent="0.2">
      <c r="A383" s="279">
        <v>25</v>
      </c>
      <c r="B383" s="287" t="s">
        <v>987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180670</v>
      </c>
    </row>
    <row r="384" spans="1:9" ht="20.100000000000001" customHeight="1" x14ac:dyDescent="0.2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80.84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J55" transitionEvaluation="1" transitionEntry="1" codeName="Sheet12">
    <tabColor rgb="FF92D050"/>
    <pageSetUpPr autoPageBreaks="0" fitToPage="1"/>
  </sheetPr>
  <dimension ref="A1:CF717"/>
  <sheetViews>
    <sheetView topLeftCell="J55" zoomScaleNormal="100" workbookViewId="0">
      <selection activeCell="O60" sqref="O60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1329</v>
      </c>
    </row>
    <row r="7" spans="1:3" x14ac:dyDescent="0.25">
      <c r="A7" s="12" t="s">
        <v>4</v>
      </c>
    </row>
    <row r="8" spans="1:3" x14ac:dyDescent="0.25">
      <c r="A8" s="12" t="s">
        <v>1331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1330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1332</v>
      </c>
    </row>
    <row r="19" spans="1:10" ht="14.45" customHeight="1" x14ac:dyDescent="0.25">
      <c r="A19" s="18" t="s">
        <v>1333</v>
      </c>
    </row>
    <row r="20" spans="1:10" ht="14.45" customHeight="1" x14ac:dyDescent="0.25">
      <c r="A20" s="18" t="s">
        <v>1334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1335</v>
      </c>
      <c r="E24" s="71"/>
      <c r="F24" s="71"/>
      <c r="G24" s="71"/>
    </row>
    <row r="25" spans="1:10" x14ac:dyDescent="0.25">
      <c r="A25" s="18" t="s">
        <v>1336</v>
      </c>
    </row>
    <row r="26" spans="1:10" x14ac:dyDescent="0.25">
      <c r="A26" s="18" t="s">
        <v>1337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1338</v>
      </c>
      <c r="C29" s="17"/>
    </row>
    <row r="30" spans="1:10" x14ac:dyDescent="0.25">
      <c r="C30" s="17"/>
    </row>
    <row r="31" spans="1:10" x14ac:dyDescent="0.25">
      <c r="A31" s="12" t="s">
        <v>1348</v>
      </c>
      <c r="C31" s="334" t="s">
        <v>1349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5" t="s">
        <v>18</v>
      </c>
      <c r="B37" s="336"/>
      <c r="C37" s="337"/>
      <c r="D37" s="336"/>
      <c r="E37" s="336"/>
      <c r="F37" s="336"/>
      <c r="G37" s="336"/>
    </row>
    <row r="38" spans="1:83" x14ac:dyDescent="0.25">
      <c r="A38" s="338" t="s">
        <v>1341</v>
      </c>
      <c r="B38" s="339"/>
      <c r="C38" s="337"/>
      <c r="D38" s="336"/>
      <c r="E38" s="336"/>
      <c r="F38" s="336"/>
      <c r="G38" s="336"/>
    </row>
    <row r="39" spans="1:83" x14ac:dyDescent="0.25">
      <c r="A39" s="340" t="s">
        <v>1339</v>
      </c>
      <c r="B39" s="339"/>
      <c r="C39" s="337"/>
      <c r="D39" s="336"/>
      <c r="E39" s="336"/>
      <c r="F39" s="336"/>
      <c r="G39" s="336"/>
    </row>
    <row r="40" spans="1:83" x14ac:dyDescent="0.25">
      <c r="A40" s="341" t="s">
        <v>1342</v>
      </c>
      <c r="B40" s="336"/>
      <c r="C40" s="337"/>
      <c r="D40" s="336"/>
      <c r="E40" s="336"/>
      <c r="F40" s="336"/>
      <c r="G40" s="336"/>
    </row>
    <row r="41" spans="1:83" x14ac:dyDescent="0.25">
      <c r="A41" s="340" t="s">
        <v>1340</v>
      </c>
      <c r="B41" s="336"/>
      <c r="C41" s="337"/>
      <c r="D41" s="336"/>
      <c r="E41" s="336"/>
      <c r="F41" s="336"/>
      <c r="G41" s="336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25">
      <c r="A49" s="32" t="s">
        <v>217</v>
      </c>
      <c r="B49" s="215">
        <v>7491310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205111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47733</v>
      </c>
      <c r="K49" s="270">
        <f t="shared" si="0"/>
        <v>0</v>
      </c>
      <c r="L49" s="270">
        <f t="shared" si="0"/>
        <v>47615</v>
      </c>
      <c r="M49" s="270">
        <f t="shared" si="0"/>
        <v>0</v>
      </c>
      <c r="N49" s="270">
        <f t="shared" si="0"/>
        <v>0</v>
      </c>
      <c r="O49" s="270">
        <f t="shared" si="0"/>
        <v>312639</v>
      </c>
      <c r="P49" s="270">
        <f t="shared" si="0"/>
        <v>409303</v>
      </c>
      <c r="Q49" s="270">
        <f t="shared" si="0"/>
        <v>0</v>
      </c>
      <c r="R49" s="270">
        <f t="shared" si="0"/>
        <v>0</v>
      </c>
      <c r="S49" s="270">
        <f t="shared" si="0"/>
        <v>55169</v>
      </c>
      <c r="T49" s="270">
        <f t="shared" si="0"/>
        <v>0</v>
      </c>
      <c r="U49" s="270">
        <f t="shared" si="0"/>
        <v>334944</v>
      </c>
      <c r="V49" s="270">
        <f t="shared" si="0"/>
        <v>0</v>
      </c>
      <c r="W49" s="270">
        <f t="shared" si="0"/>
        <v>21204</v>
      </c>
      <c r="X49" s="270">
        <f t="shared" si="0"/>
        <v>190458</v>
      </c>
      <c r="Y49" s="270">
        <f t="shared" si="0"/>
        <v>157711</v>
      </c>
      <c r="Z49" s="270">
        <f t="shared" si="0"/>
        <v>0</v>
      </c>
      <c r="AA49" s="270">
        <f t="shared" si="0"/>
        <v>0</v>
      </c>
      <c r="AB49" s="270">
        <f t="shared" si="0"/>
        <v>77305</v>
      </c>
      <c r="AC49" s="270">
        <f t="shared" si="0"/>
        <v>143578</v>
      </c>
      <c r="AD49" s="270">
        <f t="shared" si="0"/>
        <v>0</v>
      </c>
      <c r="AE49" s="270">
        <f t="shared" si="0"/>
        <v>0</v>
      </c>
      <c r="AF49" s="270">
        <f t="shared" si="0"/>
        <v>0</v>
      </c>
      <c r="AG49" s="270">
        <f t="shared" si="0"/>
        <v>792145</v>
      </c>
      <c r="AH49" s="270">
        <f t="shared" si="0"/>
        <v>178190</v>
      </c>
      <c r="AI49" s="270">
        <f t="shared" si="0"/>
        <v>56039</v>
      </c>
      <c r="AJ49" s="270">
        <f t="shared" si="0"/>
        <v>2506673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44248</v>
      </c>
      <c r="AP49" s="270">
        <f t="shared" si="0"/>
        <v>57405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95269</v>
      </c>
      <c r="AZ49" s="270">
        <f t="shared" si="0"/>
        <v>0</v>
      </c>
      <c r="BA49" s="270">
        <f t="shared" si="0"/>
        <v>27731</v>
      </c>
      <c r="BB49" s="270">
        <f t="shared" si="0"/>
        <v>81056</v>
      </c>
      <c r="BC49" s="270">
        <f t="shared" si="0"/>
        <v>0</v>
      </c>
      <c r="BD49" s="270">
        <f t="shared" si="0"/>
        <v>0</v>
      </c>
      <c r="BE49" s="270">
        <f t="shared" si="0"/>
        <v>86598</v>
      </c>
      <c r="BF49" s="270">
        <f t="shared" si="0"/>
        <v>98453</v>
      </c>
      <c r="BG49" s="270">
        <f t="shared" si="0"/>
        <v>0</v>
      </c>
      <c r="BH49" s="270">
        <f t="shared" si="0"/>
        <v>143757</v>
      </c>
      <c r="BI49" s="270">
        <f t="shared" si="0"/>
        <v>0</v>
      </c>
      <c r="BJ49" s="270">
        <f t="shared" si="0"/>
        <v>131223</v>
      </c>
      <c r="BK49" s="270">
        <f t="shared" si="0"/>
        <v>265485</v>
      </c>
      <c r="BL49" s="270">
        <f t="shared" si="0"/>
        <v>0</v>
      </c>
      <c r="BM49" s="270">
        <f t="shared" si="0"/>
        <v>0</v>
      </c>
      <c r="BN49" s="270">
        <f t="shared" si="0"/>
        <v>393204</v>
      </c>
      <c r="BO49" s="270">
        <f t="shared" si="0"/>
        <v>1637</v>
      </c>
      <c r="BP49" s="270">
        <f t="shared" ref="BP49:CD49" si="1">IF($B$49,(ROUND((($B$49/$CE$62)*BP62),0)))</f>
        <v>53344</v>
      </c>
      <c r="BQ49" s="270">
        <f t="shared" si="1"/>
        <v>0</v>
      </c>
      <c r="BR49" s="270">
        <f t="shared" si="1"/>
        <v>79615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99175</v>
      </c>
      <c r="BW49" s="270">
        <f t="shared" si="1"/>
        <v>44667</v>
      </c>
      <c r="BX49" s="270">
        <f t="shared" si="1"/>
        <v>0</v>
      </c>
      <c r="BY49" s="270">
        <f t="shared" si="1"/>
        <v>252627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0</v>
      </c>
      <c r="CD49" s="270">
        <f t="shared" si="1"/>
        <v>0</v>
      </c>
      <c r="CE49" s="32">
        <f>SUM(C49:CD49)</f>
        <v>7491311</v>
      </c>
    </row>
    <row r="50" spans="1:83" x14ac:dyDescent="0.25">
      <c r="A50" s="20" t="s">
        <v>218</v>
      </c>
      <c r="B50" s="270">
        <f>B48+B49</f>
        <v>7491310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25">
      <c r="A53" s="39" t="s">
        <v>220</v>
      </c>
      <c r="B53" s="271">
        <v>2299357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126039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29336</v>
      </c>
      <c r="K53" s="270">
        <f t="shared" si="2"/>
        <v>0</v>
      </c>
      <c r="L53" s="270">
        <f t="shared" si="2"/>
        <v>29270</v>
      </c>
      <c r="M53" s="270">
        <f t="shared" si="2"/>
        <v>0</v>
      </c>
      <c r="N53" s="270">
        <f t="shared" si="2"/>
        <v>0</v>
      </c>
      <c r="O53" s="270">
        <f t="shared" si="2"/>
        <v>60530</v>
      </c>
      <c r="P53" s="270">
        <f t="shared" si="2"/>
        <v>164600</v>
      </c>
      <c r="Q53" s="270">
        <f t="shared" si="2"/>
        <v>0</v>
      </c>
      <c r="R53" s="270">
        <f t="shared" si="2"/>
        <v>3562</v>
      </c>
      <c r="S53" s="270">
        <f t="shared" si="2"/>
        <v>31858</v>
      </c>
      <c r="T53" s="270">
        <f t="shared" si="2"/>
        <v>0</v>
      </c>
      <c r="U53" s="270">
        <f t="shared" si="2"/>
        <v>35774</v>
      </c>
      <c r="V53" s="270">
        <f t="shared" si="2"/>
        <v>0</v>
      </c>
      <c r="W53" s="270">
        <f t="shared" si="2"/>
        <v>7080</v>
      </c>
      <c r="X53" s="270">
        <f t="shared" si="2"/>
        <v>63672</v>
      </c>
      <c r="Y53" s="270">
        <f t="shared" si="2"/>
        <v>52721</v>
      </c>
      <c r="Z53" s="270">
        <f t="shared" si="2"/>
        <v>0</v>
      </c>
      <c r="AA53" s="270">
        <f t="shared" si="2"/>
        <v>0</v>
      </c>
      <c r="AB53" s="270">
        <f t="shared" si="2"/>
        <v>8783</v>
      </c>
      <c r="AC53" s="270">
        <f t="shared" si="2"/>
        <v>17013</v>
      </c>
      <c r="AD53" s="270">
        <f t="shared" si="2"/>
        <v>0</v>
      </c>
      <c r="AE53" s="270">
        <f t="shared" si="2"/>
        <v>65685</v>
      </c>
      <c r="AF53" s="270">
        <f t="shared" si="2"/>
        <v>0</v>
      </c>
      <c r="AG53" s="270">
        <f t="shared" si="2"/>
        <v>73451</v>
      </c>
      <c r="AH53" s="270">
        <f t="shared" si="2"/>
        <v>14115</v>
      </c>
      <c r="AI53" s="270">
        <f t="shared" si="2"/>
        <v>14181</v>
      </c>
      <c r="AJ53" s="270">
        <f t="shared" si="2"/>
        <v>694661</v>
      </c>
      <c r="AK53" s="270">
        <f t="shared" si="2"/>
        <v>10907</v>
      </c>
      <c r="AL53" s="270">
        <f t="shared" si="2"/>
        <v>7765</v>
      </c>
      <c r="AM53" s="270">
        <f t="shared" si="2"/>
        <v>0</v>
      </c>
      <c r="AN53" s="270">
        <f t="shared" si="2"/>
        <v>0</v>
      </c>
      <c r="AO53" s="270">
        <f t="shared" si="2"/>
        <v>27190</v>
      </c>
      <c r="AP53" s="270">
        <f t="shared" si="2"/>
        <v>52986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47787</v>
      </c>
      <c r="AZ53" s="270">
        <f t="shared" si="2"/>
        <v>0</v>
      </c>
      <c r="BA53" s="270">
        <f t="shared" si="2"/>
        <v>19646</v>
      </c>
      <c r="BB53" s="270">
        <f t="shared" si="2"/>
        <v>6283</v>
      </c>
      <c r="BC53" s="270">
        <f t="shared" si="2"/>
        <v>0</v>
      </c>
      <c r="BD53" s="270">
        <f t="shared" si="2"/>
        <v>0</v>
      </c>
      <c r="BE53" s="270">
        <f t="shared" si="2"/>
        <v>138715</v>
      </c>
      <c r="BF53" s="270">
        <f t="shared" si="2"/>
        <v>18584</v>
      </c>
      <c r="BG53" s="270">
        <f t="shared" si="2"/>
        <v>0</v>
      </c>
      <c r="BH53" s="270">
        <f t="shared" si="2"/>
        <v>15310</v>
      </c>
      <c r="BI53" s="270">
        <f t="shared" si="2"/>
        <v>0</v>
      </c>
      <c r="BJ53" s="270">
        <f t="shared" si="2"/>
        <v>14071</v>
      </c>
      <c r="BK53" s="270">
        <f t="shared" si="2"/>
        <v>11372</v>
      </c>
      <c r="BL53" s="270">
        <f t="shared" si="2"/>
        <v>0</v>
      </c>
      <c r="BM53" s="270">
        <f t="shared" si="2"/>
        <v>0</v>
      </c>
      <c r="BN53" s="270">
        <f t="shared" si="2"/>
        <v>379089</v>
      </c>
      <c r="BO53" s="270">
        <f t="shared" si="2"/>
        <v>0</v>
      </c>
      <c r="BP53" s="270">
        <f t="shared" ref="BP53:CC53" si="3">IF($B$53,ROUND(($B$53/($CE$91+$CF$91)*BP91),0))</f>
        <v>13495</v>
      </c>
      <c r="BQ53" s="270">
        <f t="shared" si="3"/>
        <v>0</v>
      </c>
      <c r="BR53" s="270">
        <f t="shared" si="3"/>
        <v>5686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22079</v>
      </c>
      <c r="BW53" s="270">
        <f t="shared" si="3"/>
        <v>3628</v>
      </c>
      <c r="BX53" s="270">
        <f t="shared" si="3"/>
        <v>0</v>
      </c>
      <c r="BY53" s="270">
        <f t="shared" si="3"/>
        <v>12411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ref="CD53" si="4">IF($B$53,ROUND(($B$53/($CE$91+$CF$91)*CD91),0))</f>
        <v>0</v>
      </c>
      <c r="CE53" s="32">
        <f>SUM(C53:CD53)</f>
        <v>2299335</v>
      </c>
    </row>
    <row r="54" spans="1:83" x14ac:dyDescent="0.25">
      <c r="A54" s="20" t="s">
        <v>218</v>
      </c>
      <c r="B54" s="270">
        <f>B52+B53</f>
        <v>2299357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/>
      <c r="D60" s="213"/>
      <c r="E60" s="213">
        <v>3472</v>
      </c>
      <c r="F60" s="213"/>
      <c r="G60" s="213"/>
      <c r="H60" s="213"/>
      <c r="I60" s="213"/>
      <c r="J60" s="213">
        <v>808</v>
      </c>
      <c r="K60" s="213"/>
      <c r="L60" s="213">
        <v>806</v>
      </c>
      <c r="M60" s="213"/>
      <c r="N60" s="213"/>
      <c r="O60" s="213">
        <v>808</v>
      </c>
      <c r="P60" s="214">
        <v>158568</v>
      </c>
      <c r="Q60" s="214"/>
      <c r="R60" s="214"/>
      <c r="S60" s="263"/>
      <c r="T60" s="263"/>
      <c r="U60" s="227">
        <v>171918</v>
      </c>
      <c r="V60" s="214"/>
      <c r="W60" s="214">
        <v>1595</v>
      </c>
      <c r="X60" s="214">
        <v>7129</v>
      </c>
      <c r="Y60" s="214">
        <v>25300</v>
      </c>
      <c r="Z60" s="214"/>
      <c r="AA60" s="214"/>
      <c r="AB60" s="263"/>
      <c r="AC60" s="214"/>
      <c r="AD60" s="214"/>
      <c r="AE60" s="214">
        <v>13106</v>
      </c>
      <c r="AF60" s="214"/>
      <c r="AG60" s="214">
        <v>13258</v>
      </c>
      <c r="AH60" s="214">
        <v>1753</v>
      </c>
      <c r="AI60" s="214">
        <v>3883</v>
      </c>
      <c r="AJ60" s="214">
        <v>55882</v>
      </c>
      <c r="AK60" s="214">
        <v>1438</v>
      </c>
      <c r="AL60" s="214">
        <v>2886</v>
      </c>
      <c r="AM60" s="214"/>
      <c r="AN60" s="214"/>
      <c r="AO60" s="214">
        <v>17903</v>
      </c>
      <c r="AP60" s="214">
        <v>687</v>
      </c>
      <c r="AQ60" s="214"/>
      <c r="AR60" s="214"/>
      <c r="AS60" s="214"/>
      <c r="AT60" s="214"/>
      <c r="AU60" s="214"/>
      <c r="AV60" s="263"/>
      <c r="AW60" s="263"/>
      <c r="AX60" s="263"/>
      <c r="AY60" s="214">
        <v>21087</v>
      </c>
      <c r="AZ60" s="214"/>
      <c r="BA60" s="263"/>
      <c r="BB60" s="263"/>
      <c r="BC60" s="263"/>
      <c r="BD60" s="263"/>
      <c r="BE60" s="214">
        <v>103932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25">
      <c r="A61" s="241" t="s">
        <v>247</v>
      </c>
      <c r="B61" s="242"/>
      <c r="C61" s="243"/>
      <c r="D61" s="243"/>
      <c r="E61" s="243">
        <v>18.309999999999999</v>
      </c>
      <c r="F61" s="243"/>
      <c r="G61" s="243"/>
      <c r="H61" s="243"/>
      <c r="I61" s="243"/>
      <c r="J61" s="243">
        <v>4</v>
      </c>
      <c r="K61" s="243"/>
      <c r="L61" s="243">
        <v>4.25</v>
      </c>
      <c r="M61" s="243"/>
      <c r="N61" s="243"/>
      <c r="O61" s="243">
        <v>13.71</v>
      </c>
      <c r="P61" s="244">
        <v>28.76</v>
      </c>
      <c r="Q61" s="244"/>
      <c r="R61" s="244"/>
      <c r="S61" s="245">
        <v>5.14</v>
      </c>
      <c r="T61" s="245"/>
      <c r="U61" s="246">
        <v>24.64</v>
      </c>
      <c r="V61" s="244"/>
      <c r="W61" s="244">
        <v>1.27</v>
      </c>
      <c r="X61" s="244">
        <v>11.37</v>
      </c>
      <c r="Y61" s="244">
        <v>9.42</v>
      </c>
      <c r="Z61" s="244"/>
      <c r="AA61" s="244"/>
      <c r="AB61" s="245">
        <v>4.03</v>
      </c>
      <c r="AC61" s="244">
        <v>12</v>
      </c>
      <c r="AD61" s="244"/>
      <c r="AE61" s="244"/>
      <c r="AF61" s="244"/>
      <c r="AG61" s="244">
        <v>26.25</v>
      </c>
      <c r="AH61" s="244">
        <v>18.54</v>
      </c>
      <c r="AI61" s="244">
        <v>3.06</v>
      </c>
      <c r="AJ61" s="244">
        <v>82.51</v>
      </c>
      <c r="AK61" s="244"/>
      <c r="AL61" s="244"/>
      <c r="AM61" s="244"/>
      <c r="AN61" s="244"/>
      <c r="AO61" s="244">
        <v>4.21</v>
      </c>
      <c r="AP61" s="244">
        <v>0.66</v>
      </c>
      <c r="AQ61" s="244"/>
      <c r="AR61" s="244"/>
      <c r="AS61" s="244"/>
      <c r="AT61" s="244"/>
      <c r="AU61" s="244"/>
      <c r="AV61" s="245"/>
      <c r="AW61" s="245"/>
      <c r="AX61" s="245"/>
      <c r="AY61" s="244">
        <v>10.18</v>
      </c>
      <c r="AZ61" s="244"/>
      <c r="BA61" s="245">
        <v>2.97</v>
      </c>
      <c r="BB61" s="245">
        <v>2.73</v>
      </c>
      <c r="BC61" s="245"/>
      <c r="BD61" s="245">
        <v>0</v>
      </c>
      <c r="BE61" s="244">
        <v>7.79</v>
      </c>
      <c r="BF61" s="245">
        <v>12.8</v>
      </c>
      <c r="BG61" s="245"/>
      <c r="BH61" s="245">
        <v>9.1300000000000008</v>
      </c>
      <c r="BI61" s="245"/>
      <c r="BJ61" s="245">
        <v>5.49</v>
      </c>
      <c r="BK61" s="245">
        <v>25.55</v>
      </c>
      <c r="BL61" s="245"/>
      <c r="BM61" s="245"/>
      <c r="BN61" s="245">
        <v>2.79</v>
      </c>
      <c r="BO61" s="245">
        <v>0.48</v>
      </c>
      <c r="BP61" s="245">
        <v>3.45</v>
      </c>
      <c r="BQ61" s="245"/>
      <c r="BR61" s="245">
        <v>4.67</v>
      </c>
      <c r="BS61" s="245"/>
      <c r="BT61" s="245"/>
      <c r="BU61" s="245"/>
      <c r="BV61" s="245">
        <v>8.17</v>
      </c>
      <c r="BW61" s="245">
        <v>2.09</v>
      </c>
      <c r="BX61" s="245">
        <v>0</v>
      </c>
      <c r="BY61" s="245">
        <v>10.37</v>
      </c>
      <c r="BZ61" s="245"/>
      <c r="CA61" s="245"/>
      <c r="CB61" s="245"/>
      <c r="CC61" s="245"/>
      <c r="CD61" s="247" t="s">
        <v>233</v>
      </c>
      <c r="CE61" s="268">
        <f t="shared" ref="CE61:CE69" si="5">SUM(C61:CD61)</f>
        <v>380.79000000000013</v>
      </c>
    </row>
    <row r="62" spans="1:83" x14ac:dyDescent="0.25">
      <c r="A62" s="39" t="s">
        <v>248</v>
      </c>
      <c r="B62" s="20"/>
      <c r="C62" s="213"/>
      <c r="D62" s="213"/>
      <c r="E62" s="213">
        <v>912596</v>
      </c>
      <c r="F62" s="213"/>
      <c r="G62" s="213"/>
      <c r="H62" s="213"/>
      <c r="I62" s="213"/>
      <c r="J62" s="213">
        <v>212378</v>
      </c>
      <c r="K62" s="213"/>
      <c r="L62" s="213">
        <v>211853</v>
      </c>
      <c r="M62" s="213"/>
      <c r="N62" s="213"/>
      <c r="O62" s="213">
        <v>1391016</v>
      </c>
      <c r="P62" s="214">
        <v>1821098</v>
      </c>
      <c r="Q62" s="214"/>
      <c r="R62" s="214"/>
      <c r="S62" s="228">
        <v>245460</v>
      </c>
      <c r="T62" s="228"/>
      <c r="U62" s="227">
        <v>1490256</v>
      </c>
      <c r="V62" s="214"/>
      <c r="W62" s="214">
        <v>94343</v>
      </c>
      <c r="X62" s="214">
        <v>847400</v>
      </c>
      <c r="Y62" s="214">
        <v>701698</v>
      </c>
      <c r="Z62" s="214"/>
      <c r="AA62" s="214"/>
      <c r="AB62" s="240">
        <v>343951</v>
      </c>
      <c r="AC62" s="214">
        <v>638819</v>
      </c>
      <c r="AD62" s="214"/>
      <c r="AE62" s="214"/>
      <c r="AF62" s="214"/>
      <c r="AG62" s="214">
        <v>3524468</v>
      </c>
      <c r="AH62" s="214">
        <v>792816</v>
      </c>
      <c r="AI62" s="214">
        <v>249331</v>
      </c>
      <c r="AJ62" s="214">
        <v>11152867</v>
      </c>
      <c r="AK62" s="214"/>
      <c r="AL62" s="214"/>
      <c r="AM62" s="214"/>
      <c r="AN62" s="214"/>
      <c r="AO62" s="214">
        <v>196871</v>
      </c>
      <c r="AP62" s="214">
        <v>255411</v>
      </c>
      <c r="AQ62" s="214"/>
      <c r="AR62" s="214"/>
      <c r="AS62" s="214"/>
      <c r="AT62" s="214"/>
      <c r="AU62" s="214"/>
      <c r="AV62" s="228"/>
      <c r="AW62" s="228"/>
      <c r="AX62" s="228"/>
      <c r="AY62" s="214">
        <v>423878</v>
      </c>
      <c r="AZ62" s="214"/>
      <c r="BA62" s="228">
        <v>123384</v>
      </c>
      <c r="BB62" s="228">
        <v>360641</v>
      </c>
      <c r="BC62" s="228"/>
      <c r="BD62" s="228">
        <v>0</v>
      </c>
      <c r="BE62" s="214">
        <v>385297</v>
      </c>
      <c r="BF62" s="228">
        <v>438042</v>
      </c>
      <c r="BG62" s="228"/>
      <c r="BH62" s="228">
        <v>639616</v>
      </c>
      <c r="BI62" s="228"/>
      <c r="BJ62" s="228">
        <v>583846</v>
      </c>
      <c r="BK62" s="228">
        <v>1181215</v>
      </c>
      <c r="BL62" s="228"/>
      <c r="BM62" s="228"/>
      <c r="BN62" s="228">
        <v>1749471</v>
      </c>
      <c r="BO62" s="228">
        <v>7282</v>
      </c>
      <c r="BP62" s="228">
        <v>237343</v>
      </c>
      <c r="BQ62" s="228"/>
      <c r="BR62" s="228">
        <v>354229</v>
      </c>
      <c r="BS62" s="228"/>
      <c r="BT62" s="228"/>
      <c r="BU62" s="228"/>
      <c r="BV62" s="228">
        <v>441256</v>
      </c>
      <c r="BW62" s="228">
        <v>198735</v>
      </c>
      <c r="BX62" s="228">
        <v>0</v>
      </c>
      <c r="BY62" s="228">
        <v>1124004</v>
      </c>
      <c r="BZ62" s="228"/>
      <c r="CA62" s="228"/>
      <c r="CB62" s="228"/>
      <c r="CC62" s="228"/>
      <c r="CD62" s="29" t="s">
        <v>233</v>
      </c>
      <c r="CE62" s="32">
        <f t="shared" si="5"/>
        <v>33330871</v>
      </c>
    </row>
    <row r="63" spans="1:83" x14ac:dyDescent="0.25">
      <c r="A63" s="39" t="s">
        <v>9</v>
      </c>
      <c r="B63" s="20"/>
      <c r="C63" s="269">
        <f>ROUND(C48+C49,0)</f>
        <v>0</v>
      </c>
      <c r="D63" s="269">
        <f t="shared" ref="D63:BO63" si="6">ROUND(D48+D49,0)</f>
        <v>0</v>
      </c>
      <c r="E63" s="269">
        <f t="shared" si="6"/>
        <v>205111</v>
      </c>
      <c r="F63" s="269">
        <f t="shared" si="6"/>
        <v>0</v>
      </c>
      <c r="G63" s="269">
        <f t="shared" si="6"/>
        <v>0</v>
      </c>
      <c r="H63" s="269">
        <f t="shared" si="6"/>
        <v>0</v>
      </c>
      <c r="I63" s="269">
        <f t="shared" si="6"/>
        <v>0</v>
      </c>
      <c r="J63" s="269">
        <f t="shared" si="6"/>
        <v>47733</v>
      </c>
      <c r="K63" s="269">
        <f t="shared" si="6"/>
        <v>0</v>
      </c>
      <c r="L63" s="269">
        <f t="shared" si="6"/>
        <v>47615</v>
      </c>
      <c r="M63" s="269">
        <f t="shared" si="6"/>
        <v>0</v>
      </c>
      <c r="N63" s="269">
        <f t="shared" si="6"/>
        <v>0</v>
      </c>
      <c r="O63" s="269">
        <f t="shared" si="6"/>
        <v>312639</v>
      </c>
      <c r="P63" s="269">
        <f t="shared" si="6"/>
        <v>409303</v>
      </c>
      <c r="Q63" s="269">
        <f t="shared" si="6"/>
        <v>0</v>
      </c>
      <c r="R63" s="269">
        <f t="shared" si="6"/>
        <v>0</v>
      </c>
      <c r="S63" s="269">
        <f t="shared" si="6"/>
        <v>55169</v>
      </c>
      <c r="T63" s="269">
        <f t="shared" si="6"/>
        <v>0</v>
      </c>
      <c r="U63" s="269">
        <f t="shared" si="6"/>
        <v>334944</v>
      </c>
      <c r="V63" s="269">
        <f t="shared" si="6"/>
        <v>0</v>
      </c>
      <c r="W63" s="269">
        <f t="shared" si="6"/>
        <v>21204</v>
      </c>
      <c r="X63" s="269">
        <f t="shared" si="6"/>
        <v>190458</v>
      </c>
      <c r="Y63" s="269">
        <f t="shared" si="6"/>
        <v>157711</v>
      </c>
      <c r="Z63" s="269">
        <f t="shared" si="6"/>
        <v>0</v>
      </c>
      <c r="AA63" s="269">
        <f t="shared" si="6"/>
        <v>0</v>
      </c>
      <c r="AB63" s="269">
        <f t="shared" si="6"/>
        <v>77305</v>
      </c>
      <c r="AC63" s="269">
        <f t="shared" si="6"/>
        <v>143578</v>
      </c>
      <c r="AD63" s="269">
        <f t="shared" si="6"/>
        <v>0</v>
      </c>
      <c r="AE63" s="269">
        <f t="shared" si="6"/>
        <v>0</v>
      </c>
      <c r="AF63" s="269">
        <f t="shared" si="6"/>
        <v>0</v>
      </c>
      <c r="AG63" s="269">
        <f t="shared" si="6"/>
        <v>792145</v>
      </c>
      <c r="AH63" s="269">
        <f t="shared" si="6"/>
        <v>178190</v>
      </c>
      <c r="AI63" s="269">
        <f t="shared" si="6"/>
        <v>56039</v>
      </c>
      <c r="AJ63" s="269">
        <f t="shared" si="6"/>
        <v>2506673</v>
      </c>
      <c r="AK63" s="269">
        <f t="shared" si="6"/>
        <v>0</v>
      </c>
      <c r="AL63" s="269">
        <f t="shared" si="6"/>
        <v>0</v>
      </c>
      <c r="AM63" s="269">
        <f t="shared" si="6"/>
        <v>0</v>
      </c>
      <c r="AN63" s="269">
        <f t="shared" si="6"/>
        <v>0</v>
      </c>
      <c r="AO63" s="269">
        <f t="shared" si="6"/>
        <v>44248</v>
      </c>
      <c r="AP63" s="269">
        <f t="shared" si="6"/>
        <v>57405</v>
      </c>
      <c r="AQ63" s="269">
        <f t="shared" si="6"/>
        <v>0</v>
      </c>
      <c r="AR63" s="269">
        <f t="shared" si="6"/>
        <v>0</v>
      </c>
      <c r="AS63" s="269">
        <f t="shared" si="6"/>
        <v>0</v>
      </c>
      <c r="AT63" s="269">
        <f t="shared" si="6"/>
        <v>0</v>
      </c>
      <c r="AU63" s="269">
        <f t="shared" si="6"/>
        <v>0</v>
      </c>
      <c r="AV63" s="269">
        <f t="shared" si="6"/>
        <v>0</v>
      </c>
      <c r="AW63" s="269">
        <f t="shared" si="6"/>
        <v>0</v>
      </c>
      <c r="AX63" s="269">
        <f t="shared" si="6"/>
        <v>0</v>
      </c>
      <c r="AY63" s="269">
        <f t="shared" si="6"/>
        <v>95269</v>
      </c>
      <c r="AZ63" s="269">
        <f t="shared" si="6"/>
        <v>0</v>
      </c>
      <c r="BA63" s="269">
        <f t="shared" si="6"/>
        <v>27731</v>
      </c>
      <c r="BB63" s="269">
        <f t="shared" si="6"/>
        <v>81056</v>
      </c>
      <c r="BC63" s="269">
        <f t="shared" si="6"/>
        <v>0</v>
      </c>
      <c r="BD63" s="269">
        <f t="shared" si="6"/>
        <v>0</v>
      </c>
      <c r="BE63" s="269">
        <f t="shared" si="6"/>
        <v>86598</v>
      </c>
      <c r="BF63" s="269">
        <f t="shared" si="6"/>
        <v>98453</v>
      </c>
      <c r="BG63" s="269">
        <f t="shared" si="6"/>
        <v>0</v>
      </c>
      <c r="BH63" s="269">
        <f t="shared" si="6"/>
        <v>143757</v>
      </c>
      <c r="BI63" s="269">
        <f t="shared" si="6"/>
        <v>0</v>
      </c>
      <c r="BJ63" s="269">
        <f t="shared" si="6"/>
        <v>131223</v>
      </c>
      <c r="BK63" s="269">
        <f t="shared" si="6"/>
        <v>265485</v>
      </c>
      <c r="BL63" s="269">
        <f t="shared" si="6"/>
        <v>0</v>
      </c>
      <c r="BM63" s="269">
        <f t="shared" si="6"/>
        <v>0</v>
      </c>
      <c r="BN63" s="269">
        <f t="shared" si="6"/>
        <v>393204</v>
      </c>
      <c r="BO63" s="269">
        <f t="shared" si="6"/>
        <v>1637</v>
      </c>
      <c r="BP63" s="269">
        <f t="shared" ref="BP63:CC63" si="7">ROUND(BP48+BP49,0)</f>
        <v>53344</v>
      </c>
      <c r="BQ63" s="269">
        <f t="shared" si="7"/>
        <v>0</v>
      </c>
      <c r="BR63" s="269">
        <f t="shared" si="7"/>
        <v>79615</v>
      </c>
      <c r="BS63" s="269">
        <f t="shared" si="7"/>
        <v>0</v>
      </c>
      <c r="BT63" s="269">
        <f t="shared" si="7"/>
        <v>0</v>
      </c>
      <c r="BU63" s="269">
        <f t="shared" si="7"/>
        <v>0</v>
      </c>
      <c r="BV63" s="269">
        <f t="shared" si="7"/>
        <v>99175</v>
      </c>
      <c r="BW63" s="269">
        <f t="shared" si="7"/>
        <v>44667</v>
      </c>
      <c r="BX63" s="269">
        <f t="shared" si="7"/>
        <v>0</v>
      </c>
      <c r="BY63" s="269">
        <f t="shared" si="7"/>
        <v>252627</v>
      </c>
      <c r="BZ63" s="269">
        <f t="shared" si="7"/>
        <v>0</v>
      </c>
      <c r="CA63" s="269">
        <f t="shared" si="7"/>
        <v>0</v>
      </c>
      <c r="CB63" s="269">
        <f t="shared" si="7"/>
        <v>0</v>
      </c>
      <c r="CC63" s="269">
        <f t="shared" si="7"/>
        <v>0</v>
      </c>
      <c r="CD63" s="29" t="s">
        <v>233</v>
      </c>
      <c r="CE63" s="32">
        <f t="shared" si="5"/>
        <v>7491311</v>
      </c>
    </row>
    <row r="64" spans="1:83" x14ac:dyDescent="0.25">
      <c r="A64" s="39" t="s">
        <v>249</v>
      </c>
      <c r="B64" s="20"/>
      <c r="C64" s="213"/>
      <c r="D64" s="213"/>
      <c r="E64" s="213">
        <v>1370298</v>
      </c>
      <c r="F64" s="213"/>
      <c r="G64" s="213"/>
      <c r="H64" s="213"/>
      <c r="I64" s="213"/>
      <c r="J64" s="213">
        <v>318894</v>
      </c>
      <c r="K64" s="213"/>
      <c r="L64" s="213">
        <v>318105</v>
      </c>
      <c r="M64" s="213"/>
      <c r="N64" s="213"/>
      <c r="O64" s="213">
        <v>314012</v>
      </c>
      <c r="P64" s="214">
        <v>138290</v>
      </c>
      <c r="Q64" s="214"/>
      <c r="R64" s="214">
        <v>1041706</v>
      </c>
      <c r="S64" s="228"/>
      <c r="T64" s="228"/>
      <c r="U64" s="227">
        <v>9000</v>
      </c>
      <c r="V64" s="214"/>
      <c r="W64" s="214">
        <v>63746</v>
      </c>
      <c r="X64" s="214">
        <v>572573</v>
      </c>
      <c r="Y64" s="214">
        <v>474125</v>
      </c>
      <c r="Z64" s="214"/>
      <c r="AA64" s="214"/>
      <c r="AB64" s="240">
        <v>37830</v>
      </c>
      <c r="AC64" s="214">
        <v>0</v>
      </c>
      <c r="AD64" s="214"/>
      <c r="AE64" s="214">
        <v>1516852</v>
      </c>
      <c r="AF64" s="214"/>
      <c r="AG64" s="214">
        <v>241519</v>
      </c>
      <c r="AH64" s="214"/>
      <c r="AI64" s="214">
        <v>1300</v>
      </c>
      <c r="AJ64" s="214">
        <v>282748</v>
      </c>
      <c r="AK64" s="214">
        <v>227205</v>
      </c>
      <c r="AL64" s="214">
        <v>228116</v>
      </c>
      <c r="AM64" s="214"/>
      <c r="AN64" s="214"/>
      <c r="AO64" s="214">
        <v>295609</v>
      </c>
      <c r="AP64" s="214">
        <v>0</v>
      </c>
      <c r="AQ64" s="214"/>
      <c r="AR64" s="214"/>
      <c r="AS64" s="214"/>
      <c r="AT64" s="214"/>
      <c r="AU64" s="214"/>
      <c r="AV64" s="228"/>
      <c r="AW64" s="228"/>
      <c r="AX64" s="228"/>
      <c r="AY64" s="214">
        <v>0</v>
      </c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>
        <v>95089</v>
      </c>
      <c r="BK64" s="228">
        <v>60060</v>
      </c>
      <c r="BL64" s="228"/>
      <c r="BM64" s="228"/>
      <c r="BN64" s="228">
        <v>561265</v>
      </c>
      <c r="BO64" s="228"/>
      <c r="BP64" s="228"/>
      <c r="BQ64" s="228"/>
      <c r="BR64" s="228">
        <v>143606</v>
      </c>
      <c r="BS64" s="228"/>
      <c r="BT64" s="228"/>
      <c r="BU64" s="228"/>
      <c r="BV64" s="228">
        <v>161616</v>
      </c>
      <c r="BW64" s="228">
        <v>60683</v>
      </c>
      <c r="BX64" s="228"/>
      <c r="BY64" s="228">
        <v>0</v>
      </c>
      <c r="BZ64" s="228"/>
      <c r="CA64" s="228"/>
      <c r="CB64" s="228"/>
      <c r="CC64" s="228"/>
      <c r="CD64" s="29" t="s">
        <v>233</v>
      </c>
      <c r="CE64" s="32">
        <f t="shared" si="5"/>
        <v>8534247</v>
      </c>
    </row>
    <row r="65" spans="1:83" x14ac:dyDescent="0.25">
      <c r="A65" s="39" t="s">
        <v>250</v>
      </c>
      <c r="B65" s="20"/>
      <c r="C65" s="213"/>
      <c r="D65" s="213"/>
      <c r="E65" s="213">
        <v>148637</v>
      </c>
      <c r="F65" s="213"/>
      <c r="G65" s="213"/>
      <c r="H65" s="213"/>
      <c r="I65" s="213"/>
      <c r="J65" s="213">
        <v>34591</v>
      </c>
      <c r="K65" s="213"/>
      <c r="L65" s="213">
        <v>34505</v>
      </c>
      <c r="M65" s="213"/>
      <c r="N65" s="213"/>
      <c r="O65" s="213">
        <v>220971</v>
      </c>
      <c r="P65" s="214">
        <v>3682426</v>
      </c>
      <c r="Q65" s="214"/>
      <c r="R65" s="214">
        <v>22851</v>
      </c>
      <c r="S65" s="228">
        <v>-209078</v>
      </c>
      <c r="T65" s="228"/>
      <c r="U65" s="227">
        <v>1786340</v>
      </c>
      <c r="V65" s="214"/>
      <c r="W65" s="214">
        <v>16342</v>
      </c>
      <c r="X65" s="214">
        <v>146784</v>
      </c>
      <c r="Y65" s="214">
        <v>121546</v>
      </c>
      <c r="Z65" s="214"/>
      <c r="AA65" s="214"/>
      <c r="AB65" s="240">
        <v>1734760</v>
      </c>
      <c r="AC65" s="214">
        <v>92237</v>
      </c>
      <c r="AD65" s="214"/>
      <c r="AE65" s="214">
        <v>28409</v>
      </c>
      <c r="AF65" s="214"/>
      <c r="AG65" s="214">
        <v>198137</v>
      </c>
      <c r="AH65" s="214">
        <v>35920</v>
      </c>
      <c r="AI65" s="214">
        <v>56453</v>
      </c>
      <c r="AJ65" s="214">
        <v>792936</v>
      </c>
      <c r="AK65" s="214">
        <v>580</v>
      </c>
      <c r="AL65" s="214">
        <v>1400</v>
      </c>
      <c r="AM65" s="214"/>
      <c r="AN65" s="214"/>
      <c r="AO65" s="214">
        <v>32065</v>
      </c>
      <c r="AP65" s="214">
        <v>10259</v>
      </c>
      <c r="AQ65" s="214"/>
      <c r="AR65" s="214"/>
      <c r="AS65" s="214"/>
      <c r="AT65" s="214"/>
      <c r="AU65" s="214"/>
      <c r="AV65" s="228"/>
      <c r="AW65" s="228"/>
      <c r="AX65" s="228"/>
      <c r="AY65" s="214">
        <v>212358</v>
      </c>
      <c r="AZ65" s="214"/>
      <c r="BA65" s="228">
        <v>51304</v>
      </c>
      <c r="BB65" s="228">
        <v>244</v>
      </c>
      <c r="BC65" s="228"/>
      <c r="BD65" s="228">
        <v>0</v>
      </c>
      <c r="BE65" s="214">
        <v>35227</v>
      </c>
      <c r="BF65" s="228">
        <v>44153</v>
      </c>
      <c r="BG65" s="228"/>
      <c r="BH65" s="228">
        <v>1216061</v>
      </c>
      <c r="BI65" s="228"/>
      <c r="BJ65" s="228">
        <v>112805</v>
      </c>
      <c r="BK65" s="228">
        <v>111821</v>
      </c>
      <c r="BL65" s="228"/>
      <c r="BM65" s="228"/>
      <c r="BN65" s="228">
        <v>141167</v>
      </c>
      <c r="BO65" s="228">
        <v>8</v>
      </c>
      <c r="BP65" s="228">
        <v>374477</v>
      </c>
      <c r="BQ65" s="228"/>
      <c r="BR65" s="228">
        <v>148200</v>
      </c>
      <c r="BS65" s="228"/>
      <c r="BT65" s="228"/>
      <c r="BU65" s="228"/>
      <c r="BV65" s="228">
        <v>5024</v>
      </c>
      <c r="BW65" s="228">
        <v>16549</v>
      </c>
      <c r="BX65" s="228">
        <v>2086</v>
      </c>
      <c r="BY65" s="228">
        <v>2564</v>
      </c>
      <c r="BZ65" s="228"/>
      <c r="CA65" s="228"/>
      <c r="CB65" s="228"/>
      <c r="CC65" s="228"/>
      <c r="CD65" s="29" t="s">
        <v>233</v>
      </c>
      <c r="CE65" s="32">
        <f t="shared" si="5"/>
        <v>11463119</v>
      </c>
    </row>
    <row r="66" spans="1:83" x14ac:dyDescent="0.25">
      <c r="A66" s="39" t="s">
        <v>251</v>
      </c>
      <c r="B66" s="20"/>
      <c r="C66" s="213"/>
      <c r="D66" s="213"/>
      <c r="E66" s="213">
        <v>0</v>
      </c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>
        <v>4147</v>
      </c>
      <c r="T66" s="228"/>
      <c r="U66" s="227"/>
      <c r="V66" s="214"/>
      <c r="W66" s="214"/>
      <c r="X66" s="214"/>
      <c r="Y66" s="214">
        <v>81</v>
      </c>
      <c r="Z66" s="214"/>
      <c r="AA66" s="214"/>
      <c r="AB66" s="240"/>
      <c r="AC66" s="214"/>
      <c r="AD66" s="214"/>
      <c r="AE66" s="214">
        <v>10464</v>
      </c>
      <c r="AF66" s="214"/>
      <c r="AG66" s="214"/>
      <c r="AH66" s="214">
        <v>33990</v>
      </c>
      <c r="AI66" s="214"/>
      <c r="AJ66" s="214">
        <v>68329</v>
      </c>
      <c r="AK66" s="214">
        <v>798</v>
      </c>
      <c r="AL66" s="214">
        <v>399</v>
      </c>
      <c r="AM66" s="214"/>
      <c r="AN66" s="214"/>
      <c r="AO66" s="214"/>
      <c r="AP66" s="214">
        <v>1506</v>
      </c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>
        <v>0</v>
      </c>
      <c r="BC66" s="228"/>
      <c r="BD66" s="228">
        <v>0</v>
      </c>
      <c r="BE66" s="214">
        <v>303362</v>
      </c>
      <c r="BF66" s="228"/>
      <c r="BG66" s="228"/>
      <c r="BH66" s="228">
        <v>108891</v>
      </c>
      <c r="BI66" s="228"/>
      <c r="BJ66" s="228"/>
      <c r="BK66" s="228"/>
      <c r="BL66" s="228"/>
      <c r="BM66" s="228"/>
      <c r="BN66" s="228"/>
      <c r="BO66" s="228"/>
      <c r="BP66" s="228" t="s">
        <v>1375</v>
      </c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5"/>
        <v>531967</v>
      </c>
    </row>
    <row r="67" spans="1:83" x14ac:dyDescent="0.25">
      <c r="A67" s="39" t="s">
        <v>252</v>
      </c>
      <c r="B67" s="20"/>
      <c r="C67" s="213"/>
      <c r="D67" s="213"/>
      <c r="E67" s="213">
        <v>16859</v>
      </c>
      <c r="F67" s="213"/>
      <c r="G67" s="213"/>
      <c r="H67" s="213"/>
      <c r="I67" s="213"/>
      <c r="J67" s="213">
        <v>3923</v>
      </c>
      <c r="K67" s="213"/>
      <c r="L67" s="213">
        <v>3914</v>
      </c>
      <c r="M67" s="213"/>
      <c r="N67" s="213"/>
      <c r="O67" s="213">
        <v>9534</v>
      </c>
      <c r="P67" s="214">
        <v>356924</v>
      </c>
      <c r="Q67" s="214"/>
      <c r="R67" s="214">
        <v>2408</v>
      </c>
      <c r="S67" s="228">
        <v>819</v>
      </c>
      <c r="T67" s="228"/>
      <c r="U67" s="227">
        <v>391331</v>
      </c>
      <c r="V67" s="214"/>
      <c r="W67" s="214">
        <v>23461</v>
      </c>
      <c r="X67" s="214">
        <v>210727</v>
      </c>
      <c r="Y67" s="214">
        <v>174494</v>
      </c>
      <c r="Z67" s="214"/>
      <c r="AA67" s="214"/>
      <c r="AB67" s="240">
        <v>214425</v>
      </c>
      <c r="AC67" s="214">
        <v>7486</v>
      </c>
      <c r="AD67" s="214"/>
      <c r="AE67" s="214">
        <v>35211</v>
      </c>
      <c r="AF67" s="214"/>
      <c r="AG67" s="214">
        <v>14138</v>
      </c>
      <c r="AH67" s="214">
        <v>129223</v>
      </c>
      <c r="AI67" s="214">
        <v>9288</v>
      </c>
      <c r="AJ67" s="214">
        <v>268257</v>
      </c>
      <c r="AK67" s="214">
        <v>515</v>
      </c>
      <c r="AL67" s="214">
        <v>633</v>
      </c>
      <c r="AM67" s="214"/>
      <c r="AN67" s="214"/>
      <c r="AO67" s="214">
        <v>3637</v>
      </c>
      <c r="AP67" s="214">
        <v>11779</v>
      </c>
      <c r="AQ67" s="214"/>
      <c r="AR67" s="214"/>
      <c r="AS67" s="214"/>
      <c r="AT67" s="214"/>
      <c r="AU67" s="214"/>
      <c r="AV67" s="228"/>
      <c r="AW67" s="228"/>
      <c r="AX67" s="228"/>
      <c r="AY67" s="214">
        <v>11520</v>
      </c>
      <c r="AZ67" s="214"/>
      <c r="BA67" s="228">
        <v>2853</v>
      </c>
      <c r="BB67" s="228">
        <v>14394</v>
      </c>
      <c r="BC67" s="228"/>
      <c r="BD67" s="228">
        <v>0</v>
      </c>
      <c r="BE67" s="214">
        <v>106895</v>
      </c>
      <c r="BF67" s="228">
        <v>0</v>
      </c>
      <c r="BG67" s="228"/>
      <c r="BH67" s="228">
        <v>282177</v>
      </c>
      <c r="BI67" s="228"/>
      <c r="BJ67" s="228">
        <v>41399</v>
      </c>
      <c r="BK67" s="228">
        <v>98722</v>
      </c>
      <c r="BL67" s="228"/>
      <c r="BM67" s="228"/>
      <c r="BN67" s="228">
        <v>288692</v>
      </c>
      <c r="BO67" s="228"/>
      <c r="BP67" s="228">
        <v>1006846</v>
      </c>
      <c r="BQ67" s="228"/>
      <c r="BR67" s="228">
        <v>48192</v>
      </c>
      <c r="BS67" s="228"/>
      <c r="BT67" s="228"/>
      <c r="BU67" s="228"/>
      <c r="BV67" s="228">
        <v>6345</v>
      </c>
      <c r="BW67" s="228">
        <v>49952</v>
      </c>
      <c r="BX67" s="228">
        <v>14595</v>
      </c>
      <c r="BY67" s="228">
        <v>41095</v>
      </c>
      <c r="BZ67" s="228"/>
      <c r="CA67" s="228"/>
      <c r="CB67" s="228"/>
      <c r="CC67" s="228"/>
      <c r="CD67" s="29" t="s">
        <v>233</v>
      </c>
      <c r="CE67" s="32">
        <f t="shared" si="5"/>
        <v>3902663</v>
      </c>
    </row>
    <row r="68" spans="1:83" x14ac:dyDescent="0.25">
      <c r="A68" s="39" t="s">
        <v>11</v>
      </c>
      <c r="B68" s="20"/>
      <c r="C68" s="32">
        <f t="shared" ref="C68:BN68" si="8">ROUND(C52+C53,0)</f>
        <v>0</v>
      </c>
      <c r="D68" s="32">
        <f t="shared" si="8"/>
        <v>0</v>
      </c>
      <c r="E68" s="32">
        <f t="shared" si="8"/>
        <v>126039</v>
      </c>
      <c r="F68" s="32">
        <f t="shared" si="8"/>
        <v>0</v>
      </c>
      <c r="G68" s="32">
        <f t="shared" si="8"/>
        <v>0</v>
      </c>
      <c r="H68" s="32">
        <f t="shared" si="8"/>
        <v>0</v>
      </c>
      <c r="I68" s="32">
        <f t="shared" si="8"/>
        <v>0</v>
      </c>
      <c r="J68" s="32">
        <f t="shared" si="8"/>
        <v>29336</v>
      </c>
      <c r="K68" s="32">
        <f t="shared" si="8"/>
        <v>0</v>
      </c>
      <c r="L68" s="32">
        <f t="shared" si="8"/>
        <v>29270</v>
      </c>
      <c r="M68" s="32">
        <f t="shared" si="8"/>
        <v>0</v>
      </c>
      <c r="N68" s="32">
        <f t="shared" si="8"/>
        <v>0</v>
      </c>
      <c r="O68" s="32">
        <f t="shared" si="8"/>
        <v>60530</v>
      </c>
      <c r="P68" s="32">
        <f t="shared" si="8"/>
        <v>164600</v>
      </c>
      <c r="Q68" s="32">
        <f t="shared" si="8"/>
        <v>0</v>
      </c>
      <c r="R68" s="32">
        <f t="shared" si="8"/>
        <v>3562</v>
      </c>
      <c r="S68" s="32">
        <f t="shared" si="8"/>
        <v>31858</v>
      </c>
      <c r="T68" s="32">
        <f t="shared" si="8"/>
        <v>0</v>
      </c>
      <c r="U68" s="32">
        <f t="shared" si="8"/>
        <v>35774</v>
      </c>
      <c r="V68" s="32">
        <f t="shared" si="8"/>
        <v>0</v>
      </c>
      <c r="W68" s="32">
        <f t="shared" si="8"/>
        <v>7080</v>
      </c>
      <c r="X68" s="32">
        <f t="shared" si="8"/>
        <v>63672</v>
      </c>
      <c r="Y68" s="32">
        <f t="shared" si="8"/>
        <v>52721</v>
      </c>
      <c r="Z68" s="32">
        <f t="shared" si="8"/>
        <v>0</v>
      </c>
      <c r="AA68" s="32">
        <f t="shared" si="8"/>
        <v>0</v>
      </c>
      <c r="AB68" s="32">
        <f t="shared" si="8"/>
        <v>8783</v>
      </c>
      <c r="AC68" s="32">
        <f t="shared" si="8"/>
        <v>17013</v>
      </c>
      <c r="AD68" s="32">
        <f t="shared" si="8"/>
        <v>0</v>
      </c>
      <c r="AE68" s="32">
        <f t="shared" si="8"/>
        <v>65685</v>
      </c>
      <c r="AF68" s="32">
        <f t="shared" si="8"/>
        <v>0</v>
      </c>
      <c r="AG68" s="32">
        <f t="shared" si="8"/>
        <v>73451</v>
      </c>
      <c r="AH68" s="32">
        <f t="shared" si="8"/>
        <v>14115</v>
      </c>
      <c r="AI68" s="32">
        <f t="shared" si="8"/>
        <v>14181</v>
      </c>
      <c r="AJ68" s="32">
        <f t="shared" si="8"/>
        <v>694661</v>
      </c>
      <c r="AK68" s="32">
        <f t="shared" si="8"/>
        <v>10907</v>
      </c>
      <c r="AL68" s="32">
        <f t="shared" si="8"/>
        <v>7765</v>
      </c>
      <c r="AM68" s="32">
        <f t="shared" si="8"/>
        <v>0</v>
      </c>
      <c r="AN68" s="32">
        <f t="shared" si="8"/>
        <v>0</v>
      </c>
      <c r="AO68" s="32">
        <f t="shared" si="8"/>
        <v>27190</v>
      </c>
      <c r="AP68" s="32">
        <f t="shared" si="8"/>
        <v>52986</v>
      </c>
      <c r="AQ68" s="32">
        <f t="shared" si="8"/>
        <v>0</v>
      </c>
      <c r="AR68" s="32">
        <f t="shared" si="8"/>
        <v>0</v>
      </c>
      <c r="AS68" s="32">
        <f t="shared" si="8"/>
        <v>0</v>
      </c>
      <c r="AT68" s="32">
        <f t="shared" si="8"/>
        <v>0</v>
      </c>
      <c r="AU68" s="32">
        <f t="shared" si="8"/>
        <v>0</v>
      </c>
      <c r="AV68" s="32">
        <f t="shared" si="8"/>
        <v>0</v>
      </c>
      <c r="AW68" s="32">
        <f t="shared" si="8"/>
        <v>0</v>
      </c>
      <c r="AX68" s="32">
        <f t="shared" si="8"/>
        <v>0</v>
      </c>
      <c r="AY68" s="32">
        <f t="shared" si="8"/>
        <v>47787</v>
      </c>
      <c r="AZ68" s="32">
        <f t="shared" si="8"/>
        <v>0</v>
      </c>
      <c r="BA68" s="32">
        <f t="shared" si="8"/>
        <v>19646</v>
      </c>
      <c r="BB68" s="32">
        <f t="shared" si="8"/>
        <v>6283</v>
      </c>
      <c r="BC68" s="32">
        <f t="shared" si="8"/>
        <v>0</v>
      </c>
      <c r="BD68" s="32">
        <f t="shared" si="8"/>
        <v>0</v>
      </c>
      <c r="BE68" s="32">
        <f t="shared" si="8"/>
        <v>138715</v>
      </c>
      <c r="BF68" s="32">
        <f t="shared" si="8"/>
        <v>18584</v>
      </c>
      <c r="BG68" s="32">
        <f t="shared" si="8"/>
        <v>0</v>
      </c>
      <c r="BH68" s="32">
        <f t="shared" si="8"/>
        <v>15310</v>
      </c>
      <c r="BI68" s="32">
        <f t="shared" si="8"/>
        <v>0</v>
      </c>
      <c r="BJ68" s="32">
        <f t="shared" si="8"/>
        <v>14071</v>
      </c>
      <c r="BK68" s="32">
        <f t="shared" si="8"/>
        <v>11372</v>
      </c>
      <c r="BL68" s="32">
        <f t="shared" si="8"/>
        <v>0</v>
      </c>
      <c r="BM68" s="32">
        <f t="shared" si="8"/>
        <v>0</v>
      </c>
      <c r="BN68" s="32">
        <f t="shared" si="8"/>
        <v>379089</v>
      </c>
      <c r="BO68" s="32">
        <f t="shared" ref="BO68:CC68" si="9">ROUND(BO52+BO53,0)</f>
        <v>0</v>
      </c>
      <c r="BP68" s="32">
        <f t="shared" si="9"/>
        <v>13495</v>
      </c>
      <c r="BQ68" s="32">
        <f t="shared" si="9"/>
        <v>0</v>
      </c>
      <c r="BR68" s="32">
        <f t="shared" si="9"/>
        <v>5686</v>
      </c>
      <c r="BS68" s="32">
        <f t="shared" si="9"/>
        <v>0</v>
      </c>
      <c r="BT68" s="32">
        <f t="shared" si="9"/>
        <v>0</v>
      </c>
      <c r="BU68" s="32">
        <f t="shared" si="9"/>
        <v>0</v>
      </c>
      <c r="BV68" s="32">
        <f t="shared" si="9"/>
        <v>22079</v>
      </c>
      <c r="BW68" s="32">
        <f t="shared" si="9"/>
        <v>3628</v>
      </c>
      <c r="BX68" s="32">
        <f t="shared" si="9"/>
        <v>0</v>
      </c>
      <c r="BY68" s="32">
        <f t="shared" si="9"/>
        <v>12411</v>
      </c>
      <c r="BZ68" s="32">
        <f t="shared" si="9"/>
        <v>0</v>
      </c>
      <c r="CA68" s="32">
        <f t="shared" si="9"/>
        <v>0</v>
      </c>
      <c r="CB68" s="32">
        <f t="shared" si="9"/>
        <v>0</v>
      </c>
      <c r="CC68" s="32">
        <f t="shared" si="9"/>
        <v>0</v>
      </c>
      <c r="CD68" s="29" t="s">
        <v>233</v>
      </c>
      <c r="CE68" s="32">
        <f t="shared" si="5"/>
        <v>2299335</v>
      </c>
    </row>
    <row r="69" spans="1:83" x14ac:dyDescent="0.25">
      <c r="A69" s="39" t="s">
        <v>253</v>
      </c>
      <c r="B69" s="32"/>
      <c r="C69" s="213"/>
      <c r="D69" s="213"/>
      <c r="E69" s="213">
        <v>34008</v>
      </c>
      <c r="F69" s="213"/>
      <c r="G69" s="213"/>
      <c r="H69" s="213"/>
      <c r="I69" s="213"/>
      <c r="J69" s="213">
        <v>7914</v>
      </c>
      <c r="K69" s="213"/>
      <c r="L69" s="213">
        <v>7895</v>
      </c>
      <c r="M69" s="213"/>
      <c r="N69" s="213"/>
      <c r="O69" s="213">
        <v>16278</v>
      </c>
      <c r="P69" s="214">
        <v>692186</v>
      </c>
      <c r="Q69" s="214"/>
      <c r="R69" s="214">
        <v>0</v>
      </c>
      <c r="S69" s="228">
        <v>10170</v>
      </c>
      <c r="T69" s="228"/>
      <c r="U69" s="227">
        <v>39603</v>
      </c>
      <c r="V69" s="214"/>
      <c r="W69" s="214">
        <v>5705</v>
      </c>
      <c r="X69" s="214">
        <v>51244</v>
      </c>
      <c r="Y69" s="214">
        <v>42433</v>
      </c>
      <c r="Z69" s="214"/>
      <c r="AA69" s="214"/>
      <c r="AB69" s="240">
        <v>8016</v>
      </c>
      <c r="AC69" s="214">
        <v>19770</v>
      </c>
      <c r="AD69" s="214"/>
      <c r="AE69" s="214">
        <v>146180</v>
      </c>
      <c r="AF69" s="214"/>
      <c r="AG69" s="214">
        <v>17119</v>
      </c>
      <c r="AH69" s="214">
        <v>2422</v>
      </c>
      <c r="AI69" s="214">
        <v>6102</v>
      </c>
      <c r="AJ69" s="214">
        <v>806803</v>
      </c>
      <c r="AK69" s="214">
        <v>9581</v>
      </c>
      <c r="AL69" s="214">
        <v>5725</v>
      </c>
      <c r="AM69" s="214"/>
      <c r="AN69" s="214"/>
      <c r="AO69" s="214">
        <v>7336</v>
      </c>
      <c r="AP69" s="214">
        <v>37550</v>
      </c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>
        <v>0</v>
      </c>
      <c r="BE69" s="214">
        <v>2562</v>
      </c>
      <c r="BF69" s="228"/>
      <c r="BG69" s="228"/>
      <c r="BH69" s="228">
        <v>103596</v>
      </c>
      <c r="BI69" s="228"/>
      <c r="BJ69" s="228">
        <v>0</v>
      </c>
      <c r="BK69" s="228">
        <v>4790</v>
      </c>
      <c r="BL69" s="228"/>
      <c r="BM69" s="228"/>
      <c r="BN69" s="228">
        <v>-928</v>
      </c>
      <c r="BO69" s="228"/>
      <c r="BP69" s="228">
        <v>1771</v>
      </c>
      <c r="BQ69" s="228"/>
      <c r="BR69" s="228"/>
      <c r="BS69" s="228"/>
      <c r="BT69" s="228"/>
      <c r="BU69" s="228"/>
      <c r="BV69" s="228">
        <v>1771</v>
      </c>
      <c r="BW69" s="228">
        <v>0</v>
      </c>
      <c r="BX69" s="228"/>
      <c r="BY69" s="228">
        <v>254</v>
      </c>
      <c r="BZ69" s="228"/>
      <c r="CA69" s="228"/>
      <c r="CB69" s="228"/>
      <c r="CC69" s="228"/>
      <c r="CD69" s="29" t="s">
        <v>233</v>
      </c>
      <c r="CE69" s="32">
        <f t="shared" si="5"/>
        <v>2087856</v>
      </c>
    </row>
    <row r="70" spans="1:83" x14ac:dyDescent="0.25">
      <c r="A70" s="39" t="s">
        <v>254</v>
      </c>
      <c r="B70" s="20"/>
      <c r="C70" s="32">
        <f t="shared" ref="C70:BN70" si="10">SUM(C71:C84)</f>
        <v>0</v>
      </c>
      <c r="D70" s="32">
        <f t="shared" si="10"/>
        <v>0</v>
      </c>
      <c r="E70" s="32">
        <f t="shared" si="10"/>
        <v>32783</v>
      </c>
      <c r="F70" s="32">
        <f t="shared" si="10"/>
        <v>0</v>
      </c>
      <c r="G70" s="32">
        <f t="shared" si="10"/>
        <v>0</v>
      </c>
      <c r="H70" s="32">
        <f t="shared" si="10"/>
        <v>0</v>
      </c>
      <c r="I70" s="32">
        <f t="shared" si="10"/>
        <v>0</v>
      </c>
      <c r="J70" s="32">
        <f t="shared" si="10"/>
        <v>7629</v>
      </c>
      <c r="K70" s="32">
        <f t="shared" si="10"/>
        <v>0</v>
      </c>
      <c r="L70" s="32">
        <f t="shared" si="10"/>
        <v>7610</v>
      </c>
      <c r="M70" s="32">
        <f t="shared" si="10"/>
        <v>0</v>
      </c>
      <c r="N70" s="32">
        <f t="shared" si="10"/>
        <v>0</v>
      </c>
      <c r="O70" s="32">
        <f t="shared" si="10"/>
        <v>22415</v>
      </c>
      <c r="P70" s="32">
        <f t="shared" si="10"/>
        <v>133312</v>
      </c>
      <c r="Q70" s="32">
        <f t="shared" si="10"/>
        <v>0</v>
      </c>
      <c r="R70" s="32">
        <f t="shared" si="10"/>
        <v>4865</v>
      </c>
      <c r="S70" s="32">
        <f t="shared" si="10"/>
        <v>82537</v>
      </c>
      <c r="T70" s="32">
        <f t="shared" si="10"/>
        <v>0</v>
      </c>
      <c r="U70" s="32">
        <f t="shared" si="10"/>
        <v>45846</v>
      </c>
      <c r="V70" s="32">
        <f t="shared" si="10"/>
        <v>0</v>
      </c>
      <c r="W70" s="32">
        <f t="shared" si="10"/>
        <v>1790</v>
      </c>
      <c r="X70" s="32">
        <f t="shared" si="10"/>
        <v>16077</v>
      </c>
      <c r="Y70" s="32">
        <f t="shared" si="10"/>
        <v>13314</v>
      </c>
      <c r="Z70" s="32">
        <f t="shared" si="10"/>
        <v>0</v>
      </c>
      <c r="AA70" s="32">
        <f t="shared" si="10"/>
        <v>0</v>
      </c>
      <c r="AB70" s="32">
        <f t="shared" si="10"/>
        <v>7388</v>
      </c>
      <c r="AC70" s="32">
        <f t="shared" si="10"/>
        <v>8099</v>
      </c>
      <c r="AD70" s="32">
        <f t="shared" si="10"/>
        <v>0</v>
      </c>
      <c r="AE70" s="32">
        <f t="shared" si="10"/>
        <v>4590</v>
      </c>
      <c r="AF70" s="32">
        <f t="shared" si="10"/>
        <v>0</v>
      </c>
      <c r="AG70" s="32">
        <f t="shared" si="10"/>
        <v>31973</v>
      </c>
      <c r="AH70" s="32">
        <f t="shared" si="10"/>
        <v>23639</v>
      </c>
      <c r="AI70" s="32">
        <f t="shared" si="10"/>
        <v>7641</v>
      </c>
      <c r="AJ70" s="32">
        <f t="shared" si="10"/>
        <v>239079</v>
      </c>
      <c r="AK70" s="32">
        <f t="shared" si="10"/>
        <v>144</v>
      </c>
      <c r="AL70" s="32">
        <f t="shared" si="10"/>
        <v>627</v>
      </c>
      <c r="AM70" s="32">
        <f t="shared" si="10"/>
        <v>0</v>
      </c>
      <c r="AN70" s="32">
        <f t="shared" si="10"/>
        <v>0</v>
      </c>
      <c r="AO70" s="32">
        <f t="shared" si="10"/>
        <v>7073</v>
      </c>
      <c r="AP70" s="32">
        <f t="shared" si="10"/>
        <v>1310</v>
      </c>
      <c r="AQ70" s="32">
        <f t="shared" si="10"/>
        <v>0</v>
      </c>
      <c r="AR70" s="32">
        <f t="shared" si="10"/>
        <v>0</v>
      </c>
      <c r="AS70" s="32">
        <f t="shared" si="10"/>
        <v>0</v>
      </c>
      <c r="AT70" s="32">
        <f t="shared" si="10"/>
        <v>0</v>
      </c>
      <c r="AU70" s="32">
        <f t="shared" si="10"/>
        <v>0</v>
      </c>
      <c r="AV70" s="32">
        <f t="shared" si="10"/>
        <v>0</v>
      </c>
      <c r="AW70" s="32">
        <f t="shared" si="10"/>
        <v>0</v>
      </c>
      <c r="AX70" s="32">
        <f t="shared" si="10"/>
        <v>0</v>
      </c>
      <c r="AY70" s="32">
        <f t="shared" si="10"/>
        <v>17046</v>
      </c>
      <c r="AZ70" s="32">
        <f t="shared" si="10"/>
        <v>0</v>
      </c>
      <c r="BA70" s="32">
        <f t="shared" si="10"/>
        <v>1840</v>
      </c>
      <c r="BB70" s="32">
        <f t="shared" si="10"/>
        <v>3142</v>
      </c>
      <c r="BC70" s="32">
        <f t="shared" si="10"/>
        <v>0</v>
      </c>
      <c r="BD70" s="32">
        <f t="shared" si="10"/>
        <v>0</v>
      </c>
      <c r="BE70" s="32">
        <f t="shared" si="10"/>
        <v>11327</v>
      </c>
      <c r="BF70" s="32">
        <f t="shared" si="10"/>
        <v>2449</v>
      </c>
      <c r="BG70" s="32">
        <f t="shared" si="10"/>
        <v>0</v>
      </c>
      <c r="BH70" s="32">
        <f t="shared" si="10"/>
        <v>84664</v>
      </c>
      <c r="BI70" s="32">
        <f t="shared" si="10"/>
        <v>0</v>
      </c>
      <c r="BJ70" s="32">
        <f t="shared" si="10"/>
        <v>169174</v>
      </c>
      <c r="BK70" s="32">
        <f t="shared" si="10"/>
        <v>32446</v>
      </c>
      <c r="BL70" s="32">
        <f t="shared" si="10"/>
        <v>0</v>
      </c>
      <c r="BM70" s="32">
        <f t="shared" si="10"/>
        <v>0</v>
      </c>
      <c r="BN70" s="32">
        <f t="shared" si="10"/>
        <v>450230</v>
      </c>
      <c r="BO70" s="32">
        <f t="shared" ref="BO70:CD70" si="11">SUM(BO71:BO84)</f>
        <v>0</v>
      </c>
      <c r="BP70" s="32">
        <f t="shared" si="11"/>
        <v>41617</v>
      </c>
      <c r="BQ70" s="32">
        <f t="shared" si="11"/>
        <v>0</v>
      </c>
      <c r="BR70" s="32">
        <f t="shared" si="11"/>
        <v>107322</v>
      </c>
      <c r="BS70" s="32">
        <f t="shared" si="11"/>
        <v>0</v>
      </c>
      <c r="BT70" s="32">
        <f t="shared" si="11"/>
        <v>0</v>
      </c>
      <c r="BU70" s="32">
        <f t="shared" si="11"/>
        <v>0</v>
      </c>
      <c r="BV70" s="32">
        <f t="shared" si="11"/>
        <v>-5450</v>
      </c>
      <c r="BW70" s="32">
        <f t="shared" si="11"/>
        <v>749</v>
      </c>
      <c r="BX70" s="32">
        <f t="shared" si="11"/>
        <v>2192</v>
      </c>
      <c r="BY70" s="32">
        <f t="shared" si="11"/>
        <v>3981</v>
      </c>
      <c r="BZ70" s="32">
        <f t="shared" si="11"/>
        <v>0</v>
      </c>
      <c r="CA70" s="32">
        <f t="shared" si="11"/>
        <v>0</v>
      </c>
      <c r="CB70" s="32">
        <f t="shared" si="11"/>
        <v>0</v>
      </c>
      <c r="CC70" s="32">
        <f t="shared" si="11"/>
        <v>0</v>
      </c>
      <c r="CD70" s="32">
        <f t="shared" si="11"/>
        <v>1447626</v>
      </c>
      <c r="CE70" s="32">
        <f>SUM(CE71:CE85)</f>
        <v>6928539</v>
      </c>
    </row>
    <row r="71" spans="1:83" x14ac:dyDescent="0.2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2">SUM(C72:CD72)</f>
        <v>0</v>
      </c>
    </row>
    <row r="73" spans="1:83" x14ac:dyDescent="0.2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2"/>
        <v>0</v>
      </c>
    </row>
    <row r="74" spans="1:83" x14ac:dyDescent="0.2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2"/>
        <v>0</v>
      </c>
    </row>
    <row r="75" spans="1:83" x14ac:dyDescent="0.2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2"/>
        <v>0</v>
      </c>
    </row>
    <row r="76" spans="1:83" x14ac:dyDescent="0.2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2"/>
        <v>0</v>
      </c>
    </row>
    <row r="77" spans="1:83" x14ac:dyDescent="0.2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2"/>
        <v>0</v>
      </c>
    </row>
    <row r="78" spans="1:83" x14ac:dyDescent="0.2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2"/>
        <v>0</v>
      </c>
    </row>
    <row r="79" spans="1:83" x14ac:dyDescent="0.2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2"/>
        <v>0</v>
      </c>
    </row>
    <row r="80" spans="1:83" x14ac:dyDescent="0.2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2"/>
        <v>0</v>
      </c>
    </row>
    <row r="81" spans="1:84" x14ac:dyDescent="0.2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2"/>
        <v>0</v>
      </c>
    </row>
    <row r="82" spans="1:84" x14ac:dyDescent="0.2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2"/>
        <v>0</v>
      </c>
    </row>
    <row r="83" spans="1:84" x14ac:dyDescent="0.2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2"/>
        <v>0</v>
      </c>
    </row>
    <row r="84" spans="1:84" x14ac:dyDescent="0.25">
      <c r="A84" s="33" t="s">
        <v>268</v>
      </c>
      <c r="B84" s="20"/>
      <c r="C84" s="24"/>
      <c r="D84" s="24"/>
      <c r="E84" s="30">
        <v>32783</v>
      </c>
      <c r="F84" s="30"/>
      <c r="G84" s="24"/>
      <c r="H84" s="24"/>
      <c r="I84" s="30"/>
      <c r="J84" s="30">
        <v>7629</v>
      </c>
      <c r="K84" s="30"/>
      <c r="L84" s="30">
        <v>7610</v>
      </c>
      <c r="M84" s="24"/>
      <c r="N84" s="24"/>
      <c r="O84" s="24">
        <v>22415</v>
      </c>
      <c r="P84" s="30">
        <v>133312</v>
      </c>
      <c r="Q84" s="30"/>
      <c r="R84" s="31">
        <v>4865</v>
      </c>
      <c r="S84" s="30">
        <v>82537</v>
      </c>
      <c r="T84" s="24"/>
      <c r="U84" s="30">
        <v>45846</v>
      </c>
      <c r="V84" s="30"/>
      <c r="W84" s="24">
        <v>1790</v>
      </c>
      <c r="X84" s="30">
        <v>16077</v>
      </c>
      <c r="Y84" s="30">
        <v>13314</v>
      </c>
      <c r="Z84" s="30"/>
      <c r="AA84" s="30"/>
      <c r="AB84" s="30">
        <v>7388</v>
      </c>
      <c r="AC84" s="30">
        <v>8099</v>
      </c>
      <c r="AD84" s="30"/>
      <c r="AE84" s="30">
        <v>4590</v>
      </c>
      <c r="AF84" s="30"/>
      <c r="AG84" s="30">
        <v>31973</v>
      </c>
      <c r="AH84" s="30">
        <v>23639</v>
      </c>
      <c r="AI84" s="30">
        <v>7641</v>
      </c>
      <c r="AJ84" s="30">
        <v>239079</v>
      </c>
      <c r="AK84" s="30">
        <v>144</v>
      </c>
      <c r="AL84" s="30">
        <v>627</v>
      </c>
      <c r="AM84" s="30"/>
      <c r="AN84" s="30"/>
      <c r="AO84" s="24">
        <v>7073</v>
      </c>
      <c r="AP84" s="30">
        <v>1310</v>
      </c>
      <c r="AQ84" s="24"/>
      <c r="AR84" s="24"/>
      <c r="AS84" s="24"/>
      <c r="AT84" s="24"/>
      <c r="AU84" s="30"/>
      <c r="AV84" s="30"/>
      <c r="AW84" s="30"/>
      <c r="AX84" s="30"/>
      <c r="AY84" s="30">
        <v>17046</v>
      </c>
      <c r="AZ84" s="30"/>
      <c r="BA84" s="30">
        <v>1840</v>
      </c>
      <c r="BB84" s="30">
        <v>3142</v>
      </c>
      <c r="BC84" s="30"/>
      <c r="BD84" s="30">
        <v>0</v>
      </c>
      <c r="BE84" s="30">
        <v>11327</v>
      </c>
      <c r="BF84" s="30">
        <v>2449</v>
      </c>
      <c r="BG84" s="30"/>
      <c r="BH84" s="31">
        <v>84664</v>
      </c>
      <c r="BI84" s="30"/>
      <c r="BJ84" s="30">
        <v>169174</v>
      </c>
      <c r="BK84" s="30">
        <v>32446</v>
      </c>
      <c r="BL84" s="30"/>
      <c r="BM84" s="30"/>
      <c r="BN84" s="30">
        <v>450230</v>
      </c>
      <c r="BO84" s="30">
        <v>0</v>
      </c>
      <c r="BP84" s="30">
        <v>41617</v>
      </c>
      <c r="BQ84" s="30"/>
      <c r="BR84" s="30">
        <v>107322</v>
      </c>
      <c r="BS84" s="30"/>
      <c r="BT84" s="30"/>
      <c r="BU84" s="30"/>
      <c r="BV84" s="30">
        <v>-5450</v>
      </c>
      <c r="BW84" s="30">
        <v>749</v>
      </c>
      <c r="BX84" s="30">
        <v>2192</v>
      </c>
      <c r="BY84" s="30">
        <v>3981</v>
      </c>
      <c r="BZ84" s="30"/>
      <c r="CA84" s="30"/>
      <c r="CB84" s="30"/>
      <c r="CC84" s="30"/>
      <c r="CD84" s="35">
        <v>1447626</v>
      </c>
      <c r="CE84" s="32">
        <f t="shared" si="12"/>
        <v>3070096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3858443</v>
      </c>
      <c r="CE85" s="32">
        <f t="shared" si="12"/>
        <v>3858443</v>
      </c>
    </row>
    <row r="86" spans="1:84" x14ac:dyDescent="0.25">
      <c r="A86" s="39" t="s">
        <v>270</v>
      </c>
      <c r="B86" s="32"/>
      <c r="C86" s="32">
        <f>SUM(C62:C70)-C85</f>
        <v>0</v>
      </c>
      <c r="D86" s="32">
        <f t="shared" ref="D86:BO86" si="13">SUM(D62:D70)-D85</f>
        <v>0</v>
      </c>
      <c r="E86" s="32">
        <f t="shared" si="13"/>
        <v>2846331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662398</v>
      </c>
      <c r="K86" s="32">
        <f t="shared" si="13"/>
        <v>0</v>
      </c>
      <c r="L86" s="32">
        <f t="shared" si="13"/>
        <v>660767</v>
      </c>
      <c r="M86" s="32">
        <f t="shared" si="13"/>
        <v>0</v>
      </c>
      <c r="N86" s="32">
        <f t="shared" si="13"/>
        <v>0</v>
      </c>
      <c r="O86" s="32">
        <f t="shared" si="13"/>
        <v>2347395</v>
      </c>
      <c r="P86" s="32">
        <f t="shared" si="13"/>
        <v>7398139</v>
      </c>
      <c r="Q86" s="32">
        <f t="shared" si="13"/>
        <v>0</v>
      </c>
      <c r="R86" s="32">
        <f t="shared" si="13"/>
        <v>1075392</v>
      </c>
      <c r="S86" s="32">
        <f t="shared" si="13"/>
        <v>221082</v>
      </c>
      <c r="T86" s="32">
        <f t="shared" si="13"/>
        <v>0</v>
      </c>
      <c r="U86" s="32">
        <f t="shared" si="13"/>
        <v>4133094</v>
      </c>
      <c r="V86" s="32">
        <f t="shared" si="13"/>
        <v>0</v>
      </c>
      <c r="W86" s="32">
        <f t="shared" si="13"/>
        <v>233671</v>
      </c>
      <c r="X86" s="32">
        <f t="shared" si="13"/>
        <v>2098935</v>
      </c>
      <c r="Y86" s="32">
        <f t="shared" si="13"/>
        <v>1738123</v>
      </c>
      <c r="Z86" s="32">
        <f t="shared" si="13"/>
        <v>0</v>
      </c>
      <c r="AA86" s="32">
        <f t="shared" si="13"/>
        <v>0</v>
      </c>
      <c r="AB86" s="32">
        <f t="shared" si="13"/>
        <v>2432458</v>
      </c>
      <c r="AC86" s="32">
        <f t="shared" si="13"/>
        <v>927002</v>
      </c>
      <c r="AD86" s="32">
        <f t="shared" si="13"/>
        <v>0</v>
      </c>
      <c r="AE86" s="32">
        <f t="shared" si="13"/>
        <v>1807391</v>
      </c>
      <c r="AF86" s="32">
        <f t="shared" si="13"/>
        <v>0</v>
      </c>
      <c r="AG86" s="32">
        <f t="shared" si="13"/>
        <v>4892950</v>
      </c>
      <c r="AH86" s="32">
        <f t="shared" si="13"/>
        <v>1210315</v>
      </c>
      <c r="AI86" s="32">
        <f t="shared" si="13"/>
        <v>400335</v>
      </c>
      <c r="AJ86" s="32">
        <f t="shared" si="13"/>
        <v>16812353</v>
      </c>
      <c r="AK86" s="32">
        <f t="shared" si="13"/>
        <v>249730</v>
      </c>
      <c r="AL86" s="32">
        <f t="shared" si="13"/>
        <v>244665</v>
      </c>
      <c r="AM86" s="32">
        <f t="shared" si="13"/>
        <v>0</v>
      </c>
      <c r="AN86" s="32">
        <f t="shared" si="13"/>
        <v>0</v>
      </c>
      <c r="AO86" s="32">
        <f t="shared" si="13"/>
        <v>614029</v>
      </c>
      <c r="AP86" s="32">
        <f t="shared" si="13"/>
        <v>428206</v>
      </c>
      <c r="AQ86" s="32">
        <f t="shared" si="13"/>
        <v>0</v>
      </c>
      <c r="AR86" s="32">
        <f t="shared" si="13"/>
        <v>0</v>
      </c>
      <c r="AS86" s="32">
        <f t="shared" si="13"/>
        <v>0</v>
      </c>
      <c r="AT86" s="32">
        <f t="shared" si="13"/>
        <v>0</v>
      </c>
      <c r="AU86" s="32">
        <f t="shared" si="13"/>
        <v>0</v>
      </c>
      <c r="AV86" s="32">
        <f t="shared" si="13"/>
        <v>0</v>
      </c>
      <c r="AW86" s="32">
        <f t="shared" si="13"/>
        <v>0</v>
      </c>
      <c r="AX86" s="32">
        <f t="shared" si="13"/>
        <v>0</v>
      </c>
      <c r="AY86" s="32">
        <f t="shared" si="13"/>
        <v>807858</v>
      </c>
      <c r="AZ86" s="32">
        <f t="shared" si="13"/>
        <v>0</v>
      </c>
      <c r="BA86" s="32">
        <f t="shared" si="13"/>
        <v>226758</v>
      </c>
      <c r="BB86" s="32">
        <f t="shared" si="13"/>
        <v>465760</v>
      </c>
      <c r="BC86" s="32">
        <f t="shared" si="13"/>
        <v>0</v>
      </c>
      <c r="BD86" s="32">
        <f t="shared" si="13"/>
        <v>0</v>
      </c>
      <c r="BE86" s="32">
        <f t="shared" si="13"/>
        <v>1069983</v>
      </c>
      <c r="BF86" s="32">
        <f t="shared" si="13"/>
        <v>601681</v>
      </c>
      <c r="BG86" s="32">
        <f t="shared" si="13"/>
        <v>0</v>
      </c>
      <c r="BH86" s="32">
        <f t="shared" si="13"/>
        <v>2594072</v>
      </c>
      <c r="BI86" s="32">
        <f t="shared" si="13"/>
        <v>0</v>
      </c>
      <c r="BJ86" s="32">
        <f t="shared" si="13"/>
        <v>1147607</v>
      </c>
      <c r="BK86" s="32">
        <f t="shared" si="13"/>
        <v>1765911</v>
      </c>
      <c r="BL86" s="32">
        <f t="shared" si="13"/>
        <v>0</v>
      </c>
      <c r="BM86" s="32">
        <f t="shared" si="13"/>
        <v>0</v>
      </c>
      <c r="BN86" s="32">
        <f t="shared" si="13"/>
        <v>3962190</v>
      </c>
      <c r="BO86" s="32">
        <f t="shared" si="13"/>
        <v>8927</v>
      </c>
      <c r="BP86" s="32">
        <f t="shared" ref="BP86:CD86" si="14">SUM(BP62:BP70)-BP85</f>
        <v>1728893</v>
      </c>
      <c r="BQ86" s="32">
        <f t="shared" si="14"/>
        <v>0</v>
      </c>
      <c r="BR86" s="32">
        <f t="shared" si="14"/>
        <v>886850</v>
      </c>
      <c r="BS86" s="32">
        <f t="shared" si="14"/>
        <v>0</v>
      </c>
      <c r="BT86" s="32">
        <f t="shared" si="14"/>
        <v>0</v>
      </c>
      <c r="BU86" s="32">
        <f t="shared" si="14"/>
        <v>0</v>
      </c>
      <c r="BV86" s="32">
        <f t="shared" si="14"/>
        <v>731816</v>
      </c>
      <c r="BW86" s="32">
        <f t="shared" si="14"/>
        <v>374963</v>
      </c>
      <c r="BX86" s="32">
        <f t="shared" si="14"/>
        <v>18873</v>
      </c>
      <c r="BY86" s="32">
        <f t="shared" si="14"/>
        <v>1436936</v>
      </c>
      <c r="BZ86" s="32">
        <f t="shared" si="14"/>
        <v>0</v>
      </c>
      <c r="CA86" s="32">
        <f t="shared" si="14"/>
        <v>0</v>
      </c>
      <c r="CB86" s="32">
        <f t="shared" si="14"/>
        <v>0</v>
      </c>
      <c r="CC86" s="32">
        <f t="shared" si="14"/>
        <v>0</v>
      </c>
      <c r="CD86" s="32">
        <f t="shared" si="14"/>
        <v>-2410817</v>
      </c>
      <c r="CE86" s="32">
        <f t="shared" si="12"/>
        <v>68853022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877078</v>
      </c>
    </row>
    <row r="88" spans="1:84" x14ac:dyDescent="0.25">
      <c r="A88" s="26" t="s">
        <v>272</v>
      </c>
      <c r="B88" s="20"/>
      <c r="C88" s="213"/>
      <c r="D88" s="213"/>
      <c r="E88" s="213">
        <v>7965599</v>
      </c>
      <c r="F88" s="213"/>
      <c r="G88" s="213">
        <v>0</v>
      </c>
      <c r="H88" s="213"/>
      <c r="I88" s="213"/>
      <c r="J88" s="213">
        <v>1853745</v>
      </c>
      <c r="K88" s="213"/>
      <c r="L88" s="213">
        <v>1849157</v>
      </c>
      <c r="M88" s="213"/>
      <c r="N88" s="213"/>
      <c r="O88" s="213">
        <v>3186327</v>
      </c>
      <c r="P88" s="213">
        <v>5042297</v>
      </c>
      <c r="Q88" s="213"/>
      <c r="R88" s="213">
        <v>2868238</v>
      </c>
      <c r="S88" s="213">
        <v>927231</v>
      </c>
      <c r="T88" s="213"/>
      <c r="U88" s="213">
        <v>4279986</v>
      </c>
      <c r="V88" s="213"/>
      <c r="W88" s="213">
        <v>132887</v>
      </c>
      <c r="X88" s="213">
        <v>1193598</v>
      </c>
      <c r="Y88" s="213">
        <v>988371</v>
      </c>
      <c r="Z88" s="213"/>
      <c r="AA88" s="213"/>
      <c r="AB88" s="213">
        <v>4017636</v>
      </c>
      <c r="AC88" s="213">
        <v>2230972</v>
      </c>
      <c r="AD88" s="213"/>
      <c r="AE88" s="213">
        <v>389899</v>
      </c>
      <c r="AF88" s="213"/>
      <c r="AG88" s="213">
        <v>1352447</v>
      </c>
      <c r="AH88" s="213">
        <v>0</v>
      </c>
      <c r="AI88" s="213">
        <v>2808</v>
      </c>
      <c r="AJ88" s="213">
        <v>1351496</v>
      </c>
      <c r="AK88" s="213">
        <v>272972</v>
      </c>
      <c r="AL88" s="213">
        <v>81466</v>
      </c>
      <c r="AM88" s="213"/>
      <c r="AN88" s="213"/>
      <c r="AO88" s="213">
        <v>1718385</v>
      </c>
      <c r="AP88" s="213">
        <v>0</v>
      </c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5">SUM(C88:CD88)</f>
        <v>41705517</v>
      </c>
    </row>
    <row r="89" spans="1:84" x14ac:dyDescent="0.25">
      <c r="A89" s="26" t="s">
        <v>273</v>
      </c>
      <c r="B89" s="20"/>
      <c r="C89" s="213"/>
      <c r="D89" s="213"/>
      <c r="E89" s="213">
        <v>2722193</v>
      </c>
      <c r="F89" s="213"/>
      <c r="G89" s="213">
        <v>0</v>
      </c>
      <c r="H89" s="213"/>
      <c r="I89" s="213"/>
      <c r="J89" s="213">
        <v>633506</v>
      </c>
      <c r="K89" s="213"/>
      <c r="L89" s="213">
        <v>631938</v>
      </c>
      <c r="M89" s="213"/>
      <c r="N89" s="213"/>
      <c r="O89" s="213">
        <v>596329</v>
      </c>
      <c r="P89" s="213">
        <v>30651097</v>
      </c>
      <c r="Q89" s="213"/>
      <c r="R89" s="213">
        <v>6791055</v>
      </c>
      <c r="S89" s="213">
        <v>5847963</v>
      </c>
      <c r="T89" s="213"/>
      <c r="U89" s="213">
        <v>18348444</v>
      </c>
      <c r="V89" s="213"/>
      <c r="W89" s="213">
        <v>2032043</v>
      </c>
      <c r="X89" s="213">
        <v>18251983</v>
      </c>
      <c r="Y89" s="213">
        <v>15113734</v>
      </c>
      <c r="Z89" s="213"/>
      <c r="AA89" s="213"/>
      <c r="AB89" s="213">
        <v>4466703</v>
      </c>
      <c r="AC89" s="213">
        <v>1813982</v>
      </c>
      <c r="AD89" s="213"/>
      <c r="AE89" s="213">
        <v>6779429</v>
      </c>
      <c r="AF89" s="213"/>
      <c r="AG89" s="213">
        <v>21457937</v>
      </c>
      <c r="AH89" s="213">
        <v>2084205</v>
      </c>
      <c r="AI89" s="213">
        <v>2088384</v>
      </c>
      <c r="AJ89" s="213">
        <v>13354372</v>
      </c>
      <c r="AK89" s="213">
        <v>368461</v>
      </c>
      <c r="AL89" s="213">
        <v>992818</v>
      </c>
      <c r="AM89" s="213"/>
      <c r="AN89" s="213"/>
      <c r="AO89" s="213">
        <v>587246</v>
      </c>
      <c r="AP89" s="213">
        <v>322290</v>
      </c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5"/>
        <v>155936112</v>
      </c>
    </row>
    <row r="90" spans="1:84" x14ac:dyDescent="0.25">
      <c r="A90" s="26" t="s">
        <v>274</v>
      </c>
      <c r="B90" s="20"/>
      <c r="C90" s="32">
        <f>C88+C89</f>
        <v>0</v>
      </c>
      <c r="D90" s="32">
        <f t="shared" ref="D90:AV90" si="16">D88+D89</f>
        <v>0</v>
      </c>
      <c r="E90" s="32">
        <f t="shared" si="16"/>
        <v>10687792</v>
      </c>
      <c r="F90" s="32">
        <f t="shared" si="16"/>
        <v>0</v>
      </c>
      <c r="G90" s="32">
        <f t="shared" si="16"/>
        <v>0</v>
      </c>
      <c r="H90" s="32">
        <f t="shared" si="16"/>
        <v>0</v>
      </c>
      <c r="I90" s="32">
        <f t="shared" si="16"/>
        <v>0</v>
      </c>
      <c r="J90" s="32">
        <f t="shared" si="16"/>
        <v>2487251</v>
      </c>
      <c r="K90" s="32">
        <f t="shared" si="16"/>
        <v>0</v>
      </c>
      <c r="L90" s="32">
        <f t="shared" si="16"/>
        <v>2481095</v>
      </c>
      <c r="M90" s="32">
        <f t="shared" si="16"/>
        <v>0</v>
      </c>
      <c r="N90" s="32">
        <f t="shared" si="16"/>
        <v>0</v>
      </c>
      <c r="O90" s="32">
        <f t="shared" si="16"/>
        <v>3782656</v>
      </c>
      <c r="P90" s="32">
        <f t="shared" si="16"/>
        <v>35693394</v>
      </c>
      <c r="Q90" s="32">
        <f t="shared" si="16"/>
        <v>0</v>
      </c>
      <c r="R90" s="32">
        <f t="shared" si="16"/>
        <v>9659293</v>
      </c>
      <c r="S90" s="32">
        <f t="shared" si="16"/>
        <v>6775194</v>
      </c>
      <c r="T90" s="32">
        <f t="shared" si="16"/>
        <v>0</v>
      </c>
      <c r="U90" s="32">
        <f t="shared" si="16"/>
        <v>22628430</v>
      </c>
      <c r="V90" s="32">
        <f t="shared" si="16"/>
        <v>0</v>
      </c>
      <c r="W90" s="32">
        <f t="shared" si="16"/>
        <v>2164930</v>
      </c>
      <c r="X90" s="32">
        <f t="shared" si="16"/>
        <v>19445581</v>
      </c>
      <c r="Y90" s="32">
        <f t="shared" si="16"/>
        <v>16102105</v>
      </c>
      <c r="Z90" s="32">
        <f t="shared" si="16"/>
        <v>0</v>
      </c>
      <c r="AA90" s="32">
        <f t="shared" si="16"/>
        <v>0</v>
      </c>
      <c r="AB90" s="32">
        <f t="shared" si="16"/>
        <v>8484339</v>
      </c>
      <c r="AC90" s="32">
        <f t="shared" si="16"/>
        <v>4044954</v>
      </c>
      <c r="AD90" s="32">
        <f t="shared" si="16"/>
        <v>0</v>
      </c>
      <c r="AE90" s="32">
        <f t="shared" si="16"/>
        <v>7169328</v>
      </c>
      <c r="AF90" s="32">
        <f t="shared" si="16"/>
        <v>0</v>
      </c>
      <c r="AG90" s="32">
        <f t="shared" si="16"/>
        <v>22810384</v>
      </c>
      <c r="AH90" s="32">
        <f t="shared" si="16"/>
        <v>2084205</v>
      </c>
      <c r="AI90" s="32">
        <f t="shared" si="16"/>
        <v>2091192</v>
      </c>
      <c r="AJ90" s="32">
        <f t="shared" si="16"/>
        <v>14705868</v>
      </c>
      <c r="AK90" s="32">
        <f t="shared" si="16"/>
        <v>641433</v>
      </c>
      <c r="AL90" s="32">
        <f t="shared" si="16"/>
        <v>1074284</v>
      </c>
      <c r="AM90" s="32">
        <f t="shared" si="16"/>
        <v>0</v>
      </c>
      <c r="AN90" s="32">
        <f t="shared" si="16"/>
        <v>0</v>
      </c>
      <c r="AO90" s="32">
        <f t="shared" si="16"/>
        <v>2305631</v>
      </c>
      <c r="AP90" s="32">
        <f t="shared" si="16"/>
        <v>322290</v>
      </c>
      <c r="AQ90" s="32">
        <f t="shared" si="16"/>
        <v>0</v>
      </c>
      <c r="AR90" s="32">
        <f t="shared" si="16"/>
        <v>0</v>
      </c>
      <c r="AS90" s="32">
        <f t="shared" si="16"/>
        <v>0</v>
      </c>
      <c r="AT90" s="32">
        <f t="shared" si="16"/>
        <v>0</v>
      </c>
      <c r="AU90" s="32">
        <f t="shared" si="16"/>
        <v>0</v>
      </c>
      <c r="AV90" s="32">
        <f t="shared" si="16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5"/>
        <v>197641629</v>
      </c>
    </row>
    <row r="91" spans="1:84" x14ac:dyDescent="0.25">
      <c r="A91" s="39" t="s">
        <v>275</v>
      </c>
      <c r="B91" s="32"/>
      <c r="C91" s="213"/>
      <c r="D91" s="213"/>
      <c r="E91" s="213">
        <v>5697</v>
      </c>
      <c r="F91" s="213"/>
      <c r="G91" s="213"/>
      <c r="H91" s="213"/>
      <c r="I91" s="213"/>
      <c r="J91" s="213">
        <v>1326</v>
      </c>
      <c r="K91" s="213"/>
      <c r="L91" s="213">
        <v>1323</v>
      </c>
      <c r="M91" s="213"/>
      <c r="N91" s="213"/>
      <c r="O91" s="213">
        <v>2736</v>
      </c>
      <c r="P91" s="213">
        <v>7440</v>
      </c>
      <c r="Q91" s="213"/>
      <c r="R91" s="213">
        <v>161</v>
      </c>
      <c r="S91" s="213">
        <v>1440</v>
      </c>
      <c r="T91" s="213"/>
      <c r="U91" s="213">
        <v>1617</v>
      </c>
      <c r="V91" s="213"/>
      <c r="W91" s="213">
        <v>320</v>
      </c>
      <c r="X91" s="213">
        <v>2878</v>
      </c>
      <c r="Y91" s="213">
        <v>2383</v>
      </c>
      <c r="Z91" s="213"/>
      <c r="AA91" s="213"/>
      <c r="AB91" s="213">
        <v>397</v>
      </c>
      <c r="AC91" s="213">
        <v>769</v>
      </c>
      <c r="AD91" s="213"/>
      <c r="AE91" s="213">
        <v>2969</v>
      </c>
      <c r="AF91" s="213"/>
      <c r="AG91" s="213">
        <v>3320</v>
      </c>
      <c r="AH91" s="213">
        <v>638</v>
      </c>
      <c r="AI91" s="213">
        <v>641</v>
      </c>
      <c r="AJ91" s="213">
        <v>31399</v>
      </c>
      <c r="AK91" s="213">
        <v>493</v>
      </c>
      <c r="AL91" s="213">
        <v>351</v>
      </c>
      <c r="AM91" s="213"/>
      <c r="AN91" s="213"/>
      <c r="AO91" s="213">
        <v>1229</v>
      </c>
      <c r="AP91" s="213">
        <v>2395</v>
      </c>
      <c r="AQ91" s="213"/>
      <c r="AR91" s="213"/>
      <c r="AS91" s="213"/>
      <c r="AT91" s="213"/>
      <c r="AU91" s="213"/>
      <c r="AV91" s="213"/>
      <c r="AW91" s="213"/>
      <c r="AX91" s="213"/>
      <c r="AY91" s="213">
        <v>2160</v>
      </c>
      <c r="AZ91" s="213"/>
      <c r="BA91" s="213">
        <v>888</v>
      </c>
      <c r="BB91" s="213">
        <v>284</v>
      </c>
      <c r="BC91" s="213"/>
      <c r="BD91" s="213"/>
      <c r="BE91" s="213">
        <v>6270</v>
      </c>
      <c r="BF91" s="213">
        <v>840</v>
      </c>
      <c r="BG91" s="213"/>
      <c r="BH91" s="213">
        <v>692</v>
      </c>
      <c r="BI91" s="213"/>
      <c r="BJ91" s="213">
        <v>636</v>
      </c>
      <c r="BK91" s="213">
        <v>514</v>
      </c>
      <c r="BL91" s="213"/>
      <c r="BM91" s="213"/>
      <c r="BN91" s="213">
        <v>17135</v>
      </c>
      <c r="BO91" s="213"/>
      <c r="BP91" s="213">
        <v>610</v>
      </c>
      <c r="BQ91" s="213"/>
      <c r="BR91" s="213">
        <v>257</v>
      </c>
      <c r="BS91" s="213"/>
      <c r="BT91" s="213"/>
      <c r="BU91" s="213"/>
      <c r="BV91" s="213">
        <v>998</v>
      </c>
      <c r="BW91" s="213">
        <v>164</v>
      </c>
      <c r="BX91" s="213">
        <v>0</v>
      </c>
      <c r="BY91" s="213">
        <v>561</v>
      </c>
      <c r="BZ91" s="213"/>
      <c r="CA91" s="213"/>
      <c r="CB91" s="213"/>
      <c r="CC91" s="213"/>
      <c r="CD91" s="233"/>
      <c r="CE91" s="32">
        <f t="shared" si="15"/>
        <v>103931</v>
      </c>
      <c r="CF91" s="32">
        <f>BE60-CE91</f>
        <v>1</v>
      </c>
    </row>
    <row r="92" spans="1:84" x14ac:dyDescent="0.25">
      <c r="A92" s="26" t="s">
        <v>276</v>
      </c>
      <c r="B92" s="20"/>
      <c r="C92" s="213"/>
      <c r="D92" s="213"/>
      <c r="E92" s="213">
        <v>14564</v>
      </c>
      <c r="F92" s="213"/>
      <c r="G92" s="213"/>
      <c r="H92" s="213"/>
      <c r="I92" s="213"/>
      <c r="J92" s="213">
        <v>0</v>
      </c>
      <c r="K92" s="213"/>
      <c r="L92" s="213">
        <v>3381</v>
      </c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>
        <v>3142</v>
      </c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5"/>
        <v>21087</v>
      </c>
      <c r="CF92" s="32">
        <f>AY60-CE92</f>
        <v>0</v>
      </c>
    </row>
    <row r="93" spans="1:84" x14ac:dyDescent="0.25">
      <c r="A93" s="26" t="s">
        <v>277</v>
      </c>
      <c r="B93" s="20"/>
      <c r="C93" s="213"/>
      <c r="D93" s="213"/>
      <c r="E93" s="213">
        <v>1000</v>
      </c>
      <c r="F93" s="213"/>
      <c r="G93" s="213"/>
      <c r="H93" s="213"/>
      <c r="I93" s="213"/>
      <c r="J93" s="213">
        <v>233</v>
      </c>
      <c r="K93" s="213"/>
      <c r="L93" s="213">
        <v>232</v>
      </c>
      <c r="M93" s="213"/>
      <c r="N93" s="213"/>
      <c r="O93" s="213">
        <v>480</v>
      </c>
      <c r="P93" s="213">
        <v>1305</v>
      </c>
      <c r="Q93" s="213"/>
      <c r="R93" s="213">
        <v>28</v>
      </c>
      <c r="S93" s="213">
        <v>253</v>
      </c>
      <c r="T93" s="213"/>
      <c r="U93" s="213">
        <v>284</v>
      </c>
      <c r="V93" s="213"/>
      <c r="W93" s="213">
        <v>56</v>
      </c>
      <c r="X93" s="213">
        <v>505</v>
      </c>
      <c r="Y93" s="213">
        <v>418</v>
      </c>
      <c r="Z93" s="213"/>
      <c r="AA93" s="213"/>
      <c r="AB93" s="213">
        <v>70</v>
      </c>
      <c r="AC93" s="213">
        <v>135</v>
      </c>
      <c r="AD93" s="213"/>
      <c r="AE93" s="213">
        <v>521</v>
      </c>
      <c r="AF93" s="213"/>
      <c r="AG93" s="213">
        <v>582</v>
      </c>
      <c r="AH93" s="213">
        <v>112</v>
      </c>
      <c r="AI93" s="213">
        <v>112</v>
      </c>
      <c r="AJ93" s="213">
        <v>5509</v>
      </c>
      <c r="AK93" s="213">
        <v>86</v>
      </c>
      <c r="AL93" s="213">
        <v>62</v>
      </c>
      <c r="AM93" s="213"/>
      <c r="AN93" s="213"/>
      <c r="AO93" s="213">
        <v>215</v>
      </c>
      <c r="AP93" s="213">
        <v>420</v>
      </c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>
        <v>156</v>
      </c>
      <c r="BB93" s="213">
        <v>50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121</v>
      </c>
      <c r="BI93" s="213"/>
      <c r="BJ93" s="229" t="s">
        <v>233</v>
      </c>
      <c r="BK93" s="213">
        <v>90</v>
      </c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175</v>
      </c>
      <c r="BW93" s="213">
        <v>29</v>
      </c>
      <c r="BX93" s="213"/>
      <c r="BY93" s="213">
        <v>98</v>
      </c>
      <c r="BZ93" s="213"/>
      <c r="CA93" s="213"/>
      <c r="CB93" s="213"/>
      <c r="CC93" s="229" t="s">
        <v>233</v>
      </c>
      <c r="CD93" s="229" t="s">
        <v>233</v>
      </c>
      <c r="CE93" s="32">
        <f t="shared" si="15"/>
        <v>13337</v>
      </c>
      <c r="CF93" s="20"/>
    </row>
    <row r="94" spans="1:84" x14ac:dyDescent="0.25">
      <c r="A94" s="26" t="s">
        <v>278</v>
      </c>
      <c r="B94" s="20"/>
      <c r="C94" s="213"/>
      <c r="D94" s="213"/>
      <c r="E94" s="213">
        <v>55446</v>
      </c>
      <c r="F94" s="213"/>
      <c r="G94" s="213"/>
      <c r="H94" s="213"/>
      <c r="I94" s="213"/>
      <c r="J94" s="213">
        <v>12903</v>
      </c>
      <c r="K94" s="213"/>
      <c r="L94" s="213">
        <v>12871</v>
      </c>
      <c r="M94" s="213"/>
      <c r="N94" s="213"/>
      <c r="O94" s="213">
        <v>18313</v>
      </c>
      <c r="P94" s="213">
        <v>21832</v>
      </c>
      <c r="Q94" s="213"/>
      <c r="R94" s="213"/>
      <c r="S94" s="213"/>
      <c r="T94" s="213"/>
      <c r="U94" s="213">
        <v>259</v>
      </c>
      <c r="V94" s="213"/>
      <c r="W94" s="213">
        <v>900</v>
      </c>
      <c r="X94" s="213">
        <v>8085</v>
      </c>
      <c r="Y94" s="213">
        <v>6695</v>
      </c>
      <c r="Z94" s="213"/>
      <c r="AA94" s="213"/>
      <c r="AB94" s="213"/>
      <c r="AC94" s="213">
        <v>801</v>
      </c>
      <c r="AD94" s="213"/>
      <c r="AE94" s="213">
        <v>10626</v>
      </c>
      <c r="AF94" s="213"/>
      <c r="AG94" s="213">
        <v>34187</v>
      </c>
      <c r="AH94" s="213">
        <v>3054</v>
      </c>
      <c r="AI94" s="213">
        <v>1300</v>
      </c>
      <c r="AJ94" s="213">
        <v>5775</v>
      </c>
      <c r="AK94" s="213">
        <v>0</v>
      </c>
      <c r="AL94" s="213">
        <v>0</v>
      </c>
      <c r="AM94" s="213"/>
      <c r="AN94" s="213"/>
      <c r="AO94" s="213">
        <v>11962</v>
      </c>
      <c r="AP94" s="213">
        <v>0</v>
      </c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5"/>
        <v>205009</v>
      </c>
      <c r="CF94" s="32">
        <f>BA60</f>
        <v>0</v>
      </c>
    </row>
    <row r="95" spans="1:84" x14ac:dyDescent="0.25">
      <c r="A95" s="26" t="s">
        <v>279</v>
      </c>
      <c r="B95" s="20"/>
      <c r="C95" s="243"/>
      <c r="D95" s="243"/>
      <c r="E95" s="243">
        <v>14.55</v>
      </c>
      <c r="F95" s="243"/>
      <c r="G95" s="243"/>
      <c r="H95" s="243"/>
      <c r="I95" s="243"/>
      <c r="J95" s="243">
        <v>3</v>
      </c>
      <c r="K95" s="243"/>
      <c r="L95" s="243">
        <v>3.38</v>
      </c>
      <c r="M95" s="243"/>
      <c r="N95" s="243"/>
      <c r="O95" s="243">
        <v>12.91</v>
      </c>
      <c r="P95" s="244">
        <v>0</v>
      </c>
      <c r="Q95" s="244"/>
      <c r="R95" s="244"/>
      <c r="S95" s="245"/>
      <c r="T95" s="245"/>
      <c r="U95" s="246"/>
      <c r="V95" s="244"/>
      <c r="W95" s="244"/>
      <c r="X95" s="244">
        <v>0</v>
      </c>
      <c r="Y95" s="244">
        <v>0</v>
      </c>
      <c r="Z95" s="244"/>
      <c r="AA95" s="244"/>
      <c r="AB95" s="245"/>
      <c r="AC95" s="244"/>
      <c r="AD95" s="244"/>
      <c r="AE95" s="244"/>
      <c r="AF95" s="244"/>
      <c r="AG95" s="244">
        <v>13.45</v>
      </c>
      <c r="AH95" s="244"/>
      <c r="AI95" s="244">
        <v>3.06</v>
      </c>
      <c r="AJ95" s="244">
        <v>13</v>
      </c>
      <c r="AK95" s="244"/>
      <c r="AL95" s="244"/>
      <c r="AM95" s="244"/>
      <c r="AN95" s="244"/>
      <c r="AO95" s="244">
        <v>3.52</v>
      </c>
      <c r="AP95" s="244">
        <v>0</v>
      </c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5"/>
        <v>66.87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8">
        <v>99350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3" t="s">
        <v>1373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3" t="s">
        <v>1374</v>
      </c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/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1397</v>
      </c>
      <c r="D128" s="220">
        <v>3472</v>
      </c>
      <c r="E128" s="20"/>
    </row>
    <row r="129" spans="1:5" x14ac:dyDescent="0.25">
      <c r="A129" s="20" t="s">
        <v>311</v>
      </c>
      <c r="B129" s="46" t="s">
        <v>284</v>
      </c>
      <c r="C129" s="216">
        <v>64</v>
      </c>
      <c r="D129" s="220">
        <v>806</v>
      </c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>
        <v>583</v>
      </c>
      <c r="D131" s="220">
        <v>808</v>
      </c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/>
      <c r="D133" s="20"/>
      <c r="E133" s="20"/>
    </row>
    <row r="134" spans="1:5" x14ac:dyDescent="0.25">
      <c r="A134" s="20" t="s">
        <v>316</v>
      </c>
      <c r="B134" s="46" t="s">
        <v>284</v>
      </c>
      <c r="C134" s="216">
        <v>0</v>
      </c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19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/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/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>
        <v>6</v>
      </c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25">
      <c r="A145" s="20" t="s">
        <v>325</v>
      </c>
      <c r="B145" s="46" t="s">
        <v>284</v>
      </c>
      <c r="C145" s="47"/>
      <c r="D145" s="20"/>
      <c r="E145" s="20"/>
    </row>
    <row r="146" spans="1:6" x14ac:dyDescent="0.25">
      <c r="A146" s="20" t="s">
        <v>326</v>
      </c>
      <c r="B146" s="46" t="s">
        <v>284</v>
      </c>
      <c r="C146" s="47"/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418</v>
      </c>
      <c r="C155" s="50">
        <v>137</v>
      </c>
      <c r="D155" s="50">
        <v>842</v>
      </c>
      <c r="E155" s="32">
        <f>SUM(B155:D155)</f>
        <v>1397</v>
      </c>
    </row>
    <row r="156" spans="1:6" x14ac:dyDescent="0.25">
      <c r="A156" s="20" t="s">
        <v>227</v>
      </c>
      <c r="B156" s="50">
        <v>1040</v>
      </c>
      <c r="C156" s="50">
        <v>340</v>
      </c>
      <c r="D156" s="50">
        <v>2092</v>
      </c>
      <c r="E156" s="32">
        <f>SUM(B156:D156)</f>
        <v>3472</v>
      </c>
    </row>
    <row r="157" spans="1:6" x14ac:dyDescent="0.2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25">
      <c r="A158" s="20" t="s">
        <v>272</v>
      </c>
      <c r="B158" s="50">
        <v>13204854</v>
      </c>
      <c r="C158" s="50">
        <v>15576617</v>
      </c>
      <c r="D158" s="50">
        <v>11655875</v>
      </c>
      <c r="E158" s="32">
        <f>SUM(B158:D158)</f>
        <v>40437346</v>
      </c>
      <c r="F158" s="18"/>
    </row>
    <row r="159" spans="1:6" x14ac:dyDescent="0.25">
      <c r="A159" s="20" t="s">
        <v>273</v>
      </c>
      <c r="B159" s="50">
        <v>48942487</v>
      </c>
      <c r="C159" s="50">
        <v>47149259</v>
      </c>
      <c r="D159" s="50">
        <v>59410977</v>
      </c>
      <c r="E159" s="32">
        <f>SUM(B159:D159)</f>
        <v>155502723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>
        <v>61</v>
      </c>
      <c r="C161" s="50">
        <v>2</v>
      </c>
      <c r="D161" s="50">
        <v>1</v>
      </c>
      <c r="E161" s="32">
        <f>SUM(B161:D161)</f>
        <v>64</v>
      </c>
    </row>
    <row r="162" spans="1:5" x14ac:dyDescent="0.25">
      <c r="A162" s="20" t="s">
        <v>227</v>
      </c>
      <c r="B162" s="50">
        <v>765</v>
      </c>
      <c r="C162" s="50">
        <v>23</v>
      </c>
      <c r="D162" s="50">
        <v>18</v>
      </c>
      <c r="E162" s="32">
        <f>SUM(B162:D162)</f>
        <v>806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>
        <v>936181</v>
      </c>
      <c r="C164" s="50">
        <v>0</v>
      </c>
      <c r="D164" s="50">
        <v>331990</v>
      </c>
      <c r="E164" s="32">
        <f>SUM(B164:D164)</f>
        <v>1268171</v>
      </c>
    </row>
    <row r="165" spans="1:5" x14ac:dyDescent="0.25">
      <c r="A165" s="20" t="s">
        <v>273</v>
      </c>
      <c r="B165" s="50">
        <v>319934</v>
      </c>
      <c r="C165" s="50">
        <v>0</v>
      </c>
      <c r="D165" s="50">
        <v>113455</v>
      </c>
      <c r="E165" s="32">
        <f>SUM(B165:D165)</f>
        <v>433389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>
        <v>25981960</v>
      </c>
      <c r="C174" s="50">
        <v>9274167</v>
      </c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2068029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59032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288291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4758254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>
        <v>57256</v>
      </c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1064776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0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>
        <v>-804328</v>
      </c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7491310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>
        <v>907996</v>
      </c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1179860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2087856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389059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129378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518437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7675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>
        <v>519363</v>
      </c>
      <c r="D201" s="20"/>
      <c r="E201" s="20"/>
    </row>
    <row r="202" spans="1:5" x14ac:dyDescent="0.25">
      <c r="A202" s="20" t="s">
        <v>144</v>
      </c>
      <c r="B202" s="46" t="s">
        <v>284</v>
      </c>
      <c r="C202" s="47"/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527038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/>
      <c r="D205" s="20"/>
      <c r="E205" s="20"/>
    </row>
    <row r="206" spans="1:5" x14ac:dyDescent="0.25">
      <c r="A206" s="20" t="s">
        <v>359</v>
      </c>
      <c r="B206" s="46" t="s">
        <v>284</v>
      </c>
      <c r="C206" s="47">
        <v>402151</v>
      </c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402151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3128342</v>
      </c>
      <c r="C212" s="216">
        <v>0</v>
      </c>
      <c r="D212" s="220"/>
      <c r="E212" s="32">
        <f t="shared" ref="E212:E220" si="17">SUM(B212:C212)-D212</f>
        <v>3128342</v>
      </c>
    </row>
    <row r="213" spans="1:5" x14ac:dyDescent="0.25">
      <c r="A213" s="20" t="s">
        <v>367</v>
      </c>
      <c r="B213" s="220">
        <v>632699</v>
      </c>
      <c r="C213" s="216">
        <v>0</v>
      </c>
      <c r="D213" s="220"/>
      <c r="E213" s="32">
        <f t="shared" si="17"/>
        <v>632699</v>
      </c>
    </row>
    <row r="214" spans="1:5" x14ac:dyDescent="0.25">
      <c r="A214" s="20" t="s">
        <v>368</v>
      </c>
      <c r="B214" s="220">
        <v>22556640</v>
      </c>
      <c r="C214" s="216">
        <v>364107</v>
      </c>
      <c r="D214" s="220"/>
      <c r="E214" s="32">
        <f t="shared" si="17"/>
        <v>22920747</v>
      </c>
    </row>
    <row r="215" spans="1:5" x14ac:dyDescent="0.25">
      <c r="A215" s="20" t="s">
        <v>369</v>
      </c>
      <c r="B215" s="220">
        <v>4370977</v>
      </c>
      <c r="C215" s="216">
        <v>3770231</v>
      </c>
      <c r="D215" s="220">
        <v>9720</v>
      </c>
      <c r="E215" s="32">
        <f t="shared" si="17"/>
        <v>8131488</v>
      </c>
    </row>
    <row r="216" spans="1:5" x14ac:dyDescent="0.25">
      <c r="A216" s="20" t="s">
        <v>370</v>
      </c>
      <c r="B216" s="220">
        <v>665178</v>
      </c>
      <c r="C216" s="216" t="s">
        <v>1375</v>
      </c>
      <c r="D216" s="220"/>
      <c r="E216" s="32">
        <f t="shared" si="17"/>
        <v>665178</v>
      </c>
    </row>
    <row r="217" spans="1:5" x14ac:dyDescent="0.25">
      <c r="A217" s="20" t="s">
        <v>371</v>
      </c>
      <c r="B217" s="220">
        <v>14619070</v>
      </c>
      <c r="C217" s="216" t="s">
        <v>1375</v>
      </c>
      <c r="D217" s="220" t="s">
        <v>1375</v>
      </c>
      <c r="E217" s="32">
        <f t="shared" si="17"/>
        <v>14619070</v>
      </c>
    </row>
    <row r="218" spans="1:5" x14ac:dyDescent="0.25">
      <c r="A218" s="20" t="s">
        <v>372</v>
      </c>
      <c r="B218" s="220"/>
      <c r="C218" s="216"/>
      <c r="D218" s="220"/>
      <c r="E218" s="32">
        <f t="shared" si="17"/>
        <v>0</v>
      </c>
    </row>
    <row r="219" spans="1:5" x14ac:dyDescent="0.25">
      <c r="A219" s="20" t="s">
        <v>373</v>
      </c>
      <c r="B219" s="220"/>
      <c r="C219" s="216"/>
      <c r="D219" s="220"/>
      <c r="E219" s="32">
        <f t="shared" si="17"/>
        <v>0</v>
      </c>
    </row>
    <row r="220" spans="1:5" x14ac:dyDescent="0.25">
      <c r="A220" s="20" t="s">
        <v>374</v>
      </c>
      <c r="B220" s="220">
        <v>1906093</v>
      </c>
      <c r="C220" s="216">
        <v>2679274</v>
      </c>
      <c r="D220" s="220">
        <v>359090</v>
      </c>
      <c r="E220" s="32">
        <f t="shared" si="17"/>
        <v>4226277</v>
      </c>
    </row>
    <row r="221" spans="1:5" x14ac:dyDescent="0.25">
      <c r="A221" s="20" t="s">
        <v>215</v>
      </c>
      <c r="B221" s="32">
        <f>SUM(B212:B220)</f>
        <v>47878999</v>
      </c>
      <c r="C221" s="266">
        <f>SUM(C212:C220)</f>
        <v>6813612</v>
      </c>
      <c r="D221" s="32">
        <f>SUM(D212:D220)</f>
        <v>368810</v>
      </c>
      <c r="E221" s="32">
        <f>SUM(E212:E220)</f>
        <v>54323801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491609</v>
      </c>
      <c r="C226" s="216">
        <v>36862</v>
      </c>
      <c r="D226" s="220"/>
      <c r="E226" s="32">
        <f t="shared" ref="E226:E233" si="18">SUM(B226:C226)-D226</f>
        <v>528471</v>
      </c>
    </row>
    <row r="227" spans="1:5" x14ac:dyDescent="0.25">
      <c r="A227" s="20" t="s">
        <v>368</v>
      </c>
      <c r="B227" s="220">
        <v>14831495</v>
      </c>
      <c r="C227" s="216">
        <v>561134</v>
      </c>
      <c r="D227" s="220"/>
      <c r="E227" s="32">
        <f t="shared" si="18"/>
        <v>15392629</v>
      </c>
    </row>
    <row r="228" spans="1:5" x14ac:dyDescent="0.25">
      <c r="A228" s="20" t="s">
        <v>369</v>
      </c>
      <c r="B228" s="220">
        <v>3839970</v>
      </c>
      <c r="C228" s="216">
        <v>1682273</v>
      </c>
      <c r="D228" s="220">
        <v>9720</v>
      </c>
      <c r="E228" s="32">
        <f t="shared" si="18"/>
        <v>5512523</v>
      </c>
    </row>
    <row r="229" spans="1:5" x14ac:dyDescent="0.25">
      <c r="A229" s="20" t="s">
        <v>370</v>
      </c>
      <c r="B229" s="220">
        <v>547503</v>
      </c>
      <c r="C229" s="216">
        <v>19088</v>
      </c>
      <c r="D229" s="220"/>
      <c r="E229" s="32">
        <f t="shared" si="18"/>
        <v>566591</v>
      </c>
    </row>
    <row r="230" spans="1:5" x14ac:dyDescent="0.25">
      <c r="A230" s="20" t="s">
        <v>371</v>
      </c>
      <c r="B230" s="220">
        <v>9410008</v>
      </c>
      <c r="C230" s="216" t="s">
        <v>1375</v>
      </c>
      <c r="D230" s="220" t="s">
        <v>1375</v>
      </c>
      <c r="E230" s="32">
        <f t="shared" si="18"/>
        <v>9410008</v>
      </c>
    </row>
    <row r="231" spans="1:5" x14ac:dyDescent="0.25">
      <c r="A231" s="20" t="s">
        <v>372</v>
      </c>
      <c r="B231" s="220"/>
      <c r="C231" s="216"/>
      <c r="D231" s="220"/>
      <c r="E231" s="32">
        <f t="shared" si="18"/>
        <v>0</v>
      </c>
    </row>
    <row r="232" spans="1:5" x14ac:dyDescent="0.25">
      <c r="A232" s="20" t="s">
        <v>373</v>
      </c>
      <c r="B232" s="220"/>
      <c r="C232" s="216"/>
      <c r="D232" s="220"/>
      <c r="E232" s="32">
        <f t="shared" si="18"/>
        <v>0</v>
      </c>
    </row>
    <row r="233" spans="1:5" x14ac:dyDescent="0.25">
      <c r="A233" s="20" t="s">
        <v>374</v>
      </c>
      <c r="B233" s="220"/>
      <c r="C233" s="216"/>
      <c r="D233" s="220"/>
      <c r="E233" s="32">
        <f t="shared" si="18"/>
        <v>0</v>
      </c>
    </row>
    <row r="234" spans="1:5" x14ac:dyDescent="0.25">
      <c r="A234" s="20" t="s">
        <v>215</v>
      </c>
      <c r="B234" s="32">
        <f>SUM(B225:B233)</f>
        <v>29120585</v>
      </c>
      <c r="C234" s="266">
        <f>SUM(C225:C233)</f>
        <v>2299357</v>
      </c>
      <c r="D234" s="32">
        <f>SUM(D225:D233)</f>
        <v>9720</v>
      </c>
      <c r="E234" s="32">
        <f>SUM(E225:E233)</f>
        <v>31410222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71" t="s">
        <v>377</v>
      </c>
      <c r="C237" s="371"/>
      <c r="D237" s="38"/>
      <c r="E237" s="38"/>
    </row>
    <row r="238" spans="1:5" x14ac:dyDescent="0.25">
      <c r="A238" s="56" t="s">
        <v>377</v>
      </c>
      <c r="B238" s="38"/>
      <c r="C238" s="216">
        <v>3087123</v>
      </c>
      <c r="D238" s="40">
        <f>C238</f>
        <v>3087123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40095234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43777882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>
        <v>2540511</v>
      </c>
      <c r="D242" s="20"/>
      <c r="E242" s="20"/>
    </row>
    <row r="243" spans="1:5" x14ac:dyDescent="0.25">
      <c r="A243" s="20" t="s">
        <v>382</v>
      </c>
      <c r="B243" s="46" t="s">
        <v>284</v>
      </c>
      <c r="C243" s="216"/>
      <c r="D243" s="20"/>
      <c r="E243" s="20"/>
    </row>
    <row r="244" spans="1:5" x14ac:dyDescent="0.25">
      <c r="A244" s="20" t="s">
        <v>383</v>
      </c>
      <c r="B244" s="46" t="s">
        <v>284</v>
      </c>
      <c r="C244" s="216"/>
      <c r="D244" s="20"/>
      <c r="E244" s="20"/>
    </row>
    <row r="245" spans="1:5" x14ac:dyDescent="0.25">
      <c r="A245" s="20" t="s">
        <v>384</v>
      </c>
      <c r="B245" s="46" t="s">
        <v>284</v>
      </c>
      <c r="C245" s="216">
        <v>26939931</v>
      </c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113353558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>
        <v>634</v>
      </c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>
        <v>2505437</v>
      </c>
      <c r="D250" s="20"/>
      <c r="E250" s="20"/>
    </row>
    <row r="251" spans="1:5" x14ac:dyDescent="0.25">
      <c r="A251" s="26" t="s">
        <v>389</v>
      </c>
      <c r="B251" s="46" t="s">
        <v>284</v>
      </c>
      <c r="C251" s="216">
        <v>856216</v>
      </c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3361653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/>
      <c r="D255" s="20"/>
      <c r="E255" s="20"/>
    </row>
    <row r="256" spans="1:5" x14ac:dyDescent="0.25">
      <c r="A256" s="20" t="s">
        <v>391</v>
      </c>
      <c r="B256" s="46" t="s">
        <v>284</v>
      </c>
      <c r="C256" s="47"/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119802334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10863360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>
        <v>17537681</v>
      </c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31317410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>
        <v>19716000</v>
      </c>
      <c r="D270" s="20"/>
      <c r="E270" s="20"/>
    </row>
    <row r="271" spans="1:5" x14ac:dyDescent="0.25">
      <c r="A271" s="20" t="s">
        <v>401</v>
      </c>
      <c r="B271" s="46" t="s">
        <v>284</v>
      </c>
      <c r="C271" s="216">
        <v>0</v>
      </c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28387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570651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956868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41558357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>
        <v>2218508</v>
      </c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>
        <v>767520</v>
      </c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2986028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3128342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>
        <v>632699</v>
      </c>
      <c r="D285" s="20"/>
      <c r="E285" s="20"/>
    </row>
    <row r="286" spans="1:5" x14ac:dyDescent="0.25">
      <c r="A286" s="20" t="s">
        <v>368</v>
      </c>
      <c r="B286" s="46" t="s">
        <v>284</v>
      </c>
      <c r="C286" s="216">
        <v>22920747</v>
      </c>
      <c r="D286" s="20"/>
      <c r="E286" s="20"/>
    </row>
    <row r="287" spans="1:5" x14ac:dyDescent="0.25">
      <c r="A287" s="20" t="s">
        <v>412</v>
      </c>
      <c r="B287" s="46" t="s">
        <v>284</v>
      </c>
      <c r="C287" s="216">
        <v>8131488</v>
      </c>
      <c r="D287" s="20"/>
      <c r="E287" s="20"/>
    </row>
    <row r="288" spans="1:5" x14ac:dyDescent="0.25">
      <c r="A288" s="20" t="s">
        <v>413</v>
      </c>
      <c r="B288" s="46" t="s">
        <v>284</v>
      </c>
      <c r="C288" s="216">
        <v>665178</v>
      </c>
      <c r="D288" s="20"/>
      <c r="E288" s="20"/>
    </row>
    <row r="289" spans="1:5" x14ac:dyDescent="0.25">
      <c r="A289" s="20" t="s">
        <v>414</v>
      </c>
      <c r="B289" s="46" t="s">
        <v>284</v>
      </c>
      <c r="C289" s="216">
        <v>14619070</v>
      </c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>
        <v>4226277</v>
      </c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54323801</v>
      </c>
      <c r="E292" s="20"/>
    </row>
    <row r="293" spans="1:5" x14ac:dyDescent="0.25">
      <c r="A293" s="20" t="s">
        <v>416</v>
      </c>
      <c r="B293" s="46" t="s">
        <v>284</v>
      </c>
      <c r="C293" s="47">
        <v>31410222</v>
      </c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22913579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>
        <v>1413059</v>
      </c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1413059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68871023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/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1797176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1620595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>
        <v>1790013</v>
      </c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>
        <v>1237660</v>
      </c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19670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>
        <v>1119984</v>
      </c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7585098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>
        <v>2132962</v>
      </c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2132962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>
        <v>11207852</v>
      </c>
      <c r="D334" s="20"/>
      <c r="E334" s="20"/>
    </row>
    <row r="335" spans="1:5" x14ac:dyDescent="0.2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/>
      <c r="D337" s="20"/>
      <c r="E337" s="20"/>
    </row>
    <row r="338" spans="1:5" x14ac:dyDescent="0.25">
      <c r="A338" s="26" t="s">
        <v>455</v>
      </c>
      <c r="B338" s="46" t="s">
        <v>284</v>
      </c>
      <c r="C338" s="272"/>
      <c r="D338" s="20"/>
      <c r="E338" s="20"/>
    </row>
    <row r="339" spans="1:5" x14ac:dyDescent="0.25">
      <c r="A339" s="20" t="s">
        <v>456</v>
      </c>
      <c r="B339" s="46" t="s">
        <v>284</v>
      </c>
      <c r="C339" s="216"/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11207852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1119984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10087868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49065095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68871023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68871023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41705516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155936112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197641628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3087123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113353558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3361653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/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119802334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77839294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3"/>
      <c r="D371" s="32"/>
      <c r="E371" s="32"/>
    </row>
    <row r="372" spans="1:6" x14ac:dyDescent="0.25">
      <c r="A372" s="59" t="s">
        <v>480</v>
      </c>
      <c r="B372" s="40" t="s">
        <v>284</v>
      </c>
      <c r="C372" s="273"/>
      <c r="D372" s="32"/>
      <c r="E372" s="32"/>
    </row>
    <row r="373" spans="1:6" x14ac:dyDescent="0.25">
      <c r="A373" s="59" t="s">
        <v>481</v>
      </c>
      <c r="B373" s="40" t="s">
        <v>284</v>
      </c>
      <c r="C373" s="273"/>
      <c r="D373" s="32"/>
      <c r="E373" s="32"/>
    </row>
    <row r="374" spans="1:6" x14ac:dyDescent="0.25">
      <c r="A374" s="59" t="s">
        <v>482</v>
      </c>
      <c r="B374" s="40" t="s">
        <v>284</v>
      </c>
      <c r="C374" s="273"/>
      <c r="D374" s="32"/>
      <c r="E374" s="32"/>
    </row>
    <row r="375" spans="1:6" x14ac:dyDescent="0.25">
      <c r="A375" s="59" t="s">
        <v>483</v>
      </c>
      <c r="B375" s="40" t="s">
        <v>284</v>
      </c>
      <c r="C375" s="273"/>
      <c r="D375" s="32"/>
      <c r="E375" s="32"/>
    </row>
    <row r="376" spans="1:6" x14ac:dyDescent="0.25">
      <c r="A376" s="59" t="s">
        <v>484</v>
      </c>
      <c r="B376" s="40" t="s">
        <v>284</v>
      </c>
      <c r="C376" s="273"/>
      <c r="D376" s="32"/>
      <c r="E376" s="32"/>
    </row>
    <row r="377" spans="1:6" x14ac:dyDescent="0.25">
      <c r="A377" s="59" t="s">
        <v>485</v>
      </c>
      <c r="B377" s="40" t="s">
        <v>284</v>
      </c>
      <c r="C377" s="273"/>
      <c r="D377" s="32"/>
      <c r="E377" s="32"/>
    </row>
    <row r="378" spans="1:6" x14ac:dyDescent="0.25">
      <c r="A378" s="59" t="s">
        <v>486</v>
      </c>
      <c r="B378" s="40" t="s">
        <v>284</v>
      </c>
      <c r="C378" s="273"/>
      <c r="D378" s="32"/>
      <c r="E378" s="32"/>
    </row>
    <row r="379" spans="1:6" x14ac:dyDescent="0.25">
      <c r="A379" s="59" t="s">
        <v>487</v>
      </c>
      <c r="B379" s="40" t="s">
        <v>284</v>
      </c>
      <c r="C379" s="273"/>
      <c r="D379" s="32"/>
      <c r="E379" s="32"/>
    </row>
    <row r="380" spans="1:6" x14ac:dyDescent="0.25">
      <c r="A380" s="59" t="s">
        <v>488</v>
      </c>
      <c r="B380" s="40" t="s">
        <v>284</v>
      </c>
      <c r="C380" s="273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3858443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3858443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>
        <v>877078</v>
      </c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4735521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82574815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33330871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7491310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8534247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11463118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>
        <v>531967</v>
      </c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3902663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2299357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2087856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518437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527038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402151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3"/>
      <c r="D402" s="32"/>
      <c r="E402" s="32"/>
    </row>
    <row r="403" spans="1:9" x14ac:dyDescent="0.25">
      <c r="A403" s="33" t="s">
        <v>256</v>
      </c>
      <c r="B403" s="40" t="s">
        <v>284</v>
      </c>
      <c r="C403" s="273"/>
      <c r="D403" s="32"/>
      <c r="E403" s="32"/>
    </row>
    <row r="404" spans="1:9" x14ac:dyDescent="0.25">
      <c r="A404" s="33" t="s">
        <v>504</v>
      </c>
      <c r="B404" s="40" t="s">
        <v>284</v>
      </c>
      <c r="C404" s="273"/>
      <c r="D404" s="32"/>
      <c r="E404" s="32"/>
    </row>
    <row r="405" spans="1:9" x14ac:dyDescent="0.25">
      <c r="A405" s="33" t="s">
        <v>258</v>
      </c>
      <c r="B405" s="40" t="s">
        <v>284</v>
      </c>
      <c r="C405" s="273"/>
      <c r="D405" s="32"/>
      <c r="E405" s="32"/>
    </row>
    <row r="406" spans="1:9" x14ac:dyDescent="0.25">
      <c r="A406" s="33" t="s">
        <v>259</v>
      </c>
      <c r="B406" s="40" t="s">
        <v>284</v>
      </c>
      <c r="C406" s="273"/>
      <c r="D406" s="32"/>
      <c r="E406" s="32"/>
    </row>
    <row r="407" spans="1:9" x14ac:dyDescent="0.25">
      <c r="A407" s="33" t="s">
        <v>260</v>
      </c>
      <c r="B407" s="40" t="s">
        <v>284</v>
      </c>
      <c r="C407" s="273"/>
      <c r="D407" s="32"/>
      <c r="E407" s="32"/>
    </row>
    <row r="408" spans="1:9" x14ac:dyDescent="0.25">
      <c r="A408" s="33" t="s">
        <v>261</v>
      </c>
      <c r="B408" s="40" t="s">
        <v>284</v>
      </c>
      <c r="C408" s="273"/>
      <c r="D408" s="32"/>
      <c r="E408" s="32"/>
    </row>
    <row r="409" spans="1:9" x14ac:dyDescent="0.25">
      <c r="A409" s="33" t="s">
        <v>262</v>
      </c>
      <c r="B409" s="40" t="s">
        <v>284</v>
      </c>
      <c r="C409" s="273"/>
      <c r="D409" s="32"/>
      <c r="E409" s="32"/>
    </row>
    <row r="410" spans="1:9" x14ac:dyDescent="0.25">
      <c r="A410" s="33" t="s">
        <v>263</v>
      </c>
      <c r="B410" s="40" t="s">
        <v>284</v>
      </c>
      <c r="C410" s="273"/>
      <c r="D410" s="32"/>
      <c r="E410" s="32"/>
    </row>
    <row r="411" spans="1:9" x14ac:dyDescent="0.25">
      <c r="A411" s="33" t="s">
        <v>264</v>
      </c>
      <c r="B411" s="40" t="s">
        <v>284</v>
      </c>
      <c r="C411" s="273"/>
      <c r="D411" s="32"/>
      <c r="E411" s="32"/>
    </row>
    <row r="412" spans="1:9" x14ac:dyDescent="0.25">
      <c r="A412" s="33" t="s">
        <v>265</v>
      </c>
      <c r="B412" s="40" t="s">
        <v>284</v>
      </c>
      <c r="C412" s="273"/>
      <c r="D412" s="32"/>
      <c r="E412" s="32"/>
    </row>
    <row r="413" spans="1:9" x14ac:dyDescent="0.25">
      <c r="A413" s="33" t="s">
        <v>266</v>
      </c>
      <c r="B413" s="40" t="s">
        <v>284</v>
      </c>
      <c r="C413" s="273"/>
      <c r="D413" s="32"/>
      <c r="E413" s="32"/>
    </row>
    <row r="414" spans="1:9" x14ac:dyDescent="0.25">
      <c r="A414" s="33" t="s">
        <v>267</v>
      </c>
      <c r="B414" s="40" t="s">
        <v>284</v>
      </c>
      <c r="C414" s="273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1622471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1622471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72711486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9863329</v>
      </c>
      <c r="E418" s="32"/>
    </row>
    <row r="419" spans="1:13" x14ac:dyDescent="0.25">
      <c r="A419" s="32" t="s">
        <v>508</v>
      </c>
      <c r="B419" s="20"/>
      <c r="C419" s="236">
        <v>6623782</v>
      </c>
      <c r="D419" s="32"/>
      <c r="E419" s="32"/>
    </row>
    <row r="420" spans="1:13" x14ac:dyDescent="0.25">
      <c r="A420" s="59" t="s">
        <v>509</v>
      </c>
      <c r="B420" s="46" t="s">
        <v>284</v>
      </c>
      <c r="C420" s="273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6623782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16487111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16487111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1"/>
      <c r="C613" s="249" t="s">
        <v>515</v>
      </c>
      <c r="D613" s="256">
        <f>CE91-(BE91+CD91)</f>
        <v>97661</v>
      </c>
      <c r="E613" s="258">
        <f>SUM(C625:D648)+SUM(C669:D714)</f>
        <v>62266693.431420937</v>
      </c>
      <c r="F613" s="258">
        <f>CE65-(AX65+BD65+BE65+BG65+BJ65+BN65+BP65+BQ65+CB65+CC65+CD65)</f>
        <v>10799443</v>
      </c>
      <c r="G613" s="256">
        <f>CE92-(AX92+AY92+BD92+BE92+BG92+BJ92+BN92+BP92+BQ92+CB92+CC92+CD92)</f>
        <v>21087</v>
      </c>
      <c r="H613" s="261">
        <f>CE61-(AX61+AY61+AZ61+BD61+BE61+BG61+BJ61+BN61+BO61+BP61+BQ61+BR61+CB61+CC61+CD61)</f>
        <v>345.94000000000011</v>
      </c>
      <c r="I613" s="256">
        <f>CE93-(AX93+AY93+AZ93+BD93+BE93+BF93+BG93+BJ93+BN93+BO93+BP93+BQ93+BR93+CB93+CC93+CD93)</f>
        <v>13337</v>
      </c>
      <c r="J613" s="256">
        <f>CE94-(AX94+AY94+AZ94+BA94+BD94+BE94+BF94+BG94+BJ94+BN94+BO94+BP94+BQ94+BR94+CB94+CC94+CD94)</f>
        <v>205009</v>
      </c>
      <c r="K613" s="256">
        <f>CE90-(AW90+AX90+AY90+AZ90+BA90+BB90+BC90+BD90+BE90+BF90+BG90+BH90+BI90+BJ90+BK90+BL90+BM90+BN90+BO90+BP90+BQ90+BR90+BS90+BT90+BU90+BV90+BW90+BX90+CB90+CC90+CD90)</f>
        <v>197641629</v>
      </c>
      <c r="L613" s="262">
        <f>CE95-(AW95+AX95+AY95+AZ95+BA95+BB95+BC95+BD95+BE95+BF95+BG95+BH95+BI95+BJ95+BK95+BL95+BM95+BN95+BO95+BP95+BQ95+BR95+BS95+BT95+BU95+BV95+BW95+BX95+BY95+BZ95+CA95+CB95+CC95+CD95)</f>
        <v>66.87</v>
      </c>
    </row>
    <row r="614" spans="1:14" s="231" customFormat="1" ht="12.6" customHeight="1" x14ac:dyDescent="0.2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" customHeight="1" x14ac:dyDescent="0.2">
      <c r="A615" s="251">
        <v>8430</v>
      </c>
      <c r="B615" s="250" t="s">
        <v>152</v>
      </c>
      <c r="C615" s="256">
        <f>BE86</f>
        <v>1069983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" customHeight="1" x14ac:dyDescent="0.2">
      <c r="A616" s="251"/>
      <c r="B616" s="250" t="s">
        <v>527</v>
      </c>
      <c r="C616" s="256">
        <f>CD70-CD85</f>
        <v>-2410817</v>
      </c>
      <c r="D616" s="256">
        <f>SUM(C615:C616)</f>
        <v>-1340834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" customHeight="1" x14ac:dyDescent="0.2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" customHeight="1" x14ac:dyDescent="0.2">
      <c r="A618" s="251">
        <v>8510</v>
      </c>
      <c r="B618" s="255" t="s">
        <v>157</v>
      </c>
      <c r="C618" s="256">
        <f>BJ86</f>
        <v>1147607</v>
      </c>
      <c r="D618" s="256">
        <f>(D616/D613)*BJ91</f>
        <v>-8731.9444199834124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" customHeight="1" x14ac:dyDescent="0.2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" customHeight="1" x14ac:dyDescent="0.2">
      <c r="A620" s="251">
        <v>8610</v>
      </c>
      <c r="B620" s="255" t="s">
        <v>534</v>
      </c>
      <c r="C620" s="256">
        <f>BN86</f>
        <v>3962190</v>
      </c>
      <c r="D620" s="256">
        <f>(D616/D613)*BN91</f>
        <v>-235254.50886228893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" customHeight="1" x14ac:dyDescent="0.2">
      <c r="A621" s="251">
        <v>8790</v>
      </c>
      <c r="B621" s="255" t="s">
        <v>536</v>
      </c>
      <c r="C621" s="256">
        <f>CC86</f>
        <v>0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" customHeight="1" x14ac:dyDescent="0.2">
      <c r="A622" s="251">
        <v>8630</v>
      </c>
      <c r="B622" s="255" t="s">
        <v>538</v>
      </c>
      <c r="C622" s="256">
        <f>BP86</f>
        <v>1728893</v>
      </c>
      <c r="D622" s="256">
        <f>(D616/D613)*BP91</f>
        <v>-8374.9781386633349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" customHeight="1" x14ac:dyDescent="0.2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" customHeight="1" x14ac:dyDescent="0.2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6586328.5685790647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" customHeight="1" x14ac:dyDescent="0.2">
      <c r="A625" s="251">
        <v>8420</v>
      </c>
      <c r="B625" s="255" t="s">
        <v>151</v>
      </c>
      <c r="C625" s="256">
        <f>BD86</f>
        <v>0</v>
      </c>
      <c r="D625" s="256">
        <f>(D616/D613)*BD91</f>
        <v>0</v>
      </c>
      <c r="E625" s="258">
        <f>(E624/E613)*SUM(C625:D625)</f>
        <v>0</v>
      </c>
      <c r="F625" s="258">
        <f>SUM(C625:E625)</f>
        <v>0</v>
      </c>
      <c r="G625" s="256"/>
      <c r="H625" s="258"/>
      <c r="I625" s="256"/>
      <c r="J625" s="256"/>
      <c r="N625" s="252" t="s">
        <v>544</v>
      </c>
    </row>
    <row r="626" spans="1:14" s="231" customFormat="1" ht="12.6" customHeight="1" x14ac:dyDescent="0.2">
      <c r="A626" s="251">
        <v>8320</v>
      </c>
      <c r="B626" s="255" t="s">
        <v>147</v>
      </c>
      <c r="C626" s="256">
        <f>AY86</f>
        <v>807858</v>
      </c>
      <c r="D626" s="256">
        <f>(D616/D613)*AY91</f>
        <v>-29655.660294283287</v>
      </c>
      <c r="E626" s="258">
        <f>(E624/E613)*SUM(C626:D626)</f>
        <v>82315.215722574576</v>
      </c>
      <c r="F626" s="258">
        <f>(F625/F613)*AY65</f>
        <v>0</v>
      </c>
      <c r="G626" s="256">
        <f>SUM(C626:F626)</f>
        <v>860517.55542829132</v>
      </c>
      <c r="H626" s="258"/>
      <c r="I626" s="256"/>
      <c r="J626" s="256"/>
      <c r="N626" s="252" t="s">
        <v>545</v>
      </c>
    </row>
    <row r="627" spans="1:14" s="231" customFormat="1" ht="12.6" customHeight="1" x14ac:dyDescent="0.2">
      <c r="A627" s="251">
        <v>8650</v>
      </c>
      <c r="B627" s="255" t="s">
        <v>164</v>
      </c>
      <c r="C627" s="256">
        <f>BR86</f>
        <v>886850</v>
      </c>
      <c r="D627" s="256">
        <f>(D616/D613)*BR91</f>
        <v>-3528.4743961253726</v>
      </c>
      <c r="E627" s="258">
        <f>(E624/E613)*SUM(C627:D627)</f>
        <v>93434.314217010426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" customHeight="1" x14ac:dyDescent="0.2">
      <c r="A628" s="251">
        <v>8620</v>
      </c>
      <c r="B628" s="250" t="s">
        <v>547</v>
      </c>
      <c r="C628" s="256">
        <f>BO86</f>
        <v>8927</v>
      </c>
      <c r="D628" s="256">
        <f>(D616/D613)*BO91</f>
        <v>0</v>
      </c>
      <c r="E628" s="258">
        <f>(E624/E613)*SUM(C628:D628)</f>
        <v>944.26332749565393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" customHeight="1" x14ac:dyDescent="0.2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986627.10314838064</v>
      </c>
      <c r="I629" s="256"/>
      <c r="J629" s="256"/>
      <c r="N629" s="252" t="s">
        <v>549</v>
      </c>
    </row>
    <row r="630" spans="1:14" s="231" customFormat="1" ht="12.6" customHeight="1" x14ac:dyDescent="0.2">
      <c r="A630" s="251">
        <v>8460</v>
      </c>
      <c r="B630" s="255" t="s">
        <v>153</v>
      </c>
      <c r="C630" s="256">
        <f>BF86</f>
        <v>601681</v>
      </c>
      <c r="D630" s="256">
        <f>(D616/D613)*BF91</f>
        <v>-11532.756781110167</v>
      </c>
      <c r="E630" s="258">
        <f>(E624/E613)*SUM(C630:D630)</f>
        <v>62423.58506302043</v>
      </c>
      <c r="F630" s="258">
        <f>(F625/F613)*BF65</f>
        <v>0</v>
      </c>
      <c r="G630" s="256">
        <f>(G626/G613)*BF92</f>
        <v>0</v>
      </c>
      <c r="H630" s="258">
        <f>(H629/H613)*BF61</f>
        <v>36505.830260447678</v>
      </c>
      <c r="I630" s="256">
        <f>SUM(C630:H630)</f>
        <v>689077.65854235797</v>
      </c>
      <c r="J630" s="256"/>
      <c r="N630" s="252" t="s">
        <v>550</v>
      </c>
    </row>
    <row r="631" spans="1:14" s="231" customFormat="1" ht="12.6" customHeight="1" x14ac:dyDescent="0.2">
      <c r="A631" s="251">
        <v>8350</v>
      </c>
      <c r="B631" s="255" t="s">
        <v>551</v>
      </c>
      <c r="C631" s="256">
        <f>BA86</f>
        <v>226758</v>
      </c>
      <c r="D631" s="256">
        <f>(D616/D613)*BA91</f>
        <v>-12191.771454316462</v>
      </c>
      <c r="E631" s="258">
        <f>(E624/E613)*SUM(C631:D631)</f>
        <v>22695.98083731826</v>
      </c>
      <c r="F631" s="258">
        <f>(F625/F613)*BA65</f>
        <v>0</v>
      </c>
      <c r="G631" s="256">
        <f>(G626/G613)*BA92</f>
        <v>0</v>
      </c>
      <c r="H631" s="258">
        <f>(H629/H613)*BA61</f>
        <v>8470.4934276194999</v>
      </c>
      <c r="I631" s="256">
        <f>(I630/I613)*BA93</f>
        <v>8059.9921071161316</v>
      </c>
      <c r="J631" s="256">
        <f>SUM(C631:I631)</f>
        <v>253792.69491773745</v>
      </c>
      <c r="N631" s="252" t="s">
        <v>552</v>
      </c>
    </row>
    <row r="632" spans="1:14" s="231" customFormat="1" ht="12.6" customHeight="1" x14ac:dyDescent="0.2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" customHeight="1" x14ac:dyDescent="0.2">
      <c r="A633" s="251">
        <v>8360</v>
      </c>
      <c r="B633" s="255" t="s">
        <v>555</v>
      </c>
      <c r="C633" s="256">
        <f>BB86</f>
        <v>465760</v>
      </c>
      <c r="D633" s="256">
        <f>(D616/D613)*BB91</f>
        <v>-3899.1701498039133</v>
      </c>
      <c r="E633" s="258">
        <f>(E624/E613)*SUM(C633:D633)</f>
        <v>48853.841607959024</v>
      </c>
      <c r="F633" s="258">
        <f>(F625/F613)*BB65</f>
        <v>0</v>
      </c>
      <c r="G633" s="256">
        <f>(G626/G613)*BB92</f>
        <v>0</v>
      </c>
      <c r="H633" s="258">
        <f>(H629/H613)*BB61</f>
        <v>7786.0091102361057</v>
      </c>
      <c r="I633" s="256">
        <f>(I630/I613)*BB93</f>
        <v>2583.3308035628625</v>
      </c>
      <c r="J633" s="256">
        <f>(J631/J613)*BB94</f>
        <v>0</v>
      </c>
      <c r="N633" s="252" t="s">
        <v>556</v>
      </c>
    </row>
    <row r="634" spans="1:14" s="231" customFormat="1" ht="12.6" customHeight="1" x14ac:dyDescent="0.2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" customHeight="1" x14ac:dyDescent="0.2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" customHeight="1" x14ac:dyDescent="0.2">
      <c r="A636" s="251">
        <v>8530</v>
      </c>
      <c r="B636" s="255" t="s">
        <v>561</v>
      </c>
      <c r="C636" s="256">
        <f>BK86</f>
        <v>1765911</v>
      </c>
      <c r="D636" s="256">
        <f>(D616/D613)*BK91</f>
        <v>-7056.9487922507451</v>
      </c>
      <c r="E636" s="258">
        <f>(E624/E613)*SUM(C636:D636)</f>
        <v>186044.73831887986</v>
      </c>
      <c r="F636" s="258">
        <f>(F625/F613)*BK65</f>
        <v>0</v>
      </c>
      <c r="G636" s="256">
        <f>(G626/G613)*BK92</f>
        <v>0</v>
      </c>
      <c r="H636" s="258">
        <f>(H629/H613)*BK61</f>
        <v>72869.05962144048</v>
      </c>
      <c r="I636" s="256">
        <f>(I630/I613)*BK93</f>
        <v>4649.9954464131524</v>
      </c>
      <c r="J636" s="256">
        <f>(J631/J613)*BK94</f>
        <v>0</v>
      </c>
      <c r="N636" s="252" t="s">
        <v>562</v>
      </c>
    </row>
    <row r="637" spans="1:14" s="231" customFormat="1" ht="12.6" customHeight="1" x14ac:dyDescent="0.2">
      <c r="A637" s="251">
        <v>8480</v>
      </c>
      <c r="B637" s="255" t="s">
        <v>563</v>
      </c>
      <c r="C637" s="256">
        <f>BH86</f>
        <v>2594072</v>
      </c>
      <c r="D637" s="256">
        <f>(D616/D613)*BH91</f>
        <v>-9500.7948720574223</v>
      </c>
      <c r="E637" s="258">
        <f>(E624/E613)*SUM(C637:D637)</f>
        <v>273385.88622197416</v>
      </c>
      <c r="F637" s="258">
        <f>(F625/F613)*BH65</f>
        <v>0</v>
      </c>
      <c r="G637" s="256">
        <f>(G626/G613)*BH92</f>
        <v>0</v>
      </c>
      <c r="H637" s="258">
        <f>(H629/H613)*BH61</f>
        <v>26038.924240459946</v>
      </c>
      <c r="I637" s="256">
        <f>(I630/I613)*BH93</f>
        <v>6251.6605446221274</v>
      </c>
      <c r="J637" s="256">
        <f>(J631/J613)*BH94</f>
        <v>0</v>
      </c>
      <c r="N637" s="252" t="s">
        <v>564</v>
      </c>
    </row>
    <row r="638" spans="1:14" s="231" customFormat="1" ht="12.6" customHeight="1" x14ac:dyDescent="0.2">
      <c r="A638" s="251">
        <v>8560</v>
      </c>
      <c r="B638" s="255" t="s">
        <v>159</v>
      </c>
      <c r="C638" s="256">
        <f>BL86</f>
        <v>0</v>
      </c>
      <c r="D638" s="256">
        <f>(D616/D613)*BL91</f>
        <v>0</v>
      </c>
      <c r="E638" s="258">
        <f>(E624/E613)*SUM(C638:D638)</f>
        <v>0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" customHeight="1" x14ac:dyDescent="0.2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" customHeight="1" x14ac:dyDescent="0.2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" customHeight="1" x14ac:dyDescent="0.2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" customHeight="1" x14ac:dyDescent="0.2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" customHeight="1" x14ac:dyDescent="0.2">
      <c r="A643" s="251">
        <v>8690</v>
      </c>
      <c r="B643" s="255" t="s">
        <v>574</v>
      </c>
      <c r="C643" s="256">
        <f>BV86</f>
        <v>731816</v>
      </c>
      <c r="D643" s="256">
        <f>(D616/D613)*BV91</f>
        <v>-13702.013413747556</v>
      </c>
      <c r="E643" s="258">
        <f>(E624/E613)*SUM(C643:D643)</f>
        <v>75959.303516870626</v>
      </c>
      <c r="F643" s="258">
        <f>(F625/F613)*BV65</f>
        <v>0</v>
      </c>
      <c r="G643" s="256">
        <f>(G626/G613)*BV92</f>
        <v>0</v>
      </c>
      <c r="H643" s="258">
        <f>(H629/H613)*BV61</f>
        <v>23300.986970926366</v>
      </c>
      <c r="I643" s="256">
        <f>(I630/I613)*BV93</f>
        <v>9041.6578124700191</v>
      </c>
      <c r="J643" s="256">
        <f>(J631/J613)*BV94</f>
        <v>0</v>
      </c>
      <c r="N643" s="252" t="s">
        <v>575</v>
      </c>
    </row>
    <row r="644" spans="1:14" s="231" customFormat="1" ht="12.6" customHeight="1" x14ac:dyDescent="0.2">
      <c r="A644" s="251">
        <v>8700</v>
      </c>
      <c r="B644" s="255" t="s">
        <v>576</v>
      </c>
      <c r="C644" s="256">
        <f>BW86</f>
        <v>374963</v>
      </c>
      <c r="D644" s="256">
        <f>(D616/D613)*BW91</f>
        <v>-2251.6334667881756</v>
      </c>
      <c r="E644" s="258">
        <f>(E624/E613)*SUM(C644:D644)</f>
        <v>39423.958234356774</v>
      </c>
      <c r="F644" s="258">
        <f>(F625/F613)*BW65</f>
        <v>0</v>
      </c>
      <c r="G644" s="256">
        <f>(G626/G613)*BW92</f>
        <v>0</v>
      </c>
      <c r="H644" s="258">
        <f>(H629/H613)*BW61</f>
        <v>5960.7175972137211</v>
      </c>
      <c r="I644" s="256">
        <f>(I630/I613)*BW93</f>
        <v>1498.3318660664604</v>
      </c>
      <c r="J644" s="256">
        <f>(J631/J613)*BW94</f>
        <v>0</v>
      </c>
      <c r="N644" s="252" t="s">
        <v>577</v>
      </c>
    </row>
    <row r="645" spans="1:14" s="231" customFormat="1" ht="12.6" customHeight="1" x14ac:dyDescent="0.2">
      <c r="A645" s="251">
        <v>8710</v>
      </c>
      <c r="B645" s="255" t="s">
        <v>578</v>
      </c>
      <c r="C645" s="256">
        <f>BX86</f>
        <v>18873</v>
      </c>
      <c r="D645" s="256">
        <f>(D616/D613)*BX91</f>
        <v>0</v>
      </c>
      <c r="E645" s="258">
        <f>(E624/E613)*SUM(C645:D645)</f>
        <v>1996.3125103422735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6700629.1537291454</v>
      </c>
      <c r="L645" s="258"/>
      <c r="N645" s="252" t="s">
        <v>579</v>
      </c>
    </row>
    <row r="646" spans="1:14" s="231" customFormat="1" ht="12.6" customHeight="1" x14ac:dyDescent="0.2">
      <c r="A646" s="251">
        <v>8720</v>
      </c>
      <c r="B646" s="255" t="s">
        <v>580</v>
      </c>
      <c r="C646" s="256">
        <f>BY86</f>
        <v>1436936</v>
      </c>
      <c r="D646" s="256">
        <f>(D616/D613)*BY91</f>
        <v>-7702.2339930985754</v>
      </c>
      <c r="E646" s="258">
        <f>(E624/E613)*SUM(C646:D646)</f>
        <v>151178.78701230217</v>
      </c>
      <c r="F646" s="258">
        <f>(F625/F613)*BY65</f>
        <v>0</v>
      </c>
      <c r="G646" s="256">
        <f>(G626/G613)*BY92</f>
        <v>0</v>
      </c>
      <c r="H646" s="258">
        <f>(H629/H613)*BY61</f>
        <v>29575.426546940809</v>
      </c>
      <c r="I646" s="256">
        <f>(I630/I613)*BY93</f>
        <v>5063.3283749832108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" customHeight="1" x14ac:dyDescent="0.2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" customHeight="1" x14ac:dyDescent="0.2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1615051.3079411276</v>
      </c>
      <c r="N648" s="252" t="s">
        <v>585</v>
      </c>
    </row>
    <row r="649" spans="1:14" s="231" customFormat="1" ht="12.6" customHeight="1" x14ac:dyDescent="0.2">
      <c r="A649" s="251"/>
      <c r="B649" s="251"/>
      <c r="C649" s="231">
        <f>SUM(C615:C648)</f>
        <v>15418261</v>
      </c>
      <c r="L649" s="254"/>
    </row>
    <row r="667" spans="1:14" s="231" customFormat="1" ht="12.6" customHeight="1" x14ac:dyDescent="0.2">
      <c r="C667" s="249" t="s">
        <v>586</v>
      </c>
      <c r="M667" s="249" t="s">
        <v>587</v>
      </c>
    </row>
    <row r="668" spans="1:14" s="231" customFormat="1" ht="12.6" customHeight="1" x14ac:dyDescent="0.2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" customHeight="1" x14ac:dyDescent="0.2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9">ROUND(SUM(D669:L669),0)</f>
        <v>0</v>
      </c>
      <c r="N669" s="250" t="s">
        <v>589</v>
      </c>
    </row>
    <row r="670" spans="1:14" s="231" customFormat="1" ht="12.6" customHeight="1" x14ac:dyDescent="0.2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9"/>
        <v>0</v>
      </c>
      <c r="N670" s="250" t="s">
        <v>590</v>
      </c>
    </row>
    <row r="671" spans="1:14" s="231" customFormat="1" ht="12.6" customHeight="1" x14ac:dyDescent="0.2">
      <c r="A671" s="251">
        <v>6070</v>
      </c>
      <c r="B671" s="250" t="s">
        <v>591</v>
      </c>
      <c r="C671" s="256">
        <f>E86</f>
        <v>2846331</v>
      </c>
      <c r="D671" s="256">
        <f>(D616/D613)*E91</f>
        <v>-78216.804026172162</v>
      </c>
      <c r="E671" s="258">
        <f>(E624/E613)*SUM(C671:D671)</f>
        <v>292800.34967830218</v>
      </c>
      <c r="F671" s="258">
        <f>(F625/F613)*E65</f>
        <v>0</v>
      </c>
      <c r="G671" s="256">
        <f>(G626/G613)*E92</f>
        <v>594327.20051489701</v>
      </c>
      <c r="H671" s="258">
        <f>(H629/H613)*E61</f>
        <v>52220.449380374754</v>
      </c>
      <c r="I671" s="256">
        <f>(I630/I613)*E93</f>
        <v>51666.616071257253</v>
      </c>
      <c r="J671" s="256">
        <f>(J631/J613)*E94</f>
        <v>68639.863432380385</v>
      </c>
      <c r="K671" s="256">
        <f>(K645/K613)*E90</f>
        <v>362347.40133716026</v>
      </c>
      <c r="L671" s="256">
        <f>(L648/L613)*E95</f>
        <v>351413.13788759388</v>
      </c>
      <c r="M671" s="231">
        <f t="shared" si="19"/>
        <v>1695198</v>
      </c>
      <c r="N671" s="250" t="s">
        <v>592</v>
      </c>
    </row>
    <row r="672" spans="1:14" s="231" customFormat="1" ht="12.6" customHeight="1" x14ac:dyDescent="0.2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9"/>
        <v>0</v>
      </c>
      <c r="N672" s="250" t="s">
        <v>594</v>
      </c>
    </row>
    <row r="673" spans="1:14" s="231" customFormat="1" ht="12.6" customHeight="1" x14ac:dyDescent="0.2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9"/>
        <v>0</v>
      </c>
      <c r="N673" s="250" t="s">
        <v>596</v>
      </c>
    </row>
    <row r="674" spans="1:14" s="231" customFormat="1" ht="12.6" customHeight="1" x14ac:dyDescent="0.2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9"/>
        <v>0</v>
      </c>
      <c r="N674" s="250" t="s">
        <v>598</v>
      </c>
    </row>
    <row r="675" spans="1:14" s="231" customFormat="1" ht="12.6" customHeight="1" x14ac:dyDescent="0.2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9"/>
        <v>0</v>
      </c>
      <c r="N675" s="250" t="s">
        <v>600</v>
      </c>
    </row>
    <row r="676" spans="1:14" s="231" customFormat="1" ht="12.6" customHeight="1" x14ac:dyDescent="0.2">
      <c r="A676" s="251">
        <v>6170</v>
      </c>
      <c r="B676" s="250" t="s">
        <v>110</v>
      </c>
      <c r="C676" s="256">
        <f>J86</f>
        <v>662398</v>
      </c>
      <c r="D676" s="256">
        <f>(D616/D613)*J91</f>
        <v>-18205.280347323907</v>
      </c>
      <c r="E676" s="258">
        <f>(E624/E613)*SUM(C676:D676)</f>
        <v>68140.199507977028</v>
      </c>
      <c r="F676" s="258">
        <f>(F625/F613)*J65</f>
        <v>0</v>
      </c>
      <c r="G676" s="256">
        <f>(G626/G613)*J92</f>
        <v>0</v>
      </c>
      <c r="H676" s="258">
        <f>(H629/H613)*J61</f>
        <v>11408.071956389898</v>
      </c>
      <c r="I676" s="256">
        <f>(I630/I613)*J93</f>
        <v>12038.321544602939</v>
      </c>
      <c r="J676" s="256">
        <f>(J631/J613)*J94</f>
        <v>15973.382351621471</v>
      </c>
      <c r="K676" s="256">
        <f>(K645/K613)*J90</f>
        <v>84325.081955492133</v>
      </c>
      <c r="L676" s="256">
        <f>(L648/L613)*J95</f>
        <v>72456.317090225552</v>
      </c>
      <c r="M676" s="231">
        <f t="shared" si="19"/>
        <v>246136</v>
      </c>
      <c r="N676" s="250" t="s">
        <v>601</v>
      </c>
    </row>
    <row r="677" spans="1:14" s="231" customFormat="1" ht="12.6" customHeight="1" x14ac:dyDescent="0.2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9"/>
        <v>0</v>
      </c>
      <c r="N677" s="250" t="s">
        <v>602</v>
      </c>
    </row>
    <row r="678" spans="1:14" s="231" customFormat="1" ht="12.6" customHeight="1" x14ac:dyDescent="0.2">
      <c r="A678" s="251">
        <v>6210</v>
      </c>
      <c r="B678" s="250" t="s">
        <v>322</v>
      </c>
      <c r="C678" s="256">
        <f>L86</f>
        <v>660767</v>
      </c>
      <c r="D678" s="256">
        <f>(D616/D613)*L91</f>
        <v>-18164.091930248513</v>
      </c>
      <c r="E678" s="258">
        <f>(E624/E613)*SUM(C678:D678)</f>
        <v>67972.035424255329</v>
      </c>
      <c r="F678" s="258">
        <f>(F625/F613)*L65</f>
        <v>0</v>
      </c>
      <c r="G678" s="256">
        <f>(G626/G613)*L92</f>
        <v>137971.72925987825</v>
      </c>
      <c r="H678" s="258">
        <f>(H629/H613)*L61</f>
        <v>12121.076453664267</v>
      </c>
      <c r="I678" s="256">
        <f>(I630/I613)*L93</f>
        <v>11986.654928531683</v>
      </c>
      <c r="J678" s="256">
        <f>(J631/J613)*L94</f>
        <v>15933.767670132524</v>
      </c>
      <c r="K678" s="256">
        <f>(K645/K613)*L90</f>
        <v>84116.375554522543</v>
      </c>
      <c r="L678" s="256">
        <f>(L648/L613)*L95</f>
        <v>81634.117254987446</v>
      </c>
      <c r="M678" s="231">
        <f t="shared" si="19"/>
        <v>393572</v>
      </c>
      <c r="N678" s="250" t="s">
        <v>603</v>
      </c>
    </row>
    <row r="679" spans="1:14" s="231" customFormat="1" ht="12.6" customHeight="1" x14ac:dyDescent="0.2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9"/>
        <v>0</v>
      </c>
      <c r="N679" s="250" t="s">
        <v>605</v>
      </c>
    </row>
    <row r="680" spans="1:14" s="231" customFormat="1" ht="12.6" customHeight="1" x14ac:dyDescent="0.2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9"/>
        <v>0</v>
      </c>
      <c r="N680" s="250" t="s">
        <v>607</v>
      </c>
    </row>
    <row r="681" spans="1:14" s="231" customFormat="1" ht="12.6" customHeight="1" x14ac:dyDescent="0.2">
      <c r="A681" s="251">
        <v>7010</v>
      </c>
      <c r="B681" s="250" t="s">
        <v>608</v>
      </c>
      <c r="C681" s="256">
        <f>O86</f>
        <v>2347395</v>
      </c>
      <c r="D681" s="256">
        <f>(D616/D613)*O91</f>
        <v>-37563.836372758829</v>
      </c>
      <c r="E681" s="258">
        <f>(E624/E613)*SUM(C681:D681)</f>
        <v>244324.95357004783</v>
      </c>
      <c r="F681" s="258">
        <f>(F625/F613)*O65</f>
        <v>0</v>
      </c>
      <c r="G681" s="256">
        <f>(G626/G613)*O92</f>
        <v>0</v>
      </c>
      <c r="H681" s="258">
        <f>(H629/H613)*O61</f>
        <v>39101.166630526379</v>
      </c>
      <c r="I681" s="256">
        <f>(I630/I613)*O93</f>
        <v>24799.97571420348</v>
      </c>
      <c r="J681" s="256">
        <f>(J631/J613)*O94</f>
        <v>22670.739440846624</v>
      </c>
      <c r="K681" s="256">
        <f>(K645/K613)*O90</f>
        <v>128243.09939344041</v>
      </c>
      <c r="L681" s="256">
        <f>(L648/L613)*O95</f>
        <v>311803.68454493728</v>
      </c>
      <c r="M681" s="231">
        <f t="shared" si="19"/>
        <v>733380</v>
      </c>
      <c r="N681" s="250" t="s">
        <v>609</v>
      </c>
    </row>
    <row r="682" spans="1:14" s="231" customFormat="1" ht="12.6" customHeight="1" x14ac:dyDescent="0.2">
      <c r="A682" s="251">
        <v>7020</v>
      </c>
      <c r="B682" s="250" t="s">
        <v>610</v>
      </c>
      <c r="C682" s="256">
        <f>P86</f>
        <v>7398139</v>
      </c>
      <c r="D682" s="256">
        <f>(D616/D613)*P91</f>
        <v>-102147.27434697577</v>
      </c>
      <c r="E682" s="258">
        <f>(E624/E613)*SUM(C682:D682)</f>
        <v>771741.61804031394</v>
      </c>
      <c r="F682" s="258">
        <f>(F625/F613)*P65</f>
        <v>0</v>
      </c>
      <c r="G682" s="256">
        <f>(G626/G613)*P92</f>
        <v>0</v>
      </c>
      <c r="H682" s="258">
        <f>(H629/H613)*P61</f>
        <v>82024.037366443372</v>
      </c>
      <c r="I682" s="256">
        <f>(I630/I613)*P93</f>
        <v>67424.933972990708</v>
      </c>
      <c r="J682" s="256">
        <f>(J631/J613)*P94</f>
        <v>27027.116445834297</v>
      </c>
      <c r="K682" s="256">
        <f>(K645/K613)*P90</f>
        <v>1210110.4288709387</v>
      </c>
      <c r="L682" s="256">
        <f>(L648/L613)*P95</f>
        <v>0</v>
      </c>
      <c r="M682" s="231">
        <f t="shared" si="19"/>
        <v>2056181</v>
      </c>
      <c r="N682" s="250" t="s">
        <v>611</v>
      </c>
    </row>
    <row r="683" spans="1:14" s="231" customFormat="1" ht="12.6" customHeight="1" x14ac:dyDescent="0.2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9"/>
        <v>0</v>
      </c>
      <c r="N683" s="250" t="s">
        <v>613</v>
      </c>
    </row>
    <row r="684" spans="1:14" s="231" customFormat="1" ht="12.6" customHeight="1" x14ac:dyDescent="0.2">
      <c r="A684" s="251">
        <v>7040</v>
      </c>
      <c r="B684" s="250" t="s">
        <v>118</v>
      </c>
      <c r="C684" s="256">
        <f>R86</f>
        <v>1075392</v>
      </c>
      <c r="D684" s="256">
        <f>(D616/D613)*R91</f>
        <v>-2210.4450497127818</v>
      </c>
      <c r="E684" s="258">
        <f>(E624/E613)*SUM(C684:D684)</f>
        <v>113516.96942806299</v>
      </c>
      <c r="F684" s="258">
        <f>(F625/F613)*R65</f>
        <v>0</v>
      </c>
      <c r="G684" s="256">
        <f>(G626/G613)*R92</f>
        <v>0</v>
      </c>
      <c r="H684" s="258">
        <f>(H629/H613)*R61</f>
        <v>0</v>
      </c>
      <c r="I684" s="256">
        <f>(I630/I613)*R93</f>
        <v>1446.6652499952031</v>
      </c>
      <c r="J684" s="256">
        <f>(J631/J613)*R94</f>
        <v>0</v>
      </c>
      <c r="K684" s="256">
        <f>(K645/K613)*R90</f>
        <v>327478.27776815108</v>
      </c>
      <c r="L684" s="256">
        <f>(L648/L613)*R95</f>
        <v>0</v>
      </c>
      <c r="M684" s="231">
        <f t="shared" si="19"/>
        <v>440231</v>
      </c>
      <c r="N684" s="250" t="s">
        <v>614</v>
      </c>
    </row>
    <row r="685" spans="1:14" s="231" customFormat="1" ht="12.6" customHeight="1" x14ac:dyDescent="0.2">
      <c r="A685" s="251">
        <v>7050</v>
      </c>
      <c r="B685" s="250" t="s">
        <v>615</v>
      </c>
      <c r="C685" s="256">
        <f>S86</f>
        <v>221082</v>
      </c>
      <c r="D685" s="256">
        <f>(D616/D613)*S91</f>
        <v>-19770.440196188858</v>
      </c>
      <c r="E685" s="258">
        <f>(E624/E613)*SUM(C685:D685)</f>
        <v>21293.95354807741</v>
      </c>
      <c r="F685" s="258">
        <f>(F625/F613)*S65</f>
        <v>0</v>
      </c>
      <c r="G685" s="256">
        <f>(G626/G613)*S92</f>
        <v>0</v>
      </c>
      <c r="H685" s="258">
        <f>(H629/H613)*S61</f>
        <v>14659.372463961019</v>
      </c>
      <c r="I685" s="256">
        <f>(I630/I613)*S93</f>
        <v>13071.653866028084</v>
      </c>
      <c r="J685" s="256">
        <f>(J631/J613)*S94</f>
        <v>0</v>
      </c>
      <c r="K685" s="256">
        <f>(K645/K613)*S90</f>
        <v>229698.88817588516</v>
      </c>
      <c r="L685" s="256">
        <f>(L648/L613)*S95</f>
        <v>0</v>
      </c>
      <c r="M685" s="231">
        <f t="shared" si="19"/>
        <v>258953</v>
      </c>
      <c r="N685" s="250" t="s">
        <v>616</v>
      </c>
    </row>
    <row r="686" spans="1:14" s="231" customFormat="1" ht="12.6" customHeight="1" x14ac:dyDescent="0.2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9"/>
        <v>0</v>
      </c>
      <c r="N686" s="250" t="s">
        <v>618</v>
      </c>
    </row>
    <row r="687" spans="1:14" s="231" customFormat="1" ht="12.6" customHeight="1" x14ac:dyDescent="0.2">
      <c r="A687" s="251">
        <v>7070</v>
      </c>
      <c r="B687" s="250" t="s">
        <v>121</v>
      </c>
      <c r="C687" s="256">
        <f>U86</f>
        <v>4133094</v>
      </c>
      <c r="D687" s="256">
        <f>(D616/D613)*U91</f>
        <v>-22200.556803637071</v>
      </c>
      <c r="E687" s="258">
        <f>(E624/E613)*SUM(C687:D687)</f>
        <v>434834.31406437367</v>
      </c>
      <c r="F687" s="258">
        <f>(F625/F613)*U65</f>
        <v>0</v>
      </c>
      <c r="G687" s="256">
        <f>(G626/G613)*U92</f>
        <v>0</v>
      </c>
      <c r="H687" s="258">
        <f>(H629/H613)*U61</f>
        <v>70273.723251361778</v>
      </c>
      <c r="I687" s="256">
        <f>(I630/I613)*U93</f>
        <v>14673.31896423706</v>
      </c>
      <c r="J687" s="256">
        <f>(J631/J613)*U94</f>
        <v>320.63132830116723</v>
      </c>
      <c r="K687" s="256">
        <f>(K645/K613)*U90</f>
        <v>767169.94556404522</v>
      </c>
      <c r="L687" s="256">
        <f>(L648/L613)*U95</f>
        <v>0</v>
      </c>
      <c r="M687" s="231">
        <f t="shared" si="19"/>
        <v>1265071</v>
      </c>
      <c r="N687" s="250" t="s">
        <v>619</v>
      </c>
    </row>
    <row r="688" spans="1:14" s="231" customFormat="1" ht="12.6" customHeight="1" x14ac:dyDescent="0.2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9"/>
        <v>0</v>
      </c>
      <c r="N688" s="250" t="s">
        <v>621</v>
      </c>
    </row>
    <row r="689" spans="1:14" s="231" customFormat="1" ht="12.6" customHeight="1" x14ac:dyDescent="0.2">
      <c r="A689" s="251">
        <v>7120</v>
      </c>
      <c r="B689" s="250" t="s">
        <v>622</v>
      </c>
      <c r="C689" s="256">
        <f>W86</f>
        <v>233671</v>
      </c>
      <c r="D689" s="256">
        <f>(D616/D613)*W91</f>
        <v>-4393.4311547086345</v>
      </c>
      <c r="E689" s="258">
        <f>(E624/E613)*SUM(C689:D689)</f>
        <v>24252.089176427544</v>
      </c>
      <c r="F689" s="258">
        <f>(F625/F613)*W65</f>
        <v>0</v>
      </c>
      <c r="G689" s="256">
        <f>(G626/G613)*W92</f>
        <v>0</v>
      </c>
      <c r="H689" s="258">
        <f>(H629/H613)*W61</f>
        <v>3622.0628461537926</v>
      </c>
      <c r="I689" s="256">
        <f>(I630/I613)*W93</f>
        <v>2893.3304999904062</v>
      </c>
      <c r="J689" s="256">
        <f>(J631/J613)*W94</f>
        <v>1114.1629168766428</v>
      </c>
      <c r="K689" s="256">
        <f>(K645/K613)*W90</f>
        <v>73397.457545661295</v>
      </c>
      <c r="L689" s="256">
        <f>(L648/L613)*W95</f>
        <v>0</v>
      </c>
      <c r="M689" s="231">
        <f t="shared" si="19"/>
        <v>100886</v>
      </c>
      <c r="N689" s="250" t="s">
        <v>623</v>
      </c>
    </row>
    <row r="690" spans="1:14" s="231" customFormat="1" ht="12.6" customHeight="1" x14ac:dyDescent="0.2">
      <c r="A690" s="251">
        <v>7130</v>
      </c>
      <c r="B690" s="250" t="s">
        <v>624</v>
      </c>
      <c r="C690" s="256">
        <f>X86</f>
        <v>2098935</v>
      </c>
      <c r="D690" s="256">
        <f>(D616/D613)*X91</f>
        <v>-39513.421447660789</v>
      </c>
      <c r="E690" s="258">
        <f>(E624/E613)*SUM(C690:D690)</f>
        <v>217837.60193572129</v>
      </c>
      <c r="F690" s="258">
        <f>(F625/F613)*X65</f>
        <v>0</v>
      </c>
      <c r="G690" s="256">
        <f>(G626/G613)*X92</f>
        <v>0</v>
      </c>
      <c r="H690" s="258">
        <f>(H629/H613)*X61</f>
        <v>32427.444536038285</v>
      </c>
      <c r="I690" s="256">
        <f>(I630/I613)*X93</f>
        <v>26091.641115984912</v>
      </c>
      <c r="J690" s="256">
        <f>(J631/J613)*X94</f>
        <v>10008.896869941842</v>
      </c>
      <c r="K690" s="256">
        <f>(K645/K613)*X90</f>
        <v>659262.05738671357</v>
      </c>
      <c r="L690" s="256">
        <f>(L648/L613)*X95</f>
        <v>0</v>
      </c>
      <c r="M690" s="231">
        <f t="shared" si="19"/>
        <v>906114</v>
      </c>
      <c r="N690" s="250" t="s">
        <v>625</v>
      </c>
    </row>
    <row r="691" spans="1:14" s="231" customFormat="1" ht="12.6" customHeight="1" x14ac:dyDescent="0.2">
      <c r="A691" s="251">
        <v>7140</v>
      </c>
      <c r="B691" s="250" t="s">
        <v>626</v>
      </c>
      <c r="C691" s="256">
        <f>Y86</f>
        <v>1738123</v>
      </c>
      <c r="D691" s="256">
        <f>(D616/D613)*Y91</f>
        <v>-32717.332630220866</v>
      </c>
      <c r="E691" s="258">
        <f>(E624/E613)*SUM(C691:D691)</f>
        <v>180391.1762294762</v>
      </c>
      <c r="F691" s="258">
        <f>(F625/F613)*Y65</f>
        <v>0</v>
      </c>
      <c r="G691" s="256">
        <f>(G626/G613)*Y92</f>
        <v>0</v>
      </c>
      <c r="H691" s="258">
        <f>(H629/H613)*Y61</f>
        <v>26866.009457298209</v>
      </c>
      <c r="I691" s="256">
        <f>(I630/I613)*Y93</f>
        <v>21596.645517785531</v>
      </c>
      <c r="J691" s="256">
        <f>(J631/J613)*Y94</f>
        <v>8288.1341427656935</v>
      </c>
      <c r="K691" s="256">
        <f>(K645/K613)*Y90</f>
        <v>545908.4442144921</v>
      </c>
      <c r="L691" s="256">
        <f>(L648/L613)*Y95</f>
        <v>0</v>
      </c>
      <c r="M691" s="231">
        <f t="shared" si="19"/>
        <v>750333</v>
      </c>
      <c r="N691" s="250" t="s">
        <v>627</v>
      </c>
    </row>
    <row r="692" spans="1:14" s="231" customFormat="1" ht="12.6" customHeight="1" x14ac:dyDescent="0.2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9"/>
        <v>0</v>
      </c>
      <c r="N692" s="250" t="s">
        <v>629</v>
      </c>
    </row>
    <row r="693" spans="1:14" s="231" customFormat="1" ht="12.6" customHeight="1" x14ac:dyDescent="0.2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9"/>
        <v>0</v>
      </c>
      <c r="N693" s="250" t="s">
        <v>631</v>
      </c>
    </row>
    <row r="694" spans="1:14" s="231" customFormat="1" ht="12.6" customHeight="1" x14ac:dyDescent="0.2">
      <c r="A694" s="251">
        <v>7170</v>
      </c>
      <c r="B694" s="250" t="s">
        <v>127</v>
      </c>
      <c r="C694" s="256">
        <f>AB86</f>
        <v>2432458</v>
      </c>
      <c r="D694" s="256">
        <f>(D616/D613)*AB91</f>
        <v>-5450.6005263103998</v>
      </c>
      <c r="E694" s="258">
        <f>(E624/E613)*SUM(C694:D694)</f>
        <v>256719.39989734511</v>
      </c>
      <c r="F694" s="258">
        <f>(F625/F613)*AB65</f>
        <v>0</v>
      </c>
      <c r="G694" s="256">
        <f>(G626/G613)*AB92</f>
        <v>0</v>
      </c>
      <c r="H694" s="258">
        <f>(H629/H613)*AB61</f>
        <v>11493.632496062823</v>
      </c>
      <c r="I694" s="256">
        <f>(I630/I613)*AB93</f>
        <v>3616.6631249880074</v>
      </c>
      <c r="J694" s="256">
        <f>(J631/J613)*AB94</f>
        <v>0</v>
      </c>
      <c r="K694" s="256">
        <f>(K645/K613)*AB90</f>
        <v>287643.90144508058</v>
      </c>
      <c r="L694" s="256">
        <f>(L648/L613)*AB95</f>
        <v>0</v>
      </c>
      <c r="M694" s="231">
        <f t="shared" si="19"/>
        <v>554023</v>
      </c>
      <c r="N694" s="250" t="s">
        <v>632</v>
      </c>
    </row>
    <row r="695" spans="1:14" s="231" customFormat="1" ht="12.6" customHeight="1" x14ac:dyDescent="0.2">
      <c r="A695" s="251">
        <v>7180</v>
      </c>
      <c r="B695" s="250" t="s">
        <v>633</v>
      </c>
      <c r="C695" s="256">
        <f>AC86</f>
        <v>927002</v>
      </c>
      <c r="D695" s="256">
        <f>(D616/D613)*AC91</f>
        <v>-10557.964243659188</v>
      </c>
      <c r="E695" s="258">
        <f>(E624/E613)*SUM(C695:D695)</f>
        <v>96937.884470351564</v>
      </c>
      <c r="F695" s="258">
        <f>(F625/F613)*AC65</f>
        <v>0</v>
      </c>
      <c r="G695" s="256">
        <f>(G626/G613)*AC92</f>
        <v>0</v>
      </c>
      <c r="H695" s="258">
        <f>(H629/H613)*AC61</f>
        <v>34224.215869169697</v>
      </c>
      <c r="I695" s="256">
        <f>(I630/I613)*AC93</f>
        <v>6974.9931696197291</v>
      </c>
      <c r="J695" s="256">
        <f>(J631/J613)*AC94</f>
        <v>991.60499602021218</v>
      </c>
      <c r="K695" s="256">
        <f>(K645/K613)*AC90</f>
        <v>137135.76858796951</v>
      </c>
      <c r="L695" s="256">
        <f>(L648/L613)*AC95</f>
        <v>0</v>
      </c>
      <c r="M695" s="231">
        <f t="shared" si="19"/>
        <v>265707</v>
      </c>
      <c r="N695" s="250" t="s">
        <v>634</v>
      </c>
    </row>
    <row r="696" spans="1:14" s="231" customFormat="1" ht="12.6" customHeight="1" x14ac:dyDescent="0.2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9"/>
        <v>0</v>
      </c>
      <c r="N696" s="250" t="s">
        <v>635</v>
      </c>
    </row>
    <row r="697" spans="1:14" s="231" customFormat="1" ht="12.6" customHeight="1" x14ac:dyDescent="0.2">
      <c r="A697" s="251">
        <v>7200</v>
      </c>
      <c r="B697" s="250" t="s">
        <v>636</v>
      </c>
      <c r="C697" s="256">
        <f>AE86</f>
        <v>1807391</v>
      </c>
      <c r="D697" s="256">
        <f>(D616/D613)*AE91</f>
        <v>-40762.803432281056</v>
      </c>
      <c r="E697" s="258">
        <f>(E624/E613)*SUM(C697:D697)</f>
        <v>186867.05716799377</v>
      </c>
      <c r="F697" s="258">
        <f>(F625/F613)*AE65</f>
        <v>0</v>
      </c>
      <c r="G697" s="256">
        <f>(G626/G613)*AE92</f>
        <v>0</v>
      </c>
      <c r="H697" s="258">
        <f>(H629/H613)*AE61</f>
        <v>0</v>
      </c>
      <c r="I697" s="256">
        <f>(I630/I613)*AE93</f>
        <v>26918.306973125029</v>
      </c>
      <c r="J697" s="256">
        <f>(J631/J613)*AE94</f>
        <v>13154.550171923564</v>
      </c>
      <c r="K697" s="256">
        <f>(K645/K613)*AE90</f>
        <v>243061.18327655894</v>
      </c>
      <c r="L697" s="256">
        <f>(L648/L613)*AE95</f>
        <v>0</v>
      </c>
      <c r="M697" s="231">
        <f t="shared" si="19"/>
        <v>429238</v>
      </c>
      <c r="N697" s="250" t="s">
        <v>637</v>
      </c>
    </row>
    <row r="698" spans="1:14" s="231" customFormat="1" ht="12.6" customHeight="1" x14ac:dyDescent="0.2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9"/>
        <v>0</v>
      </c>
      <c r="N698" s="250" t="s">
        <v>639</v>
      </c>
    </row>
    <row r="699" spans="1:14" s="231" customFormat="1" ht="12.6" customHeight="1" x14ac:dyDescent="0.2">
      <c r="A699" s="251">
        <v>7230</v>
      </c>
      <c r="B699" s="250" t="s">
        <v>640</v>
      </c>
      <c r="C699" s="256">
        <f>AG86</f>
        <v>4892950</v>
      </c>
      <c r="D699" s="256">
        <f>(D616/D613)*AG91</f>
        <v>-45581.848230102085</v>
      </c>
      <c r="E699" s="258">
        <f>(E624/E613)*SUM(C699:D699)</f>
        <v>512735.74331653432</v>
      </c>
      <c r="F699" s="258">
        <f>(F625/F613)*AG65</f>
        <v>0</v>
      </c>
      <c r="G699" s="256">
        <f>(G626/G613)*AG92</f>
        <v>0</v>
      </c>
      <c r="H699" s="258">
        <f>(H629/H613)*AG61</f>
        <v>74865.472213808709</v>
      </c>
      <c r="I699" s="256">
        <f>(I630/I613)*AG93</f>
        <v>30069.970553471721</v>
      </c>
      <c r="J699" s="256">
        <f>(J631/J613)*AG94</f>
        <v>42322.09737695755</v>
      </c>
      <c r="K699" s="256">
        <f>(K645/K613)*AG90</f>
        <v>773338.71822194324</v>
      </c>
      <c r="L699" s="256">
        <f>(L648/L613)*AG95</f>
        <v>324845.82162117783</v>
      </c>
      <c r="M699" s="231">
        <f t="shared" si="19"/>
        <v>1712596</v>
      </c>
      <c r="N699" s="250" t="s">
        <v>641</v>
      </c>
    </row>
    <row r="700" spans="1:14" s="231" customFormat="1" ht="12.6" customHeight="1" x14ac:dyDescent="0.2">
      <c r="A700" s="251">
        <v>7240</v>
      </c>
      <c r="B700" s="250" t="s">
        <v>131</v>
      </c>
      <c r="C700" s="256">
        <f>AH86</f>
        <v>1210315</v>
      </c>
      <c r="D700" s="256">
        <f>(D616/D613)*AH91</f>
        <v>-8759.4033647003416</v>
      </c>
      <c r="E700" s="258">
        <f>(E624/E613)*SUM(C700:D700)</f>
        <v>127095.87608937761</v>
      </c>
      <c r="F700" s="258">
        <f>(F625/F613)*AH65</f>
        <v>0</v>
      </c>
      <c r="G700" s="256">
        <f>(G626/G613)*AH92</f>
        <v>0</v>
      </c>
      <c r="H700" s="258">
        <f>(H629/H613)*AH61</f>
        <v>52876.413517867179</v>
      </c>
      <c r="I700" s="256">
        <f>(I630/I613)*AH93</f>
        <v>5786.6609999808124</v>
      </c>
      <c r="J700" s="256">
        <f>(J631/J613)*AH94</f>
        <v>3780.7261646014085</v>
      </c>
      <c r="K700" s="256">
        <f>(K645/K613)*AH90</f>
        <v>70660.643994935162</v>
      </c>
      <c r="L700" s="256">
        <f>(L648/L613)*AH95</f>
        <v>0</v>
      </c>
      <c r="M700" s="231">
        <f t="shared" si="19"/>
        <v>251441</v>
      </c>
      <c r="N700" s="250" t="s">
        <v>642</v>
      </c>
    </row>
    <row r="701" spans="1:14" s="231" customFormat="1" ht="12.6" customHeight="1" x14ac:dyDescent="0.2">
      <c r="A701" s="251">
        <v>7250</v>
      </c>
      <c r="B701" s="250" t="s">
        <v>643</v>
      </c>
      <c r="C701" s="256">
        <f>AI86</f>
        <v>400335</v>
      </c>
      <c r="D701" s="256">
        <f>(D616/D613)*AI91</f>
        <v>-8800.5917817757345</v>
      </c>
      <c r="E701" s="258">
        <f>(E624/E613)*SUM(C701:D701)</f>
        <v>41414.986348513739</v>
      </c>
      <c r="F701" s="258">
        <f>(F625/F613)*AI65</f>
        <v>0</v>
      </c>
      <c r="G701" s="256">
        <f>(G626/G613)*AI92</f>
        <v>0</v>
      </c>
      <c r="H701" s="258">
        <f>(H629/H613)*AI61</f>
        <v>8727.1750466382728</v>
      </c>
      <c r="I701" s="256">
        <f>(I630/I613)*AI93</f>
        <v>5786.6609999808124</v>
      </c>
      <c r="J701" s="256">
        <f>(J631/J613)*AI94</f>
        <v>1609.3464354884843</v>
      </c>
      <c r="K701" s="256">
        <f>(K645/K613)*AI90</f>
        <v>70897.523725860199</v>
      </c>
      <c r="L701" s="256">
        <f>(L648/L613)*AI95</f>
        <v>73905.44343203005</v>
      </c>
      <c r="M701" s="231">
        <f t="shared" si="19"/>
        <v>193541</v>
      </c>
      <c r="N701" s="250" t="s">
        <v>644</v>
      </c>
    </row>
    <row r="702" spans="1:14" s="231" customFormat="1" ht="12.6" customHeight="1" x14ac:dyDescent="0.2">
      <c r="A702" s="251">
        <v>7260</v>
      </c>
      <c r="B702" s="250" t="s">
        <v>133</v>
      </c>
      <c r="C702" s="256">
        <f>AJ86</f>
        <v>16812353</v>
      </c>
      <c r="D702" s="256">
        <f>(D616/D613)*AJ91</f>
        <v>-431091.70258342632</v>
      </c>
      <c r="E702" s="258">
        <f>(E624/E613)*SUM(C702:D702)</f>
        <v>1732746.0850536963</v>
      </c>
      <c r="F702" s="258">
        <f>(F625/F613)*AJ65</f>
        <v>0</v>
      </c>
      <c r="G702" s="256">
        <f>(G626/G613)*AJ92</f>
        <v>0</v>
      </c>
      <c r="H702" s="258">
        <f>(H629/H613)*AJ61</f>
        <v>235320.00428043265</v>
      </c>
      <c r="I702" s="256">
        <f>(I630/I613)*AJ93</f>
        <v>284631.38793655619</v>
      </c>
      <c r="J702" s="256">
        <f>(J631/J613)*AJ94</f>
        <v>7149.2120499584589</v>
      </c>
      <c r="K702" s="256">
        <f>(K645/K613)*AJ90</f>
        <v>498571.92713025311</v>
      </c>
      <c r="L702" s="256">
        <f>(L648/L613)*AJ95</f>
        <v>313977.37405764405</v>
      </c>
      <c r="M702" s="231">
        <f t="shared" si="19"/>
        <v>2641304</v>
      </c>
      <c r="N702" s="250" t="s">
        <v>645</v>
      </c>
    </row>
    <row r="703" spans="1:14" s="231" customFormat="1" ht="12.6" customHeight="1" x14ac:dyDescent="0.2">
      <c r="A703" s="251">
        <v>7310</v>
      </c>
      <c r="B703" s="250" t="s">
        <v>646</v>
      </c>
      <c r="C703" s="256">
        <f>AK86</f>
        <v>249730</v>
      </c>
      <c r="D703" s="256">
        <f>(D616/D613)*AK91</f>
        <v>-6768.6298727229905</v>
      </c>
      <c r="E703" s="258">
        <f>(E624/E613)*SUM(C703:D703)</f>
        <v>25699.508436124765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4443.3289821281232</v>
      </c>
      <c r="J703" s="256">
        <f>(J631/J613)*AK94</f>
        <v>0</v>
      </c>
      <c r="K703" s="256">
        <f>(K645/K613)*AK90</f>
        <v>21746.45433611533</v>
      </c>
      <c r="L703" s="256">
        <f>(L648/L613)*AK95</f>
        <v>0</v>
      </c>
      <c r="M703" s="231">
        <f t="shared" si="19"/>
        <v>45121</v>
      </c>
      <c r="N703" s="250" t="s">
        <v>647</v>
      </c>
    </row>
    <row r="704" spans="1:14" s="231" customFormat="1" ht="12.6" customHeight="1" x14ac:dyDescent="0.2">
      <c r="A704" s="251">
        <v>7320</v>
      </c>
      <c r="B704" s="250" t="s">
        <v>648</v>
      </c>
      <c r="C704" s="256">
        <f>AL86</f>
        <v>244665</v>
      </c>
      <c r="D704" s="256">
        <f>(D616/D613)*AL91</f>
        <v>-4819.0447978210341</v>
      </c>
      <c r="E704" s="258">
        <f>(E624/E613)*SUM(C704:D704)</f>
        <v>25369.971966571418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3203.3301964179495</v>
      </c>
      <c r="J704" s="256">
        <f>(J631/J613)*AL94</f>
        <v>0</v>
      </c>
      <c r="K704" s="256">
        <f>(K645/K613)*AL90</f>
        <v>36421.368950489479</v>
      </c>
      <c r="L704" s="256">
        <f>(L648/L613)*AL95</f>
        <v>0</v>
      </c>
      <c r="M704" s="231">
        <f t="shared" si="19"/>
        <v>60176</v>
      </c>
      <c r="N704" s="250" t="s">
        <v>649</v>
      </c>
    </row>
    <row r="705" spans="1:14" s="231" customFormat="1" ht="12.6" customHeight="1" x14ac:dyDescent="0.2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9"/>
        <v>0</v>
      </c>
      <c r="N705" s="250" t="s">
        <v>651</v>
      </c>
    </row>
    <row r="706" spans="1:14" s="231" customFormat="1" ht="12.6" customHeight="1" x14ac:dyDescent="0.2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9"/>
        <v>0</v>
      </c>
      <c r="N706" s="250" t="s">
        <v>653</v>
      </c>
    </row>
    <row r="707" spans="1:14" s="231" customFormat="1" ht="12.6" customHeight="1" x14ac:dyDescent="0.2">
      <c r="A707" s="251">
        <v>7350</v>
      </c>
      <c r="B707" s="250" t="s">
        <v>654</v>
      </c>
      <c r="C707" s="256">
        <f>AO86</f>
        <v>614029</v>
      </c>
      <c r="D707" s="256">
        <f>(D616/D613)*AO91</f>
        <v>-16873.52152855285</v>
      </c>
      <c r="E707" s="258">
        <f>(E624/E613)*SUM(C707:D707)</f>
        <v>63164.783144808782</v>
      </c>
      <c r="F707" s="258">
        <f>(F625/F613)*AO65</f>
        <v>0</v>
      </c>
      <c r="G707" s="256">
        <f>(G626/G613)*AO92</f>
        <v>128218.62565351596</v>
      </c>
      <c r="H707" s="258">
        <f>(H629/H613)*AO61</f>
        <v>12006.995734100368</v>
      </c>
      <c r="I707" s="256">
        <f>(I630/I613)*AO93</f>
        <v>11108.322455320309</v>
      </c>
      <c r="J707" s="256">
        <f>(J631/J613)*AO94</f>
        <v>14808.463124087115</v>
      </c>
      <c r="K707" s="256">
        <f>(K645/K613)*AO90</f>
        <v>78167.632874254865</v>
      </c>
      <c r="L707" s="256">
        <f>(L648/L613)*AO95</f>
        <v>85015.412052531305</v>
      </c>
      <c r="M707" s="231">
        <f t="shared" si="19"/>
        <v>375617</v>
      </c>
      <c r="N707" s="250" t="s">
        <v>655</v>
      </c>
    </row>
    <row r="708" spans="1:14" s="231" customFormat="1" ht="12.6" customHeight="1" x14ac:dyDescent="0.2">
      <c r="A708" s="251">
        <v>7380</v>
      </c>
      <c r="B708" s="250" t="s">
        <v>656</v>
      </c>
      <c r="C708" s="256">
        <f>AP86</f>
        <v>428206</v>
      </c>
      <c r="D708" s="256">
        <f>(D616/D613)*AP91</f>
        <v>-32882.086298522438</v>
      </c>
      <c r="E708" s="258">
        <f>(E624/E613)*SUM(C708:D708)</f>
        <v>41815.82549460759</v>
      </c>
      <c r="F708" s="258">
        <f>(F625/F613)*AP65</f>
        <v>0</v>
      </c>
      <c r="G708" s="256">
        <f>(G626/G613)*AP92</f>
        <v>0</v>
      </c>
      <c r="H708" s="258">
        <f>(H629/H613)*AP61</f>
        <v>1882.3318728043332</v>
      </c>
      <c r="I708" s="256">
        <f>(I630/I613)*AP93</f>
        <v>21699.978749928046</v>
      </c>
      <c r="J708" s="256">
        <f>(J631/J613)*AP94</f>
        <v>0</v>
      </c>
      <c r="K708" s="256">
        <f>(K645/K613)*AP90</f>
        <v>10926.573419182689</v>
      </c>
      <c r="L708" s="256">
        <f>(L648/L613)*AP95</f>
        <v>0</v>
      </c>
      <c r="M708" s="231">
        <f t="shared" si="19"/>
        <v>43443</v>
      </c>
      <c r="N708" s="250" t="s">
        <v>657</v>
      </c>
    </row>
    <row r="709" spans="1:14" s="231" customFormat="1" ht="12.6" customHeight="1" x14ac:dyDescent="0.2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9"/>
        <v>0</v>
      </c>
      <c r="N709" s="250" t="s">
        <v>659</v>
      </c>
    </row>
    <row r="710" spans="1:14" s="231" customFormat="1" ht="12.6" customHeight="1" x14ac:dyDescent="0.2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9"/>
        <v>0</v>
      </c>
      <c r="N710" s="250" t="s">
        <v>661</v>
      </c>
    </row>
    <row r="711" spans="1:14" s="231" customFormat="1" ht="12.6" customHeight="1" x14ac:dyDescent="0.2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9"/>
        <v>0</v>
      </c>
      <c r="N711" s="250" t="s">
        <v>662</v>
      </c>
    </row>
    <row r="712" spans="1:14" s="231" customFormat="1" ht="12.6" customHeight="1" x14ac:dyDescent="0.2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9"/>
        <v>0</v>
      </c>
      <c r="N712" s="250" t="s">
        <v>664</v>
      </c>
    </row>
    <row r="713" spans="1:14" s="231" customFormat="1" ht="12.6" customHeight="1" x14ac:dyDescent="0.2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9"/>
        <v>0</v>
      </c>
      <c r="N713" s="250" t="s">
        <v>666</v>
      </c>
    </row>
    <row r="714" spans="1:14" s="231" customFormat="1" ht="12.6" customHeight="1" x14ac:dyDescent="0.2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9"/>
        <v>0</v>
      </c>
      <c r="N714" s="252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3">
        <f>SUM(C615:C648)+SUM(C669:C714)</f>
        <v>68853022</v>
      </c>
      <c r="D716" s="231">
        <f>SUM(D617:D648)+SUM(D669:D714)</f>
        <v>-1340834</v>
      </c>
      <c r="E716" s="231">
        <f>SUM(E625:E648)+SUM(E669:E714)</f>
        <v>6586328.5685790638</v>
      </c>
      <c r="F716" s="231">
        <f>SUM(F626:F649)+SUM(F669:F714)</f>
        <v>0</v>
      </c>
      <c r="G716" s="231">
        <f>SUM(G627:G648)+SUM(G669:G714)</f>
        <v>860517.55542829121</v>
      </c>
      <c r="H716" s="231">
        <f>SUM(H630:H648)+SUM(H669:H714)</f>
        <v>986627.10314838029</v>
      </c>
      <c r="I716" s="231">
        <f>SUM(I631:I648)+SUM(I669:I714)</f>
        <v>689077.65854235808</v>
      </c>
      <c r="J716" s="231">
        <f>SUM(J632:J648)+SUM(J669:J714)</f>
        <v>253792.69491773742</v>
      </c>
      <c r="K716" s="231">
        <f>SUM(K669:K714)</f>
        <v>6700629.1537291445</v>
      </c>
      <c r="L716" s="231">
        <f>SUM(L669:L714)</f>
        <v>1615051.3079411273</v>
      </c>
      <c r="M716" s="231">
        <f>SUM(M669:M714)</f>
        <v>15418262</v>
      </c>
      <c r="N716" s="250" t="s">
        <v>669</v>
      </c>
    </row>
    <row r="717" spans="1:14" s="231" customFormat="1" ht="12.6" customHeight="1" x14ac:dyDescent="0.2">
      <c r="C717" s="253">
        <f>CE86</f>
        <v>68853022</v>
      </c>
      <c r="D717" s="231">
        <f>D616</f>
        <v>-1340834</v>
      </c>
      <c r="E717" s="231">
        <f>E624</f>
        <v>6586328.5685790647</v>
      </c>
      <c r="F717" s="231">
        <f>F625</f>
        <v>0</v>
      </c>
      <c r="G717" s="231">
        <f>G626</f>
        <v>860517.55542829132</v>
      </c>
      <c r="H717" s="231">
        <f>H629</f>
        <v>986627.10314838064</v>
      </c>
      <c r="I717" s="231">
        <f>I630</f>
        <v>689077.65854235797</v>
      </c>
      <c r="J717" s="231">
        <f>J631</f>
        <v>253792.69491773745</v>
      </c>
      <c r="K717" s="231">
        <f>K645</f>
        <v>6700629.1537291454</v>
      </c>
      <c r="L717" s="231">
        <f>L648</f>
        <v>1615051.3079411276</v>
      </c>
      <c r="M717" s="231">
        <f>C649</f>
        <v>15418261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25">
      <c r="A2" s="12" t="str">
        <f>RIGHT(data!C96,4)</f>
        <v>2022</v>
      </c>
      <c r="B2" s="225" t="str">
        <f>RIGHT(data!C97,3)</f>
        <v>046</v>
      </c>
      <c r="C2" s="12" t="str">
        <f>SUBSTITUTE(LEFT(data!C98,49),",","")</f>
        <v>PHM Medical Center</v>
      </c>
      <c r="D2" s="12" t="str">
        <f>LEFT(data!C99,49)</f>
        <v>723 Memorial St</v>
      </c>
      <c r="E2" s="12" t="str">
        <f>RIGHT(data!C100,100)</f>
        <v>Prosser</v>
      </c>
      <c r="F2" s="12" t="str">
        <f>RIGHT(data!C101,100)</f>
        <v>WA</v>
      </c>
      <c r="G2" s="12" t="str">
        <f>RIGHT(data!C102,100)</f>
        <v>99350</v>
      </c>
      <c r="H2" s="12" t="str">
        <f>RIGHT(data!C103,100)</f>
        <v>Benton</v>
      </c>
      <c r="I2" s="12" t="str">
        <f>LEFT(data!C104,49)</f>
        <v>Craig Marks</v>
      </c>
      <c r="J2" s="12" t="str">
        <f>LEFT(data!C105,49)</f>
        <v>David Rollins</v>
      </c>
      <c r="K2" s="12" t="str">
        <f>LEFT(data!C107,49)</f>
        <v>509-786-2222</v>
      </c>
      <c r="L2" s="12" t="str">
        <f>LEFT(data!C107,49)</f>
        <v>509-786-2222</v>
      </c>
      <c r="M2" s="12" t="str">
        <f>LEFT(data!C109,49)</f>
        <v/>
      </c>
      <c r="N2" s="12" t="str">
        <f>LEFT(data!C110,49)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" customHeight="1" x14ac:dyDescent="0.25">
      <c r="A2" s="16" t="str">
        <f>RIGHT(data!C97,3)</f>
        <v>046</v>
      </c>
      <c r="B2" s="224" t="str">
        <f>RIGHT(data!C96,4)</f>
        <v>2022</v>
      </c>
      <c r="C2" s="16" t="s">
        <v>1122</v>
      </c>
      <c r="D2" s="223">
        <f>ROUND(data!C181,0)</f>
        <v>2402405</v>
      </c>
      <c r="E2" s="223">
        <f>ROUND(data!C182,0)</f>
        <v>31194</v>
      </c>
      <c r="F2" s="223">
        <f>ROUND(data!C183,0)</f>
        <v>319345</v>
      </c>
      <c r="G2" s="223">
        <f>ROUND(data!C184,0)</f>
        <v>5276041</v>
      </c>
      <c r="H2" s="223">
        <f>ROUND(data!C185,0)</f>
        <v>85287</v>
      </c>
      <c r="I2" s="223">
        <f>ROUND(data!C186,0)</f>
        <v>1188813</v>
      </c>
      <c r="J2" s="223">
        <f>ROUND(data!C187+data!C188,0)</f>
        <v>-964841</v>
      </c>
      <c r="K2" s="223">
        <f>ROUND(data!C191,0)</f>
        <v>254484</v>
      </c>
      <c r="L2" s="223">
        <f>ROUND(data!C192,0)</f>
        <v>526253</v>
      </c>
      <c r="M2" s="223">
        <f>ROUND(data!C195,0)</f>
        <v>484606</v>
      </c>
      <c r="N2" s="223">
        <f>ROUND(data!C196,0)</f>
        <v>146011</v>
      </c>
      <c r="O2" s="223">
        <f>ROUND(data!C199,0)</f>
        <v>622181</v>
      </c>
      <c r="P2" s="223">
        <f>ROUND(data!C200,0)</f>
        <v>118</v>
      </c>
      <c r="Q2" s="223">
        <f>ROUND(data!C201,0)</f>
        <v>0</v>
      </c>
      <c r="R2" s="223">
        <f>ROUND(data!C204,0)</f>
        <v>0</v>
      </c>
      <c r="S2" s="223">
        <f>ROUND(data!C205,0)</f>
        <v>1317896</v>
      </c>
      <c r="T2" s="223">
        <f>ROUND(data!B211,0)</f>
        <v>3128342</v>
      </c>
      <c r="U2" s="223">
        <f>ROUND(data!C211,0)</f>
        <v>17200</v>
      </c>
      <c r="V2" s="223">
        <f>ROUND(data!D211,0)</f>
        <v>23760</v>
      </c>
      <c r="W2" s="223">
        <f>ROUND(data!B212,0)</f>
        <v>632699</v>
      </c>
      <c r="X2" s="223">
        <f>ROUND(data!C212,0)</f>
        <v>0</v>
      </c>
      <c r="Y2" s="223">
        <f>ROUND(data!D212,0)</f>
        <v>0</v>
      </c>
      <c r="Z2" s="223">
        <f>ROUND(data!B213,0)</f>
        <v>22920747</v>
      </c>
      <c r="AA2" s="223">
        <f>ROUND(data!C213,0)</f>
        <v>12920845</v>
      </c>
      <c r="AB2" s="223">
        <f>ROUND(data!D213,0)</f>
        <v>17200</v>
      </c>
      <c r="AC2" s="223">
        <f>ROUND(data!B214,0)</f>
        <v>8131488</v>
      </c>
      <c r="AD2" s="223">
        <f>ROUND(data!C214,0)</f>
        <v>0</v>
      </c>
      <c r="AE2" s="223">
        <f>ROUND(data!D214,0)</f>
        <v>0</v>
      </c>
      <c r="AF2" s="223">
        <f>ROUND(data!B215,0)</f>
        <v>665178</v>
      </c>
      <c r="AG2" s="223">
        <f>ROUND(data!C215,0)</f>
        <v>0</v>
      </c>
      <c r="AH2" s="223">
        <f>ROUND(data!D215,0)</f>
        <v>0</v>
      </c>
      <c r="AI2" s="223">
        <f>ROUND(data!B216,0)</f>
        <v>14619070</v>
      </c>
      <c r="AJ2" s="223">
        <f>ROUND(data!C216,0)</f>
        <v>3564623</v>
      </c>
      <c r="AK2" s="223">
        <f>ROUND(data!D216,0)</f>
        <v>167003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4226277</v>
      </c>
      <c r="AS2" s="223">
        <f>ROUND(data!C219,0)</f>
        <v>2526520</v>
      </c>
      <c r="AT2" s="223">
        <f>ROUND(data!D219,0)</f>
        <v>648261</v>
      </c>
      <c r="AU2" s="223">
        <v>0</v>
      </c>
      <c r="AV2" s="223">
        <v>0</v>
      </c>
      <c r="AW2" s="223">
        <v>0</v>
      </c>
      <c r="AX2" s="223">
        <f>ROUND(data!B225,0)</f>
        <v>528471</v>
      </c>
      <c r="AY2" s="223">
        <f>ROUND(data!C225,0)</f>
        <v>33662</v>
      </c>
      <c r="AZ2" s="223">
        <f>ROUND(data!D225,0)</f>
        <v>0</v>
      </c>
      <c r="BA2" s="223">
        <f>ROUND(data!B226,0)</f>
        <v>15392629</v>
      </c>
      <c r="BB2" s="223">
        <f>ROUND(data!C226,0)</f>
        <v>1040118</v>
      </c>
      <c r="BC2" s="223">
        <f>ROUND(data!D226,0)</f>
        <v>0</v>
      </c>
      <c r="BD2" s="223">
        <f>ROUND(data!B227,0)</f>
        <v>5512523</v>
      </c>
      <c r="BE2" s="223">
        <f>ROUND(data!C227,0)</f>
        <v>0</v>
      </c>
      <c r="BF2" s="223">
        <f>ROUND(data!D227,0)</f>
        <v>0</v>
      </c>
      <c r="BG2" s="223">
        <f>ROUND(data!B228,0)</f>
        <v>566591</v>
      </c>
      <c r="BH2" s="223">
        <f>ROUND(data!C228,0)</f>
        <v>0</v>
      </c>
      <c r="BI2" s="223">
        <f>ROUND(data!D228,0)</f>
        <v>0</v>
      </c>
      <c r="BJ2" s="223">
        <f>ROUND(data!B229,0)</f>
        <v>9410008</v>
      </c>
      <c r="BK2" s="223">
        <f>ROUND(data!C229,0)</f>
        <v>2739368</v>
      </c>
      <c r="BL2" s="223">
        <f>ROUND(data!D229,0)</f>
        <v>144828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54953880</v>
      </c>
      <c r="BW2" s="223">
        <f>ROUND(data!C240,0)</f>
        <v>54132674</v>
      </c>
      <c r="BX2" s="223">
        <f>ROUND(data!C241,0)</f>
        <v>3232513</v>
      </c>
      <c r="BY2" s="223">
        <f>ROUND(data!C242,0)</f>
        <v>0</v>
      </c>
      <c r="BZ2" s="223">
        <f>ROUND(data!C243,0)</f>
        <v>0</v>
      </c>
      <c r="CA2" s="223">
        <f>ROUND(data!C244,0)</f>
        <v>41519725</v>
      </c>
      <c r="CB2" s="223">
        <f>ROUND(data!C247,0)</f>
        <v>946</v>
      </c>
      <c r="CC2" s="223">
        <f>ROUND(data!C249,0)</f>
        <v>3424948</v>
      </c>
      <c r="CD2" s="223">
        <f>ROUND(data!C250,0)</f>
        <v>922991</v>
      </c>
      <c r="CE2" s="223">
        <f>ROUND(data!C254+data!C255,0)</f>
        <v>0</v>
      </c>
      <c r="CF2" s="223">
        <f>data!D237</f>
        <v>3523104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" customHeight="1" x14ac:dyDescent="0.25">
      <c r="A2" s="16" t="str">
        <f>RIGHT(data!C97,3)</f>
        <v>046</v>
      </c>
      <c r="B2" s="16" t="str">
        <f>RIGHT(data!C96,4)</f>
        <v>2022</v>
      </c>
      <c r="C2" s="16" t="s">
        <v>1122</v>
      </c>
      <c r="D2" s="222">
        <f>ROUND(data!C127,0)</f>
        <v>1309</v>
      </c>
      <c r="E2" s="222">
        <f>ROUND(data!C128,0)</f>
        <v>72</v>
      </c>
      <c r="F2" s="222">
        <f>ROUND(data!C129,0)</f>
        <v>0</v>
      </c>
      <c r="G2" s="222">
        <f>ROUND(data!C130,0)</f>
        <v>590</v>
      </c>
      <c r="H2" s="222">
        <f>ROUND(data!D127,0)</f>
        <v>3476</v>
      </c>
      <c r="I2" s="222">
        <f>ROUND(data!D128,0)</f>
        <v>1224</v>
      </c>
      <c r="J2" s="222">
        <f>ROUND(data!D129,0)</f>
        <v>0</v>
      </c>
      <c r="K2" s="222">
        <f>ROUND(data!D130,0)</f>
        <v>782</v>
      </c>
      <c r="L2" s="222">
        <f>ROUND(data!C132,0)</f>
        <v>0</v>
      </c>
      <c r="M2" s="222">
        <f>ROUND(data!C133,0)</f>
        <v>0</v>
      </c>
      <c r="N2" s="222">
        <f>ROUND(data!C134,0)</f>
        <v>19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6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383</v>
      </c>
      <c r="Z2" s="222">
        <f>ROUND(data!B155,0)</f>
        <v>1016</v>
      </c>
      <c r="AA2" s="222">
        <f>ROUND(data!B156,0)</f>
        <v>0</v>
      </c>
      <c r="AB2" s="222">
        <f>ROUND(data!B157,0)</f>
        <v>14733452</v>
      </c>
      <c r="AC2" s="222">
        <f>ROUND(data!B158,0)</f>
        <v>63135302</v>
      </c>
      <c r="AD2" s="222">
        <f>ROUND(data!C154,0)</f>
        <v>110</v>
      </c>
      <c r="AE2" s="222">
        <f>ROUND(data!C155,0)</f>
        <v>293</v>
      </c>
      <c r="AF2" s="222">
        <f>ROUND(data!C156,0)</f>
        <v>0</v>
      </c>
      <c r="AG2" s="222">
        <f>ROUND(data!C157,0)</f>
        <v>15717350</v>
      </c>
      <c r="AH2" s="222">
        <f>ROUND(data!C158,0)</f>
        <v>63400436</v>
      </c>
      <c r="AI2" s="222">
        <f>ROUND(data!D154,0)</f>
        <v>816</v>
      </c>
      <c r="AJ2" s="222">
        <f>ROUND(data!D155,0)</f>
        <v>2167</v>
      </c>
      <c r="AK2" s="222">
        <f>ROUND(data!D156,0)</f>
        <v>0</v>
      </c>
      <c r="AL2" s="222">
        <f>ROUND(data!D157,0)</f>
        <v>13386622</v>
      </c>
      <c r="AM2" s="222">
        <f>ROUND(data!D158,0)</f>
        <v>82252726</v>
      </c>
      <c r="AN2" s="222">
        <f>ROUND(data!B160,0)</f>
        <v>44</v>
      </c>
      <c r="AO2" s="222">
        <f>ROUND(data!B161,0)</f>
        <v>752</v>
      </c>
      <c r="AP2" s="222">
        <f>ROUND(data!B162,0)</f>
        <v>0</v>
      </c>
      <c r="AQ2" s="222">
        <f>ROUND(data!B163,0)</f>
        <v>1353998</v>
      </c>
      <c r="AR2" s="222">
        <f>ROUND(data!B164,0)</f>
        <v>364889</v>
      </c>
      <c r="AS2" s="222">
        <f>ROUND(data!C160,0)</f>
        <v>15</v>
      </c>
      <c r="AT2" s="222">
        <f>ROUND(data!C161,0)</f>
        <v>262</v>
      </c>
      <c r="AU2" s="222">
        <f>ROUND(data!C162,0)</f>
        <v>0</v>
      </c>
      <c r="AV2" s="222">
        <f>ROUND(data!C163,0)</f>
        <v>471739</v>
      </c>
      <c r="AW2" s="222">
        <f>ROUND(data!C164,0)</f>
        <v>127129</v>
      </c>
      <c r="AX2" s="222">
        <f>ROUND(data!D160,0)</f>
        <v>12</v>
      </c>
      <c r="AY2" s="222">
        <f>ROUND(data!D161,0)</f>
        <v>210</v>
      </c>
      <c r="AZ2" s="222">
        <f>ROUND(data!D162,0)</f>
        <v>0</v>
      </c>
      <c r="BA2" s="222">
        <f>ROUND(data!D163,0)</f>
        <v>378111</v>
      </c>
      <c r="BB2" s="222">
        <f>ROUND(data!D164,0)</f>
        <v>101897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35589161</v>
      </c>
      <c r="BS2" s="222">
        <f>ROUND(data!C173,0)</f>
        <v>10601480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" customHeight="1" x14ac:dyDescent="0.25">
      <c r="A2" s="223" t="str">
        <f>RIGHT(data!C97,3)</f>
        <v>046</v>
      </c>
      <c r="B2" s="224" t="str">
        <f>RIGHT(data!C96,4)</f>
        <v>2022</v>
      </c>
      <c r="C2" s="16" t="s">
        <v>1122</v>
      </c>
      <c r="D2" s="222">
        <f>ROUND(data!C266,0)</f>
        <v>6167333</v>
      </c>
      <c r="E2" s="222">
        <f>ROUND(data!C267,0)</f>
        <v>0</v>
      </c>
      <c r="F2" s="222">
        <f>ROUND(data!C268,0)</f>
        <v>40530516</v>
      </c>
      <c r="G2" s="222">
        <f>ROUND(data!C269,0)</f>
        <v>25024000</v>
      </c>
      <c r="H2" s="222">
        <f>ROUND(data!C270,0)</f>
        <v>0</v>
      </c>
      <c r="I2" s="222">
        <f>ROUND(data!C271,0)</f>
        <v>158899</v>
      </c>
      <c r="J2" s="222">
        <f>ROUND(data!C272,0)</f>
        <v>0</v>
      </c>
      <c r="K2" s="222">
        <f>ROUND(data!C273,0)</f>
        <v>652120</v>
      </c>
      <c r="L2" s="222">
        <f>ROUND(data!C274,0)</f>
        <v>1118427</v>
      </c>
      <c r="M2" s="222">
        <f>ROUND(data!C275,0)</f>
        <v>0</v>
      </c>
      <c r="N2" s="222">
        <f>ROUND(data!C278,0)</f>
        <v>2963331</v>
      </c>
      <c r="O2" s="222">
        <f>ROUND(data!C279,0)</f>
        <v>0</v>
      </c>
      <c r="P2" s="222">
        <f>ROUND(data!C280,0)</f>
        <v>17462560</v>
      </c>
      <c r="Q2" s="222">
        <f>ROUND(data!C283,0)</f>
        <v>3121782</v>
      </c>
      <c r="R2" s="222">
        <f>ROUND(data!C284,0)</f>
        <v>632699</v>
      </c>
      <c r="S2" s="222">
        <f>ROUND(data!C285,0)</f>
        <v>35824392</v>
      </c>
      <c r="T2" s="222">
        <f>ROUND(data!C286,0)</f>
        <v>8131488</v>
      </c>
      <c r="U2" s="222">
        <f>ROUND(data!C287,0)</f>
        <v>665178</v>
      </c>
      <c r="V2" s="222">
        <f>ROUND(data!C288,0)</f>
        <v>18016690</v>
      </c>
      <c r="W2" s="222">
        <f>ROUND(data!C289,0)</f>
        <v>0</v>
      </c>
      <c r="X2" s="222">
        <f>ROUND(data!C290,0)</f>
        <v>6104536</v>
      </c>
      <c r="Y2" s="222">
        <f>ROUND(data!C291,0)</f>
        <v>0</v>
      </c>
      <c r="Z2" s="222">
        <f>ROUND(data!C292,0)</f>
        <v>35078542</v>
      </c>
      <c r="AA2" s="222">
        <f>ROUND(data!C295,0)</f>
        <v>0</v>
      </c>
      <c r="AB2" s="222">
        <f>ROUND(data!C296,0)</f>
        <v>0</v>
      </c>
      <c r="AC2" s="222">
        <f>ROUND(data!C297,0)</f>
        <v>9291641</v>
      </c>
      <c r="AD2" s="222">
        <f>ROUND(data!C298,0)</f>
        <v>904491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1903842</v>
      </c>
      <c r="AK2" s="222">
        <f>ROUND(data!C316,0)</f>
        <v>1717570</v>
      </c>
      <c r="AL2" s="222">
        <f>ROUND(data!C317,0)</f>
        <v>2061731</v>
      </c>
      <c r="AM2" s="222">
        <f>ROUND(data!C318,0)</f>
        <v>0</v>
      </c>
      <c r="AN2" s="222">
        <f>ROUND(data!C319,0)</f>
        <v>2169713</v>
      </c>
      <c r="AO2" s="222">
        <f>ROUND(data!C320,0)</f>
        <v>0</v>
      </c>
      <c r="AP2" s="222">
        <f>ROUND(data!C321,0)</f>
        <v>0</v>
      </c>
      <c r="AQ2" s="222">
        <f>ROUND(data!C322,0)</f>
        <v>19670</v>
      </c>
      <c r="AR2" s="222">
        <f>ROUND(data!C323,0)</f>
        <v>2050090</v>
      </c>
      <c r="AS2" s="222">
        <f>ROUND(data!C326,0)</f>
        <v>0</v>
      </c>
      <c r="AT2" s="222">
        <f>ROUND(data!C327,0)</f>
        <v>0</v>
      </c>
      <c r="AU2" s="222">
        <f>ROUND(data!C328,0)</f>
        <v>208975</v>
      </c>
      <c r="AV2" s="222">
        <f>ROUND(data!C331,0)</f>
        <v>0</v>
      </c>
      <c r="AW2" s="222">
        <f>ROUND(data!C332,0)</f>
        <v>0</v>
      </c>
      <c r="AX2" s="222">
        <f>ROUND(data!C333,0)</f>
        <v>8971217</v>
      </c>
      <c r="AY2" s="222">
        <f>ROUND(data!C334,0)</f>
        <v>12577470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59963263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394.96</v>
      </c>
      <c r="BL2" s="222">
        <f>ROUND(data!C358,0)</f>
        <v>46041273</v>
      </c>
      <c r="BM2" s="222">
        <f>ROUND(data!C359,0)</f>
        <v>209382378</v>
      </c>
      <c r="BN2" s="222">
        <f>ROUND(data!C363,0)</f>
        <v>153838792</v>
      </c>
      <c r="BO2" s="222">
        <f>ROUND(data!C364,0)</f>
        <v>4347939</v>
      </c>
      <c r="BP2" s="222">
        <f>ROUND(data!C365,0)</f>
        <v>0</v>
      </c>
      <c r="BQ2" s="222">
        <f>ROUND(data!D381,0)</f>
        <v>283384</v>
      </c>
      <c r="BR2" s="222">
        <f>ROUND(data!C370,0)</f>
        <v>0</v>
      </c>
      <c r="BS2" s="222">
        <f>ROUND(data!C371,0)</f>
        <v>47297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236087</v>
      </c>
      <c r="CC2" s="222">
        <f>ROUND(data!C382,0)</f>
        <v>0</v>
      </c>
      <c r="CD2" s="222">
        <f>ROUND(data!C389,0)</f>
        <v>38133043</v>
      </c>
      <c r="CE2" s="222">
        <f>ROUND(data!C390,0)</f>
        <v>8338244</v>
      </c>
      <c r="CF2" s="222">
        <f>ROUND(data!C391,0)</f>
        <v>10135773</v>
      </c>
      <c r="CG2" s="222">
        <f>ROUND(data!C392,0)</f>
        <v>13695284</v>
      </c>
      <c r="CH2" s="222">
        <f>ROUND(data!C393,0)</f>
        <v>567788</v>
      </c>
      <c r="CI2" s="222">
        <f>ROUND(data!C394,0)</f>
        <v>4915690</v>
      </c>
      <c r="CJ2" s="222">
        <f>ROUND(data!C395,0)</f>
        <v>3813148</v>
      </c>
      <c r="CK2" s="222">
        <f>ROUND(data!C396,0)</f>
        <v>780737</v>
      </c>
      <c r="CL2" s="222">
        <f>ROUND(data!C397,0)</f>
        <v>630617</v>
      </c>
      <c r="CM2" s="222">
        <f>ROUND(data!C398,0)</f>
        <v>625527</v>
      </c>
      <c r="CN2" s="222">
        <f>ROUND(data!C399,0)</f>
        <v>1317896</v>
      </c>
      <c r="CO2" s="222">
        <f>ROUND(data!C362,0)</f>
        <v>3523104</v>
      </c>
      <c r="CP2" s="222">
        <f>ROUND(data!D415,0)</f>
        <v>2043292</v>
      </c>
      <c r="CQ2" s="65">
        <f>ROUND(data!C401,0)</f>
        <v>0</v>
      </c>
      <c r="CR2" s="65">
        <f>ROUND(data!C402,0)</f>
        <v>0</v>
      </c>
      <c r="CS2" s="65">
        <f>ROUND(data!C403,0)</f>
        <v>177151</v>
      </c>
      <c r="CT2" s="65">
        <f>ROUND(data!C404,0)</f>
        <v>0</v>
      </c>
      <c r="CU2" s="65">
        <f>ROUND(data!C405,0)</f>
        <v>3005</v>
      </c>
      <c r="CV2" s="65">
        <f>ROUND(data!C406,0)</f>
        <v>0</v>
      </c>
      <c r="CW2" s="65">
        <f>ROUND(data!C407,0)</f>
        <v>0</v>
      </c>
      <c r="CX2" s="65">
        <f>ROUND(data!C408,0)</f>
        <v>657824</v>
      </c>
      <c r="CY2" s="65">
        <f>ROUND(data!C409,0)</f>
        <v>0</v>
      </c>
      <c r="CZ2" s="65">
        <f>ROUND(data!C410,0)</f>
        <v>316715</v>
      </c>
      <c r="DA2" s="65">
        <f>ROUND(data!C411,0)</f>
        <v>311816</v>
      </c>
      <c r="DB2" s="65">
        <f>ROUND(data!C412,0)</f>
        <v>0</v>
      </c>
      <c r="DC2" s="65">
        <f>ROUND(data!C413,0)</f>
        <v>0</v>
      </c>
      <c r="DD2" s="65">
        <f>ROUND(data!C414,0)</f>
        <v>576781</v>
      </c>
      <c r="DE2" s="65">
        <f>ROUND(data!C419,0)</f>
        <v>1785037</v>
      </c>
      <c r="DF2" s="222">
        <f>ROUND(data!D420,0)</f>
        <v>1898007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046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046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046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3476</v>
      </c>
      <c r="F4" s="212">
        <f>ROUND(data!E60,2)</f>
        <v>16.36</v>
      </c>
      <c r="G4" s="222">
        <f>ROUND(data!E61,0)</f>
        <v>978288</v>
      </c>
      <c r="H4" s="222">
        <f>ROUND(data!E62,0)</f>
        <v>213914</v>
      </c>
      <c r="I4" s="222">
        <f>ROUND(data!E63,0)</f>
        <v>1313642</v>
      </c>
      <c r="J4" s="222">
        <f>ROUND(data!E64,0)</f>
        <v>164263</v>
      </c>
      <c r="K4" s="222">
        <f>ROUND(data!E65,0)</f>
        <v>0</v>
      </c>
      <c r="L4" s="222">
        <f>ROUND(data!E66,0)</f>
        <v>31354</v>
      </c>
      <c r="M4" s="66">
        <f>ROUND(data!E67,0)</f>
        <v>197790</v>
      </c>
      <c r="N4" s="222">
        <f>ROUND(data!E68,0)</f>
        <v>49658</v>
      </c>
      <c r="O4" s="222">
        <f>ROUND(data!E69,0)</f>
        <v>28484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28484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10742357</v>
      </c>
      <c r="AF4" s="222">
        <f>ROUND(data!E87,0)</f>
        <v>8461944</v>
      </c>
      <c r="AG4" s="222">
        <f>IF(data!E90&gt;0,ROUND(data!E90,0),0)</f>
        <v>5391</v>
      </c>
      <c r="AH4" s="222">
        <f>IF(data!E91&gt;0,ROUND(data!E91,0),0)</f>
        <v>13283</v>
      </c>
      <c r="AI4" s="222">
        <f>IF(data!E92&gt;0,ROUND(data!E92,0),0)</f>
        <v>996</v>
      </c>
      <c r="AJ4" s="222">
        <f>IF(data!E93&gt;0,ROUND(data!E93,0),0)</f>
        <v>41713</v>
      </c>
      <c r="AK4" s="212">
        <f>IF(data!E94&gt;0,ROUND(data!E94,2),0)</f>
        <v>11.67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046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046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046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046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046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782</v>
      </c>
      <c r="F9" s="212">
        <f>ROUND(data!J60,2)</f>
        <v>3</v>
      </c>
      <c r="G9" s="222">
        <f>ROUND(data!J61,0)</f>
        <v>220087</v>
      </c>
      <c r="H9" s="222">
        <f>ROUND(data!J62,0)</f>
        <v>48125</v>
      </c>
      <c r="I9" s="222">
        <f>ROUND(data!J63,0)</f>
        <v>295532</v>
      </c>
      <c r="J9" s="222">
        <f>ROUND(data!J64,0)</f>
        <v>36955</v>
      </c>
      <c r="K9" s="222">
        <f>ROUND(data!J65,0)</f>
        <v>0</v>
      </c>
      <c r="L9" s="222">
        <f>ROUND(data!J66,0)</f>
        <v>7054</v>
      </c>
      <c r="M9" s="66">
        <f>ROUND(data!J67,0)</f>
        <v>44504</v>
      </c>
      <c r="N9" s="222">
        <f>ROUND(data!J68,0)</f>
        <v>11172</v>
      </c>
      <c r="O9" s="222">
        <f>ROUND(data!J69,0)</f>
        <v>6408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6408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2416721</v>
      </c>
      <c r="AF9" s="222">
        <f>ROUND(data!J87,0)</f>
        <v>1903694</v>
      </c>
      <c r="AG9" s="222">
        <f>IF(data!J90&gt;0,ROUND(data!J90,0),0)</f>
        <v>1213</v>
      </c>
      <c r="AH9" s="222">
        <f>IF(data!J91&gt;0,ROUND(data!J91,0),0)</f>
        <v>0</v>
      </c>
      <c r="AI9" s="222">
        <f>IF(data!J92&gt;0,ROUND(data!J92,0),0)</f>
        <v>224</v>
      </c>
      <c r="AJ9" s="222">
        <f>IF(data!J93&gt;0,ROUND(data!J93,0),0)</f>
        <v>9384</v>
      </c>
      <c r="AK9" s="212">
        <f>IF(data!J94&gt;0,ROUND(data!J94,2),0)</f>
        <v>3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046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046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1224</v>
      </c>
      <c r="F11" s="212">
        <f>ROUND(data!L60,2)</f>
        <v>5.76</v>
      </c>
      <c r="G11" s="222">
        <f>ROUND(data!L61,0)</f>
        <v>344483</v>
      </c>
      <c r="H11" s="222">
        <f>ROUND(data!L62,0)</f>
        <v>75325</v>
      </c>
      <c r="I11" s="222">
        <f>ROUND(data!L63,0)</f>
        <v>462571</v>
      </c>
      <c r="J11" s="222">
        <f>ROUND(data!L64,0)</f>
        <v>57842</v>
      </c>
      <c r="K11" s="222">
        <f>ROUND(data!L65,0)</f>
        <v>0</v>
      </c>
      <c r="L11" s="222">
        <f>ROUND(data!L66,0)</f>
        <v>11041</v>
      </c>
      <c r="M11" s="66">
        <f>ROUND(data!L67,0)</f>
        <v>69635</v>
      </c>
      <c r="N11" s="222">
        <f>ROUND(data!L68,0)</f>
        <v>17486</v>
      </c>
      <c r="O11" s="222">
        <f>ROUND(data!L69,0)</f>
        <v>10030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10030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3782694</v>
      </c>
      <c r="AF11" s="222">
        <f>ROUND(data!L87,0)</f>
        <v>2979695</v>
      </c>
      <c r="AG11" s="222">
        <f>IF(data!L90&gt;0,ROUND(data!L90,0),0)</f>
        <v>1898</v>
      </c>
      <c r="AH11" s="222">
        <f>IF(data!L91&gt;0,ROUND(data!L91,0),0)</f>
        <v>4677</v>
      </c>
      <c r="AI11" s="222">
        <f>IF(data!L92&gt;0,ROUND(data!L92,0),0)</f>
        <v>351</v>
      </c>
      <c r="AJ11" s="222">
        <f>IF(data!L93&gt;0,ROUND(data!L93,0),0)</f>
        <v>14688</v>
      </c>
      <c r="AK11" s="212">
        <f>IF(data!L94&gt;0,ROUND(data!L94,2),0)</f>
        <v>4.1100000000000003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046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046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046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782</v>
      </c>
      <c r="F14" s="212">
        <f>ROUND(data!O60,2)</f>
        <v>12.98</v>
      </c>
      <c r="G14" s="222">
        <f>ROUND(data!O61,0)</f>
        <v>1728713</v>
      </c>
      <c r="H14" s="222">
        <f>ROUND(data!O62,0)</f>
        <v>378004</v>
      </c>
      <c r="I14" s="222">
        <f>ROUND(data!O63,0)</f>
        <v>378237</v>
      </c>
      <c r="J14" s="222">
        <f>ROUND(data!O64,0)</f>
        <v>235609</v>
      </c>
      <c r="K14" s="222">
        <f>ROUND(data!O65,0)</f>
        <v>0</v>
      </c>
      <c r="L14" s="222">
        <f>ROUND(data!O66,0)</f>
        <v>9440</v>
      </c>
      <c r="M14" s="66">
        <f>ROUND(data!O67,0)</f>
        <v>99317</v>
      </c>
      <c r="N14" s="222">
        <f>ROUND(data!O68,0)</f>
        <v>7498</v>
      </c>
      <c r="O14" s="222">
        <f>ROUND(data!O69,0)</f>
        <v>14600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14600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3873216</v>
      </c>
      <c r="AF14" s="222">
        <f>ROUND(data!O87,0)</f>
        <v>3386971</v>
      </c>
      <c r="AG14" s="222">
        <f>IF(data!O90&gt;0,ROUND(data!O90,0),0)</f>
        <v>2707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17490</v>
      </c>
      <c r="AK14" s="212">
        <f>IF(data!O94&gt;0,ROUND(data!O94,2),0)</f>
        <v>12.98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046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207711</v>
      </c>
      <c r="F15" s="212">
        <f>ROUND(data!P60,2)</f>
        <v>38.01</v>
      </c>
      <c r="G15" s="222">
        <f>ROUND(data!P61,0)</f>
        <v>2532045</v>
      </c>
      <c r="H15" s="222">
        <f>ROUND(data!P62,0)</f>
        <v>553662</v>
      </c>
      <c r="I15" s="222">
        <f>ROUND(data!P63,0)</f>
        <v>78141</v>
      </c>
      <c r="J15" s="222">
        <f>ROUND(data!P64,0)</f>
        <v>5000559</v>
      </c>
      <c r="K15" s="222">
        <f>ROUND(data!P65,0)</f>
        <v>0</v>
      </c>
      <c r="L15" s="222">
        <f>ROUND(data!P66,0)</f>
        <v>329966</v>
      </c>
      <c r="M15" s="66">
        <f>ROUND(data!P67,0)</f>
        <v>272965</v>
      </c>
      <c r="N15" s="222">
        <f>ROUND(data!P68,0)</f>
        <v>68592</v>
      </c>
      <c r="O15" s="222">
        <f>ROUND(data!P69,0)</f>
        <v>254634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254634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5200</v>
      </c>
      <c r="AE15" s="222">
        <f>ROUND(data!P89,0)</f>
        <v>49701291</v>
      </c>
      <c r="AF15" s="222">
        <f>ROUND(data!P87,0)</f>
        <v>6637007</v>
      </c>
      <c r="AG15" s="222">
        <f>IF(data!P90&gt;0,ROUND(data!P90,0),0)</f>
        <v>7440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20281</v>
      </c>
      <c r="AK15" s="212">
        <f>IF(data!P94&gt;0,ROUND(data!P94,2),0)</f>
        <v>22.69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046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046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1345450</v>
      </c>
      <c r="J17" s="222">
        <f>ROUND(data!R64,0)</f>
        <v>64163</v>
      </c>
      <c r="K17" s="222">
        <f>ROUND(data!R65,0)</f>
        <v>0</v>
      </c>
      <c r="L17" s="222">
        <f>ROUND(data!R66,0)</f>
        <v>-2191</v>
      </c>
      <c r="M17" s="66">
        <f>ROUND(data!R67,0)</f>
        <v>5907</v>
      </c>
      <c r="N17" s="222">
        <f>ROUND(data!R68,0)</f>
        <v>0</v>
      </c>
      <c r="O17" s="222">
        <f>ROUND(data!R69,0)</f>
        <v>10093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10093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14919034</v>
      </c>
      <c r="AF17" s="222">
        <f>ROUND(data!R87,0)</f>
        <v>3803377</v>
      </c>
      <c r="AG17" s="222">
        <f>IF(data!R90&gt;0,ROUND(data!R90,0),0)</f>
        <v>161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046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5.76</v>
      </c>
      <c r="G18" s="222">
        <f>ROUND(data!S61,0)</f>
        <v>273247</v>
      </c>
      <c r="H18" s="222">
        <f>ROUND(data!S62,0)</f>
        <v>59749</v>
      </c>
      <c r="I18" s="222">
        <f>ROUND(data!S63,0)</f>
        <v>0</v>
      </c>
      <c r="J18" s="222">
        <f>ROUND(data!S64,0)</f>
        <v>-81833</v>
      </c>
      <c r="K18" s="222">
        <f>ROUND(data!S65,0)</f>
        <v>5595</v>
      </c>
      <c r="L18" s="222">
        <f>ROUND(data!S66,0)</f>
        <v>11503</v>
      </c>
      <c r="M18" s="66">
        <f>ROUND(data!S67,0)</f>
        <v>52832</v>
      </c>
      <c r="N18" s="222">
        <f>ROUND(data!S68,0)</f>
        <v>10061</v>
      </c>
      <c r="O18" s="222">
        <f>ROUND(data!S69,0)</f>
        <v>150934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150934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10587205</v>
      </c>
      <c r="AF18" s="222">
        <f>ROUND(data!S87,0)</f>
        <v>1161988</v>
      </c>
      <c r="AG18" s="222">
        <f>IF(data!S90&gt;0,ROUND(data!S90,0),0)</f>
        <v>1440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046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046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182998</v>
      </c>
      <c r="F20" s="212">
        <f>ROUND(data!U60,2)</f>
        <v>27.23</v>
      </c>
      <c r="G20" s="222">
        <f>ROUND(data!U61,0)</f>
        <v>1757280</v>
      </c>
      <c r="H20" s="222">
        <f>ROUND(data!U62,0)</f>
        <v>384250</v>
      </c>
      <c r="I20" s="222">
        <f>ROUND(data!U63,0)</f>
        <v>8250</v>
      </c>
      <c r="J20" s="222">
        <f>ROUND(data!U64,0)</f>
        <v>1549094</v>
      </c>
      <c r="K20" s="222">
        <f>ROUND(data!U65,0)</f>
        <v>0</v>
      </c>
      <c r="L20" s="222">
        <f>ROUND(data!U66,0)</f>
        <v>487053</v>
      </c>
      <c r="M20" s="66">
        <f>ROUND(data!U67,0)</f>
        <v>59326</v>
      </c>
      <c r="N20" s="222">
        <f>ROUND(data!U68,0)</f>
        <v>5702</v>
      </c>
      <c r="O20" s="222">
        <f>ROUND(data!U69,0)</f>
        <v>73458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73458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25655420</v>
      </c>
      <c r="AF20" s="222">
        <f>ROUND(data!U87,0)</f>
        <v>4267943</v>
      </c>
      <c r="AG20" s="222">
        <f>IF(data!U90&gt;0,ROUND(data!U90,0),0)</f>
        <v>1617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519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046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046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1091</v>
      </c>
      <c r="F22" s="212">
        <f>ROUND(data!W60,2)</f>
        <v>1.4</v>
      </c>
      <c r="G22" s="222">
        <f>ROUND(data!W61,0)</f>
        <v>117723</v>
      </c>
      <c r="H22" s="222">
        <f>ROUND(data!W62,0)</f>
        <v>25742</v>
      </c>
      <c r="I22" s="222">
        <f>ROUND(data!W63,0)</f>
        <v>2513</v>
      </c>
      <c r="J22" s="222">
        <f>ROUND(data!W64,0)</f>
        <v>21050</v>
      </c>
      <c r="K22" s="222">
        <f>ROUND(data!W65,0)</f>
        <v>0</v>
      </c>
      <c r="L22" s="222">
        <f>ROUND(data!W66,0)</f>
        <v>36671</v>
      </c>
      <c r="M22" s="66">
        <f>ROUND(data!W67,0)</f>
        <v>14089</v>
      </c>
      <c r="N22" s="222">
        <f>ROUND(data!W68,0)</f>
        <v>5539</v>
      </c>
      <c r="O22" s="222">
        <f>ROUND(data!W69,0)</f>
        <v>2648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2648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3135616</v>
      </c>
      <c r="AF22" s="222">
        <f>ROUND(data!W87,0)</f>
        <v>183819</v>
      </c>
      <c r="AG22" s="222">
        <f>IF(data!W90&gt;0,ROUND(data!W90,0),0)</f>
        <v>384</v>
      </c>
      <c r="AH22" s="222">
        <f>IF(data!W91&gt;0,ROUND(data!W91,0),0)</f>
        <v>0</v>
      </c>
      <c r="AI22" s="222">
        <f>IF(data!W92&gt;0,ROUND(data!W92,0),0)</f>
        <v>71</v>
      </c>
      <c r="AJ22" s="222">
        <f>IF(data!W93&gt;0,ROUND(data!W93,0),0)</f>
        <v>898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046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5064</v>
      </c>
      <c r="F23" s="212">
        <f>ROUND(data!X60,2)</f>
        <v>10.54</v>
      </c>
      <c r="G23" s="222">
        <f>ROUND(data!X61,0)</f>
        <v>885431</v>
      </c>
      <c r="H23" s="222">
        <f>ROUND(data!X62,0)</f>
        <v>193610</v>
      </c>
      <c r="I23" s="222">
        <f>ROUND(data!X63,0)</f>
        <v>18902</v>
      </c>
      <c r="J23" s="222">
        <f>ROUND(data!X64,0)</f>
        <v>158328</v>
      </c>
      <c r="K23" s="222">
        <f>ROUND(data!X65,0)</f>
        <v>0</v>
      </c>
      <c r="L23" s="222">
        <f>ROUND(data!X66,0)</f>
        <v>275817</v>
      </c>
      <c r="M23" s="66">
        <f>ROUND(data!X67,0)</f>
        <v>105884</v>
      </c>
      <c r="N23" s="222">
        <f>ROUND(data!X68,0)</f>
        <v>41659</v>
      </c>
      <c r="O23" s="222">
        <f>ROUND(data!X69,0)</f>
        <v>19915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19915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23584019</v>
      </c>
      <c r="AF23" s="222">
        <f>ROUND(data!X87,0)</f>
        <v>1382564</v>
      </c>
      <c r="AG23" s="222">
        <f>IF(data!X90&gt;0,ROUND(data!X90,0),0)</f>
        <v>2886</v>
      </c>
      <c r="AH23" s="222">
        <f>IF(data!X91&gt;0,ROUND(data!X91,0),0)</f>
        <v>0</v>
      </c>
      <c r="AI23" s="222">
        <f>IF(data!X92&gt;0,ROUND(data!X92,0),0)</f>
        <v>553</v>
      </c>
      <c r="AJ23" s="222">
        <f>IF(data!X93&gt;0,ROUND(data!X93,0),0)</f>
        <v>6754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046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27640</v>
      </c>
      <c r="F24" s="212">
        <f>ROUND(data!Y60,2)</f>
        <v>8.4499999999999993</v>
      </c>
      <c r="G24" s="222">
        <f>ROUND(data!Y61,0)</f>
        <v>709262</v>
      </c>
      <c r="H24" s="222">
        <f>ROUND(data!Y62,0)</f>
        <v>155089</v>
      </c>
      <c r="I24" s="222">
        <f>ROUND(data!Y63,0)</f>
        <v>1107112</v>
      </c>
      <c r="J24" s="222">
        <f>ROUND(data!Y64,0)</f>
        <v>126826</v>
      </c>
      <c r="K24" s="222">
        <f>ROUND(data!Y65,0)</f>
        <v>0</v>
      </c>
      <c r="L24" s="222">
        <f>ROUND(data!Y66,0)</f>
        <v>220940</v>
      </c>
      <c r="M24" s="66">
        <f>ROUND(data!Y67,0)</f>
        <v>84825</v>
      </c>
      <c r="N24" s="222">
        <f>ROUND(data!Y68,0)</f>
        <v>33370</v>
      </c>
      <c r="O24" s="222">
        <f>ROUND(data!Y69,0)</f>
        <v>15953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15953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18891648</v>
      </c>
      <c r="AF24" s="222">
        <f>ROUND(data!Y87,0)</f>
        <v>1107483</v>
      </c>
      <c r="AG24" s="222">
        <f>IF(data!Y90&gt;0,ROUND(data!Y90,0),0)</f>
        <v>2312</v>
      </c>
      <c r="AH24" s="222">
        <f>IF(data!Y91&gt;0,ROUND(data!Y91,0),0)</f>
        <v>0</v>
      </c>
      <c r="AI24" s="222">
        <f>IF(data!Y92&gt;0,ROUND(data!Y92,0),0)</f>
        <v>427</v>
      </c>
      <c r="AJ24" s="222">
        <f>IF(data!Y93&gt;0,ROUND(data!Y93,0),0)</f>
        <v>5410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046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046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046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3.87</v>
      </c>
      <c r="G27" s="222">
        <f>ROUND(data!AB61,0)</f>
        <v>330552</v>
      </c>
      <c r="H27" s="222">
        <f>ROUND(data!AB62,0)</f>
        <v>72279</v>
      </c>
      <c r="I27" s="222">
        <f>ROUND(data!AB63,0)</f>
        <v>0</v>
      </c>
      <c r="J27" s="222">
        <f>ROUND(data!AB64,0)</f>
        <v>1584018</v>
      </c>
      <c r="K27" s="222">
        <f>ROUND(data!AB65,0)</f>
        <v>0</v>
      </c>
      <c r="L27" s="222">
        <f>ROUND(data!AB66,0)</f>
        <v>188990</v>
      </c>
      <c r="M27" s="66">
        <f>ROUND(data!AB67,0)</f>
        <v>14565</v>
      </c>
      <c r="N27" s="222">
        <f>ROUND(data!AB68,0)</f>
        <v>10474</v>
      </c>
      <c r="O27" s="222">
        <f>ROUND(data!AB69,0)</f>
        <v>4785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4785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6034</v>
      </c>
      <c r="AE27" s="222">
        <f>ROUND(data!AB89,0)</f>
        <v>8632263</v>
      </c>
      <c r="AF27" s="222">
        <f>ROUND(data!AB87,0)</f>
        <v>3437156</v>
      </c>
      <c r="AG27" s="222">
        <f>IF(data!AB90&gt;0,ROUND(data!AB90,0),0)</f>
        <v>397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046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0</v>
      </c>
      <c r="F28" s="212">
        <f>ROUND(data!AC60,2)</f>
        <v>9.7899999999999991</v>
      </c>
      <c r="G28" s="222">
        <f>ROUND(data!AC61,0)</f>
        <v>606450</v>
      </c>
      <c r="H28" s="222">
        <f>ROUND(data!AC62,0)</f>
        <v>132608</v>
      </c>
      <c r="I28" s="222">
        <f>ROUND(data!AC63,0)</f>
        <v>171410</v>
      </c>
      <c r="J28" s="222">
        <f>ROUND(data!AC64,0)</f>
        <v>78087</v>
      </c>
      <c r="K28" s="222">
        <f>ROUND(data!AC65,0)</f>
        <v>0</v>
      </c>
      <c r="L28" s="222">
        <f>ROUND(data!AC66,0)</f>
        <v>6375</v>
      </c>
      <c r="M28" s="66">
        <f>ROUND(data!AC67,0)</f>
        <v>28214</v>
      </c>
      <c r="N28" s="222">
        <f>ROUND(data!AC68,0)</f>
        <v>23859</v>
      </c>
      <c r="O28" s="222">
        <f>ROUND(data!AC69,0)</f>
        <v>4739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4739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3950708</v>
      </c>
      <c r="AF28" s="222">
        <f>ROUND(data!AC87,0)</f>
        <v>1870093</v>
      </c>
      <c r="AG28" s="222">
        <f>IF(data!AC90&gt;0,ROUND(data!AC90,0),0)</f>
        <v>769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1128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046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046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13242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1511645</v>
      </c>
      <c r="J30" s="222">
        <f>ROUND(data!AE64,0)</f>
        <v>23818</v>
      </c>
      <c r="K30" s="222">
        <f>ROUND(data!AE65,0)</f>
        <v>9984</v>
      </c>
      <c r="L30" s="222">
        <f>ROUND(data!AE66,0)</f>
        <v>30341</v>
      </c>
      <c r="M30" s="66">
        <f>ROUND(data!AE67,0)</f>
        <v>108856</v>
      </c>
      <c r="N30" s="222">
        <f>ROUND(data!AE68,0)</f>
        <v>49178</v>
      </c>
      <c r="O30" s="222">
        <f>ROUND(data!AE69,0)</f>
        <v>1325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1325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7533693</v>
      </c>
      <c r="AF30" s="222">
        <f>ROUND(data!AE87,0)</f>
        <v>430395</v>
      </c>
      <c r="AG30" s="222">
        <f>IF(data!AE90&gt;0,ROUND(data!AE90,0),0)</f>
        <v>2967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9319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046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046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16543</v>
      </c>
      <c r="F32" s="212">
        <f>ROUND(data!AG60,2)</f>
        <v>23.71</v>
      </c>
      <c r="G32" s="222">
        <f>ROUND(data!AG61,0)</f>
        <v>3855409</v>
      </c>
      <c r="H32" s="222">
        <f>ROUND(data!AG62,0)</f>
        <v>843031</v>
      </c>
      <c r="I32" s="222">
        <f>ROUND(data!AG63,0)</f>
        <v>663880</v>
      </c>
      <c r="J32" s="222">
        <f>ROUND(data!AG64,0)</f>
        <v>212491</v>
      </c>
      <c r="K32" s="222">
        <f>ROUND(data!AG65,0)</f>
        <v>0</v>
      </c>
      <c r="L32" s="222">
        <f>ROUND(data!AG66,0)</f>
        <v>27518</v>
      </c>
      <c r="M32" s="66">
        <f>ROUND(data!AG67,0)</f>
        <v>121807</v>
      </c>
      <c r="N32" s="222">
        <f>ROUND(data!AG68,0)</f>
        <v>17553</v>
      </c>
      <c r="O32" s="222">
        <f>ROUND(data!AG69,0)</f>
        <v>42242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42242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35171925</v>
      </c>
      <c r="AF32" s="222">
        <f>ROUND(data!AG87,0)</f>
        <v>1406486</v>
      </c>
      <c r="AG32" s="222">
        <f>IF(data!AG90&gt;0,ROUND(data!AG90,0),0)</f>
        <v>3320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33342</v>
      </c>
      <c r="AK32" s="212">
        <f>IF(data!AG94&gt;0,ROUND(data!AG94,2),0)</f>
        <v>11.64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046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1900</v>
      </c>
      <c r="F33" s="212">
        <f>ROUND(data!AH60,2)</f>
        <v>18.13</v>
      </c>
      <c r="G33" s="222">
        <f>ROUND(data!AH61,0)</f>
        <v>880531</v>
      </c>
      <c r="H33" s="222">
        <f>ROUND(data!AH62,0)</f>
        <v>192539</v>
      </c>
      <c r="I33" s="222">
        <f>ROUND(data!AH63,0)</f>
        <v>0</v>
      </c>
      <c r="J33" s="222">
        <f>ROUND(data!AH64,0)</f>
        <v>29401</v>
      </c>
      <c r="K33" s="222">
        <f>ROUND(data!AH65,0)</f>
        <v>51361</v>
      </c>
      <c r="L33" s="222">
        <f>ROUND(data!AH66,0)</f>
        <v>40787</v>
      </c>
      <c r="M33" s="66">
        <f>ROUND(data!AH67,0)</f>
        <v>23408</v>
      </c>
      <c r="N33" s="222">
        <f>ROUND(data!AH68,0)</f>
        <v>163</v>
      </c>
      <c r="O33" s="222">
        <f>ROUND(data!AH69,0)</f>
        <v>14166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14166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2285113</v>
      </c>
      <c r="AF33" s="222">
        <f>ROUND(data!AH87,0)</f>
        <v>0</v>
      </c>
      <c r="AG33" s="222">
        <f>IF(data!AH90&gt;0,ROUND(data!AH90,0),0)</f>
        <v>638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1782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046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4205</v>
      </c>
      <c r="F34" s="212">
        <f>ROUND(data!AI60,2)</f>
        <v>2.81</v>
      </c>
      <c r="G34" s="222">
        <f>ROUND(data!AI61,0)</f>
        <v>287279</v>
      </c>
      <c r="H34" s="222">
        <f>ROUND(data!AI62,0)</f>
        <v>62817</v>
      </c>
      <c r="I34" s="222">
        <f>ROUND(data!AI63,0)</f>
        <v>1688</v>
      </c>
      <c r="J34" s="222">
        <f>ROUND(data!AI64,0)</f>
        <v>100103</v>
      </c>
      <c r="K34" s="222">
        <f>ROUND(data!AI65,0)</f>
        <v>0</v>
      </c>
      <c r="L34" s="222">
        <f>ROUND(data!AI66,0)</f>
        <v>118425</v>
      </c>
      <c r="M34" s="66">
        <f>ROUND(data!AI67,0)</f>
        <v>23518</v>
      </c>
      <c r="N34" s="222">
        <f>ROUND(data!AI68,0)</f>
        <v>5284</v>
      </c>
      <c r="O34" s="222">
        <f>ROUND(data!AI69,0)</f>
        <v>31047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31047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3215881</v>
      </c>
      <c r="AF34" s="222">
        <f>ROUND(data!AI87,0)</f>
        <v>78394</v>
      </c>
      <c r="AG34" s="222">
        <f>IF(data!AI90&gt;0,ROUND(data!AI90,0),0)</f>
        <v>641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2233</v>
      </c>
      <c r="AK34" s="212">
        <f>IF(data!AI94&gt;0,ROUND(data!AI94,2),0)</f>
        <v>1.95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046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59517</v>
      </c>
      <c r="F35" s="212">
        <f>ROUND(data!AJ60,2)</f>
        <v>90.56</v>
      </c>
      <c r="G35" s="222">
        <f>ROUND(data!AJ61,0)</f>
        <v>12484749</v>
      </c>
      <c r="H35" s="222">
        <f>ROUND(data!AJ62,0)</f>
        <v>2729939</v>
      </c>
      <c r="I35" s="222">
        <f>ROUND(data!AJ63,0)</f>
        <v>751308</v>
      </c>
      <c r="J35" s="222">
        <f>ROUND(data!AJ64,0)</f>
        <v>939181</v>
      </c>
      <c r="K35" s="222">
        <f>ROUND(data!AJ65,0)</f>
        <v>56805</v>
      </c>
      <c r="L35" s="222">
        <f>ROUND(data!AJ66,0)</f>
        <v>304929</v>
      </c>
      <c r="M35" s="66">
        <f>ROUND(data!AJ67,0)</f>
        <v>1151994</v>
      </c>
      <c r="N35" s="222">
        <f>ROUND(data!AJ68,0)</f>
        <v>211320</v>
      </c>
      <c r="O35" s="222">
        <f>ROUND(data!AJ69,0)</f>
        <v>186126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186126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22169727</v>
      </c>
      <c r="AF35" s="222">
        <f>ROUND(data!AJ87,0)</f>
        <v>1447947</v>
      </c>
      <c r="AG35" s="222">
        <f>IF(data!AJ90&gt;0,ROUND(data!AJ90,0),0)</f>
        <v>31399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7197</v>
      </c>
      <c r="AK35" s="212">
        <f>IF(data!AJ94&gt;0,ROUND(data!AJ94,2),0)</f>
        <v>10.79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046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1647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219541</v>
      </c>
      <c r="J36" s="222">
        <f>ROUND(data!AK64,0)</f>
        <v>2378</v>
      </c>
      <c r="K36" s="222">
        <f>ROUND(data!AK65,0)</f>
        <v>670</v>
      </c>
      <c r="L36" s="222">
        <f>ROUND(data!AK66,0)</f>
        <v>2205</v>
      </c>
      <c r="M36" s="66">
        <f>ROUND(data!AK67,0)</f>
        <v>18821</v>
      </c>
      <c r="N36" s="222">
        <f>ROUND(data!AK68,0)</f>
        <v>11499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753048</v>
      </c>
      <c r="AF36" s="222">
        <f>ROUND(data!AK87,0)</f>
        <v>288741</v>
      </c>
      <c r="AG36" s="222">
        <f>IF(data!AK90&gt;0,ROUND(data!AK90,0),0)</f>
        <v>513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046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2698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259247</v>
      </c>
      <c r="J37" s="222">
        <f>ROUND(data!AL64,0)</f>
        <v>4752</v>
      </c>
      <c r="K37" s="222">
        <f>ROUND(data!AL65,0)</f>
        <v>335</v>
      </c>
      <c r="L37" s="222">
        <f>ROUND(data!AL66,0)</f>
        <v>1103</v>
      </c>
      <c r="M37" s="66">
        <f>ROUND(data!AL67,0)</f>
        <v>12217</v>
      </c>
      <c r="N37" s="222">
        <f>ROUND(data!AL68,0)</f>
        <v>5742</v>
      </c>
      <c r="O37" s="222">
        <f>ROUND(data!AL69,0)</f>
        <v>817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817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1050246</v>
      </c>
      <c r="AF37" s="222">
        <f>ROUND(data!AL87,0)</f>
        <v>74724</v>
      </c>
      <c r="AG37" s="222">
        <f>IF(data!AL90&gt;0,ROUND(data!AL90,0),0)</f>
        <v>333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046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046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046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17999</v>
      </c>
      <c r="F40" s="212">
        <f>ROUND(data!AO60,2)</f>
        <v>4.03</v>
      </c>
      <c r="G40" s="222">
        <f>ROUND(data!AO61,0)</f>
        <v>200104</v>
      </c>
      <c r="H40" s="222">
        <f>ROUND(data!AO62,0)</f>
        <v>43755</v>
      </c>
      <c r="I40" s="222">
        <f>ROUND(data!AO63,0)</f>
        <v>268699</v>
      </c>
      <c r="J40" s="222">
        <f>ROUND(data!AO64,0)</f>
        <v>33599</v>
      </c>
      <c r="K40" s="222">
        <f>ROUND(data!AO65,0)</f>
        <v>0</v>
      </c>
      <c r="L40" s="222">
        <f>ROUND(data!AO66,0)</f>
        <v>6412</v>
      </c>
      <c r="M40" s="66">
        <f>ROUND(data!AO67,0)</f>
        <v>40431</v>
      </c>
      <c r="N40" s="222">
        <f>ROUND(data!AO68,0)</f>
        <v>10157</v>
      </c>
      <c r="O40" s="222">
        <f>ROUND(data!AO69,0)</f>
        <v>5826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5826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2197301</v>
      </c>
      <c r="AF40" s="222">
        <f>ROUND(data!AO87,0)</f>
        <v>1730852</v>
      </c>
      <c r="AG40" s="222">
        <f>IF(data!AO90&gt;0,ROUND(data!AO90,0),0)</f>
        <v>1102</v>
      </c>
      <c r="AH40" s="222">
        <f>IF(data!AO91&gt;0,ROUND(data!AO91,0),0)</f>
        <v>2717</v>
      </c>
      <c r="AI40" s="222">
        <f>IF(data!AO92&gt;0,ROUND(data!AO92,0),0)</f>
        <v>203</v>
      </c>
      <c r="AJ40" s="222">
        <f>IF(data!AO93&gt;0,ROUND(data!AO93,0),0)</f>
        <v>8532</v>
      </c>
      <c r="AK40" s="212">
        <f>IF(data!AO94&gt;0,ROUND(data!AO94,2),0)</f>
        <v>2.0099999999999998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046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2461</v>
      </c>
      <c r="F41" s="212">
        <f>ROUND(data!AP60,2)</f>
        <v>3.06</v>
      </c>
      <c r="G41" s="222">
        <f>ROUND(data!AP61,0)</f>
        <v>576169</v>
      </c>
      <c r="H41" s="222">
        <f>ROUND(data!AP62,0)</f>
        <v>125986</v>
      </c>
      <c r="I41" s="222">
        <f>ROUND(data!AP63,0)</f>
        <v>0</v>
      </c>
      <c r="J41" s="222">
        <f>ROUND(data!AP64,0)</f>
        <v>52435</v>
      </c>
      <c r="K41" s="222">
        <f>ROUND(data!AP65,0)</f>
        <v>3558</v>
      </c>
      <c r="L41" s="222">
        <f>ROUND(data!AP66,0)</f>
        <v>6741</v>
      </c>
      <c r="M41" s="66">
        <f>ROUND(data!AP67,0)</f>
        <v>87870</v>
      </c>
      <c r="N41" s="222">
        <f>ROUND(data!AP68,0)</f>
        <v>58065</v>
      </c>
      <c r="O41" s="222">
        <f>ROUND(data!AP69,0)</f>
        <v>24946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24946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1174525</v>
      </c>
      <c r="AF41" s="222">
        <f>ROUND(data!AP87,0)</f>
        <v>0</v>
      </c>
      <c r="AG41" s="222">
        <f>IF(data!AP90&gt;0,ROUND(data!AP90,0),0)</f>
        <v>2395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046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046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046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046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046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046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046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046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046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20677</v>
      </c>
      <c r="F50" s="212">
        <f>ROUND(data!AY60,2)</f>
        <v>9.35</v>
      </c>
      <c r="G50" s="222">
        <f>ROUND(data!AY61,0)</f>
        <v>458201</v>
      </c>
      <c r="H50" s="222">
        <f>ROUND(data!AY62,0)</f>
        <v>100191</v>
      </c>
      <c r="I50" s="222">
        <f>ROUND(data!AY63,0)</f>
        <v>0</v>
      </c>
      <c r="J50" s="222">
        <f>ROUND(data!AY64,0)</f>
        <v>185813</v>
      </c>
      <c r="K50" s="222">
        <f>ROUND(data!AY65,0)</f>
        <v>0</v>
      </c>
      <c r="L50" s="222">
        <f>ROUND(data!AY66,0)</f>
        <v>223793</v>
      </c>
      <c r="M50" s="66">
        <f>ROUND(data!AY67,0)</f>
        <v>79248</v>
      </c>
      <c r="N50" s="222">
        <f>ROUND(data!AY68,0)</f>
        <v>0</v>
      </c>
      <c r="O50" s="222">
        <f>ROUND(data!AY69,0)</f>
        <v>5198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5198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130535</v>
      </c>
      <c r="AE50" s="222"/>
      <c r="AF50" s="222"/>
      <c r="AG50" s="222">
        <f>IF(data!AY90&gt;0,ROUND(data!AY90,0),0)</f>
        <v>2160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046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046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1.96</v>
      </c>
      <c r="G52" s="222">
        <f>ROUND(data!BA61,0)</f>
        <v>74469</v>
      </c>
      <c r="H52" s="222">
        <f>ROUND(data!BA62,0)</f>
        <v>16284</v>
      </c>
      <c r="I52" s="222">
        <f>ROUND(data!BA63,0)</f>
        <v>0</v>
      </c>
      <c r="J52" s="222">
        <f>ROUND(data!BA64,0)</f>
        <v>57420</v>
      </c>
      <c r="K52" s="222">
        <f>ROUND(data!BA65,0)</f>
        <v>0</v>
      </c>
      <c r="L52" s="222">
        <f>ROUND(data!BA66,0)</f>
        <v>39554</v>
      </c>
      <c r="M52" s="66">
        <f>ROUND(data!BA67,0)</f>
        <v>32580</v>
      </c>
      <c r="N52" s="222">
        <f>ROUND(data!BA68,0)</f>
        <v>0</v>
      </c>
      <c r="O52" s="222">
        <f>ROUND(data!BA69,0)</f>
        <v>3005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3005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888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046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3.55</v>
      </c>
      <c r="G53" s="222">
        <f>ROUND(data!BB61,0)</f>
        <v>375543</v>
      </c>
      <c r="H53" s="222">
        <f>ROUND(data!BB62,0)</f>
        <v>82117</v>
      </c>
      <c r="I53" s="222">
        <f>ROUND(data!BB63,0)</f>
        <v>0</v>
      </c>
      <c r="J53" s="222">
        <f>ROUND(data!BB64,0)</f>
        <v>2327</v>
      </c>
      <c r="K53" s="222">
        <f>ROUND(data!BB65,0)</f>
        <v>0</v>
      </c>
      <c r="L53" s="222">
        <f>ROUND(data!BB66,0)</f>
        <v>17986</v>
      </c>
      <c r="M53" s="66">
        <f>ROUND(data!BB67,0)</f>
        <v>10420</v>
      </c>
      <c r="N53" s="222">
        <f>ROUND(data!BB68,0)</f>
        <v>0</v>
      </c>
      <c r="O53" s="222">
        <f>ROUND(data!BB69,0)</f>
        <v>1371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1371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284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046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046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046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103932</v>
      </c>
      <c r="F56" s="212">
        <f>ROUND(data!BE60,2)</f>
        <v>7.55</v>
      </c>
      <c r="G56" s="222">
        <f>ROUND(data!BE61,0)</f>
        <v>389513</v>
      </c>
      <c r="H56" s="222">
        <f>ROUND(data!BE62,0)</f>
        <v>85172</v>
      </c>
      <c r="I56" s="222">
        <f>ROUND(data!BE63,0)</f>
        <v>0</v>
      </c>
      <c r="J56" s="222">
        <f>ROUND(data!BE64,0)</f>
        <v>39754</v>
      </c>
      <c r="K56" s="222">
        <f>ROUND(data!BE65,0)</f>
        <v>325652</v>
      </c>
      <c r="L56" s="222">
        <f>ROUND(data!BE66,0)</f>
        <v>110695</v>
      </c>
      <c r="M56" s="66">
        <f>ROUND(data!BE67,0)</f>
        <v>230039</v>
      </c>
      <c r="N56" s="222">
        <f>ROUND(data!BE68,0)</f>
        <v>2773</v>
      </c>
      <c r="O56" s="222">
        <f>ROUND(data!BE69,0)</f>
        <v>18690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18690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6270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046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10.89</v>
      </c>
      <c r="G57" s="222">
        <f>ROUND(data!BF61,0)</f>
        <v>432036</v>
      </c>
      <c r="H57" s="222">
        <f>ROUND(data!BF62,0)</f>
        <v>94470</v>
      </c>
      <c r="I57" s="222">
        <f>ROUND(data!BF63,0)</f>
        <v>0</v>
      </c>
      <c r="J57" s="222">
        <f>ROUND(data!BF64,0)</f>
        <v>56895</v>
      </c>
      <c r="K57" s="222">
        <f>ROUND(data!BF65,0)</f>
        <v>0</v>
      </c>
      <c r="L57" s="222">
        <f>ROUND(data!BF66,0)</f>
        <v>2543</v>
      </c>
      <c r="M57" s="66">
        <f>ROUND(data!BF67,0)</f>
        <v>30819</v>
      </c>
      <c r="N57" s="222">
        <f>ROUND(data!BF68,0)</f>
        <v>0</v>
      </c>
      <c r="O57" s="222">
        <f>ROUND(data!BF69,0)</f>
        <v>3583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3583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840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046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046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7.65</v>
      </c>
      <c r="G59" s="222">
        <f>ROUND(data!BH61,0)</f>
        <v>516761</v>
      </c>
      <c r="H59" s="222">
        <f>ROUND(data!BH62,0)</f>
        <v>112996</v>
      </c>
      <c r="I59" s="222">
        <f>ROUND(data!BH63,0)</f>
        <v>0</v>
      </c>
      <c r="J59" s="222">
        <f>ROUND(data!BH64,0)</f>
        <v>1719304</v>
      </c>
      <c r="K59" s="222">
        <f>ROUND(data!BH65,0)</f>
        <v>113828</v>
      </c>
      <c r="L59" s="222">
        <f>ROUND(data!BH66,0)</f>
        <v>99456</v>
      </c>
      <c r="M59" s="66">
        <f>ROUND(data!BH67,0)</f>
        <v>25389</v>
      </c>
      <c r="N59" s="222">
        <f>ROUND(data!BH68,0)</f>
        <v>109669</v>
      </c>
      <c r="O59" s="222">
        <f>ROUND(data!BH69,0)</f>
        <v>191527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191527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692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046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046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5.14</v>
      </c>
      <c r="G61" s="222">
        <f>ROUND(data!BJ61,0)</f>
        <v>584176</v>
      </c>
      <c r="H61" s="222">
        <f>ROUND(data!BJ62,0)</f>
        <v>127737</v>
      </c>
      <c r="I61" s="222">
        <f>ROUND(data!BJ63,0)</f>
        <v>127620</v>
      </c>
      <c r="J61" s="222">
        <f>ROUND(data!BJ64,0)</f>
        <v>123780</v>
      </c>
      <c r="K61" s="222">
        <f>ROUND(data!BJ65,0)</f>
        <v>0</v>
      </c>
      <c r="L61" s="222">
        <f>ROUND(data!BJ66,0)</f>
        <v>19640</v>
      </c>
      <c r="M61" s="66">
        <f>ROUND(data!BJ67,0)</f>
        <v>23334</v>
      </c>
      <c r="N61" s="222">
        <f>ROUND(data!BJ68,0)</f>
        <v>74</v>
      </c>
      <c r="O61" s="222">
        <f>ROUND(data!BJ69,0)</f>
        <v>103153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103153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636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046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24.95</v>
      </c>
      <c r="G62" s="222">
        <f>ROUND(data!BK61,0)</f>
        <v>1200422</v>
      </c>
      <c r="H62" s="222">
        <f>ROUND(data!BK62,0)</f>
        <v>262487</v>
      </c>
      <c r="I62" s="222">
        <f>ROUND(data!BK63,0)</f>
        <v>281291</v>
      </c>
      <c r="J62" s="222">
        <f>ROUND(data!BK64,0)</f>
        <v>26104</v>
      </c>
      <c r="K62" s="222">
        <f>ROUND(data!BK65,0)</f>
        <v>0</v>
      </c>
      <c r="L62" s="222">
        <f>ROUND(data!BK66,0)</f>
        <v>238309</v>
      </c>
      <c r="M62" s="66">
        <f>ROUND(data!BK67,0)</f>
        <v>18858</v>
      </c>
      <c r="N62" s="222">
        <f>ROUND(data!BK68,0)</f>
        <v>7345</v>
      </c>
      <c r="O62" s="222">
        <f>ROUND(data!BK69,0)</f>
        <v>132548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132548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514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046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628664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17135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046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046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7.21</v>
      </c>
      <c r="G65" s="222">
        <f>ROUND(data!BN61,0)</f>
        <v>2539711</v>
      </c>
      <c r="H65" s="222">
        <f>ROUND(data!BN62,0)</f>
        <v>555338</v>
      </c>
      <c r="I65" s="222">
        <f>ROUND(data!BN63,0)</f>
        <v>447894</v>
      </c>
      <c r="J65" s="222">
        <f>ROUND(data!BN64,0)</f>
        <v>226861</v>
      </c>
      <c r="K65" s="222">
        <f>ROUND(data!BN65,0)</f>
        <v>0</v>
      </c>
      <c r="L65" s="222">
        <f>ROUND(data!BN66,0)</f>
        <v>517380</v>
      </c>
      <c r="M65" s="66">
        <f>ROUND(data!BN67,0)</f>
        <v>22380</v>
      </c>
      <c r="N65" s="222">
        <f>ROUND(data!BN68,0)</f>
        <v>0</v>
      </c>
      <c r="O65" s="222">
        <f>ROUND(data!BN69,0)</f>
        <v>444938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444938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0</v>
      </c>
      <c r="AD65" s="222">
        <f>ROUND(data!BN84,0)</f>
        <v>13726</v>
      </c>
      <c r="AE65" s="222"/>
      <c r="AF65" s="222"/>
      <c r="AG65" s="222">
        <f>IF(data!BN90&gt;0,ROUND(data!BN90,0),0)</f>
        <v>610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046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0.14000000000000001</v>
      </c>
      <c r="G66" s="222">
        <f>ROUND(data!BO61,0)</f>
        <v>42973</v>
      </c>
      <c r="H66" s="222">
        <f>ROUND(data!BO62,0)</f>
        <v>9397</v>
      </c>
      <c r="I66" s="222">
        <f>ROUND(data!BO63,0)</f>
        <v>0</v>
      </c>
      <c r="J66" s="222">
        <f>ROUND(data!BO64,0)</f>
        <v>9077</v>
      </c>
      <c r="K66" s="222">
        <f>ROUND(data!BO65,0)</f>
        <v>0</v>
      </c>
      <c r="L66" s="222">
        <f>ROUND(data!BO66,0)</f>
        <v>9973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046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4.26</v>
      </c>
      <c r="G67" s="222">
        <f>ROUND(data!BP61,0)</f>
        <v>302646</v>
      </c>
      <c r="H67" s="222">
        <f>ROUND(data!BP62,0)</f>
        <v>66177</v>
      </c>
      <c r="I67" s="222">
        <f>ROUND(data!BP63,0)</f>
        <v>0</v>
      </c>
      <c r="J67" s="222">
        <f>ROUND(data!BP64,0)</f>
        <v>480462</v>
      </c>
      <c r="K67" s="222">
        <f>ROUND(data!BP65,0)</f>
        <v>0</v>
      </c>
      <c r="L67" s="222">
        <f>ROUND(data!BP66,0)</f>
        <v>1227272</v>
      </c>
      <c r="M67" s="66">
        <f>ROUND(data!BP67,0)</f>
        <v>0</v>
      </c>
      <c r="N67" s="222">
        <f>ROUND(data!BP68,0)</f>
        <v>4620</v>
      </c>
      <c r="O67" s="222">
        <f>ROUND(data!BP69,0)</f>
        <v>109070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109070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046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046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4.04</v>
      </c>
      <c r="G69" s="222">
        <f>ROUND(data!BR61,0)</f>
        <v>373301</v>
      </c>
      <c r="H69" s="222">
        <f>ROUND(data!BR62,0)</f>
        <v>81627</v>
      </c>
      <c r="I69" s="222">
        <f>ROUND(data!BR63,0)</f>
        <v>129445</v>
      </c>
      <c r="J69" s="222">
        <f>ROUND(data!BR64,0)</f>
        <v>347197</v>
      </c>
      <c r="K69" s="222">
        <f>ROUND(data!BR65,0)</f>
        <v>0</v>
      </c>
      <c r="L69" s="222">
        <f>ROUND(data!BR66,0)</f>
        <v>50767</v>
      </c>
      <c r="M69" s="66">
        <f>ROUND(data!BR67,0)</f>
        <v>9429</v>
      </c>
      <c r="N69" s="222">
        <f>ROUND(data!BR68,0)</f>
        <v>0</v>
      </c>
      <c r="O69" s="222">
        <f>ROUND(data!BR69,0)</f>
        <v>116291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116291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257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046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046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046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046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8.92</v>
      </c>
      <c r="G73" s="222">
        <f>ROUND(data!BV61,0)</f>
        <v>473745</v>
      </c>
      <c r="H73" s="222">
        <f>ROUND(data!BV62,0)</f>
        <v>103590</v>
      </c>
      <c r="I73" s="222">
        <f>ROUND(data!BV63,0)</f>
        <v>241913</v>
      </c>
      <c r="J73" s="222">
        <f>ROUND(data!BV64,0)</f>
        <v>5077</v>
      </c>
      <c r="K73" s="222">
        <f>ROUND(data!BV65,0)</f>
        <v>0</v>
      </c>
      <c r="L73" s="222">
        <f>ROUND(data!BV66,0)</f>
        <v>111378</v>
      </c>
      <c r="M73" s="66">
        <f>ROUND(data!BV67,0)</f>
        <v>36615</v>
      </c>
      <c r="N73" s="222">
        <f>ROUND(data!BV68,0)</f>
        <v>2225</v>
      </c>
      <c r="O73" s="222">
        <f>ROUND(data!BV69,0)</f>
        <v>3424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3424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20853</v>
      </c>
      <c r="AE73" s="222"/>
      <c r="AF73" s="222"/>
      <c r="AG73" s="222">
        <f>IF(data!BV90&gt;0,ROUND(data!BV90,0),0)</f>
        <v>998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046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2.98</v>
      </c>
      <c r="G74" s="222">
        <f>ROUND(data!BW61,0)</f>
        <v>277956</v>
      </c>
      <c r="H74" s="222">
        <f>ROUND(data!BW62,0)</f>
        <v>60778</v>
      </c>
      <c r="I74" s="222">
        <f>ROUND(data!BW63,0)</f>
        <v>47400</v>
      </c>
      <c r="J74" s="222">
        <f>ROUND(data!BW64,0)</f>
        <v>19591</v>
      </c>
      <c r="K74" s="222">
        <f>ROUND(data!BW65,0)</f>
        <v>0</v>
      </c>
      <c r="L74" s="222">
        <f>ROUND(data!BW66,0)</f>
        <v>51118</v>
      </c>
      <c r="M74" s="66">
        <f>ROUND(data!BW67,0)</f>
        <v>6017</v>
      </c>
      <c r="N74" s="222">
        <f>ROUND(data!BW68,0)</f>
        <v>0</v>
      </c>
      <c r="O74" s="222">
        <f>ROUND(data!BW69,0)</f>
        <v>8228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8228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25850</v>
      </c>
      <c r="AE74" s="222"/>
      <c r="AF74" s="222"/>
      <c r="AG74" s="222">
        <f>IF(data!BW90&gt;0,ROUND(data!BW90,0),0)</f>
        <v>164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046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1218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046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10.92</v>
      </c>
      <c r="G76" s="222">
        <f>ROUND(data!BY61,0)</f>
        <v>1323788</v>
      </c>
      <c r="H76" s="222">
        <f>ROUND(data!BY62,0)</f>
        <v>289462</v>
      </c>
      <c r="I76" s="222">
        <f>ROUND(data!BY63,0)</f>
        <v>2441</v>
      </c>
      <c r="J76" s="222">
        <f>ROUND(data!BY64,0)</f>
        <v>1285</v>
      </c>
      <c r="K76" s="222">
        <f>ROUND(data!BY65,0)</f>
        <v>0</v>
      </c>
      <c r="L76" s="222">
        <f>ROUND(data!BY66,0)</f>
        <v>43352</v>
      </c>
      <c r="M76" s="66">
        <f>ROUND(data!BY67,0)</f>
        <v>20582</v>
      </c>
      <c r="N76" s="222">
        <f>ROUND(data!BY68,0)</f>
        <v>0</v>
      </c>
      <c r="O76" s="222">
        <f>ROUND(data!BY69,0)</f>
        <v>2317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2317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849</v>
      </c>
      <c r="AE76" s="222"/>
      <c r="AF76" s="222"/>
      <c r="AG76" s="222">
        <f>IF(data!BY90&gt;0,ROUND(data!BY90,0),0)</f>
        <v>561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046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046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046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046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9" workbookViewId="0">
      <selection activeCell="C42" sqref="C42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PHM Medical Center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H-046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723 Memorial St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+data!C99</f>
        <v>723 Memorial St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CONCATENATE(data!C100,", ",data!C101,", ",data!C102)</f>
        <v>Prosser, WA, 99350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 t="str">
        <f>data!C104</f>
        <v>Craig Marks</v>
      </c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 t="str">
        <f>data!C106</f>
        <v>Stephen Kenny</v>
      </c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49" zoomScaleNormal="100" workbookViewId="0">
      <selection activeCell="I63" sqref="I6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1383</v>
      </c>
    </row>
    <row r="3" spans="1:13" x14ac:dyDescent="0.25">
      <c r="A3" s="67"/>
    </row>
    <row r="4" spans="1:13" x14ac:dyDescent="0.25">
      <c r="A4" s="163" t="s">
        <v>693</v>
      </c>
    </row>
    <row r="5" spans="1:13" x14ac:dyDescent="0.25">
      <c r="A5" s="163" t="s">
        <v>694</v>
      </c>
    </row>
    <row r="6" spans="1:13" x14ac:dyDescent="0.25">
      <c r="A6" s="163" t="s">
        <v>695</v>
      </c>
    </row>
    <row r="7" spans="1:13" x14ac:dyDescent="0.25">
      <c r="A7" s="163"/>
    </row>
    <row r="8" spans="1:13" x14ac:dyDescent="0.25">
      <c r="A8" s="2" t="s">
        <v>696</v>
      </c>
    </row>
    <row r="9" spans="1:13" x14ac:dyDescent="0.25">
      <c r="A9" s="163" t="s">
        <v>17</v>
      </c>
    </row>
    <row r="12" spans="1:13" x14ac:dyDescent="0.25">
      <c r="A12" s="1" t="str">
        <f>data!C97</f>
        <v>046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25">
      <c r="A13" s="2"/>
      <c r="B13" s="275" t="s">
        <v>697</v>
      </c>
      <c r="C13" s="275" t="s">
        <v>697</v>
      </c>
      <c r="D13" s="5" t="s">
        <v>698</v>
      </c>
      <c r="E13" s="5" t="s">
        <v>698</v>
      </c>
      <c r="F13" s="3" t="s">
        <v>699</v>
      </c>
      <c r="G13" s="3" t="s">
        <v>699</v>
      </c>
      <c r="H13" s="3" t="s">
        <v>700</v>
      </c>
    </row>
    <row r="14" spans="1:13" x14ac:dyDescent="0.25">
      <c r="A14" s="1" t="s">
        <v>701</v>
      </c>
      <c r="B14" s="275" t="s">
        <v>337</v>
      </c>
      <c r="C14" s="275" t="s">
        <v>337</v>
      </c>
      <c r="D14" s="4" t="s">
        <v>702</v>
      </c>
      <c r="E14" s="4" t="s">
        <v>702</v>
      </c>
      <c r="F14" s="3" t="s">
        <v>703</v>
      </c>
      <c r="G14" s="3" t="s">
        <v>703</v>
      </c>
      <c r="H14" s="3" t="s">
        <v>704</v>
      </c>
      <c r="I14" s="8" t="s">
        <v>705</v>
      </c>
      <c r="J14" s="68" t="s">
        <v>706</v>
      </c>
    </row>
    <row r="15" spans="1:13" x14ac:dyDescent="0.25">
      <c r="A15" s="1" t="s">
        <v>707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708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25">
      <c r="A17" s="1" t="s">
        <v>709</v>
      </c>
      <c r="B17" s="275">
        <f>'Prior Year'!E86</f>
        <v>2846331</v>
      </c>
      <c r="C17" s="275">
        <f>data!E85</f>
        <v>2977393</v>
      </c>
      <c r="D17" s="275">
        <f>'Prior Year'!E60</f>
        <v>3472</v>
      </c>
      <c r="E17" s="1">
        <f>data!E59</f>
        <v>3476</v>
      </c>
      <c r="F17" s="238">
        <f t="shared" si="0"/>
        <v>819.79579493087556</v>
      </c>
      <c r="G17" s="238">
        <f t="shared" si="1"/>
        <v>856.55724971231302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25">
      <c r="A18" s="1" t="s">
        <v>710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25">
      <c r="A19" s="1" t="s">
        <v>711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25">
      <c r="A20" s="1" t="s">
        <v>712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25">
      <c r="A21" s="1" t="s">
        <v>713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25">
      <c r="A22" s="1" t="s">
        <v>714</v>
      </c>
      <c r="B22" s="275">
        <f>'Prior Year'!J86</f>
        <v>662398</v>
      </c>
      <c r="C22" s="275">
        <f>data!J85</f>
        <v>669837</v>
      </c>
      <c r="D22" s="275">
        <f>'Prior Year'!J60</f>
        <v>808</v>
      </c>
      <c r="E22" s="1">
        <f>data!J59</f>
        <v>782</v>
      </c>
      <c r="F22" s="238">
        <f t="shared" si="0"/>
        <v>819.79950495049502</v>
      </c>
      <c r="G22" s="238">
        <f t="shared" si="1"/>
        <v>856.56905370843992</v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25">
      <c r="A23" s="1" t="s">
        <v>715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25">
      <c r="A24" s="1" t="s">
        <v>716</v>
      </c>
      <c r="B24" s="275">
        <f>'Prior Year'!L86</f>
        <v>660767</v>
      </c>
      <c r="C24" s="275">
        <f>data!L85</f>
        <v>1048413</v>
      </c>
      <c r="D24" s="275">
        <f>'Prior Year'!L60</f>
        <v>806</v>
      </c>
      <c r="E24" s="1">
        <f>data!L59</f>
        <v>1224</v>
      </c>
      <c r="F24" s="238">
        <f t="shared" si="0"/>
        <v>819.81017369727044</v>
      </c>
      <c r="G24" s="238">
        <f t="shared" si="1"/>
        <v>856.54656862745094</v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25">
      <c r="A25" s="1" t="s">
        <v>717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25">
      <c r="A26" s="1" t="s">
        <v>718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ht="30" x14ac:dyDescent="0.25">
      <c r="A27" s="1" t="s">
        <v>719</v>
      </c>
      <c r="B27" s="275">
        <f>'Prior Year'!O86</f>
        <v>2347395</v>
      </c>
      <c r="C27" s="275">
        <f>data!O85</f>
        <v>2851418</v>
      </c>
      <c r="D27" s="275">
        <f>'Prior Year'!O60</f>
        <v>808</v>
      </c>
      <c r="E27" s="1">
        <f>data!O59</f>
        <v>782</v>
      </c>
      <c r="F27" s="238">
        <f t="shared" si="0"/>
        <v>2905.1918316831684</v>
      </c>
      <c r="G27" s="238">
        <f t="shared" si="1"/>
        <v>3646.314578005115</v>
      </c>
      <c r="H27" s="6">
        <f t="shared" si="2"/>
        <v>0.2551028604168164</v>
      </c>
      <c r="I27" s="370" t="s">
        <v>1379</v>
      </c>
      <c r="M27" s="7"/>
    </row>
    <row r="28" spans="1:13" x14ac:dyDescent="0.25">
      <c r="A28" s="1" t="s">
        <v>720</v>
      </c>
      <c r="B28" s="275">
        <f>'Prior Year'!P86</f>
        <v>7398139</v>
      </c>
      <c r="C28" s="275">
        <f>data!P85</f>
        <v>9085364</v>
      </c>
      <c r="D28" s="275">
        <f>'Prior Year'!P60</f>
        <v>158568</v>
      </c>
      <c r="E28" s="1">
        <f>data!P59</f>
        <v>207711</v>
      </c>
      <c r="F28" s="238">
        <f t="shared" si="0"/>
        <v>46.655939407698902</v>
      </c>
      <c r="G28" s="238">
        <f t="shared" si="1"/>
        <v>43.740408548415829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25">
      <c r="A29" s="1" t="s">
        <v>721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25">
      <c r="A30" s="1" t="s">
        <v>722</v>
      </c>
      <c r="B30" s="275">
        <f>'Prior Year'!R86</f>
        <v>1075392</v>
      </c>
      <c r="C30" s="275">
        <f>data!R85</f>
        <v>1423422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25">
      <c r="A31" s="1" t="s">
        <v>723</v>
      </c>
      <c r="B31" s="275">
        <f>'Prior Year'!S86</f>
        <v>221082</v>
      </c>
      <c r="C31" s="275">
        <f>data!S85</f>
        <v>482088</v>
      </c>
      <c r="D31" s="275" t="s">
        <v>724</v>
      </c>
      <c r="E31" s="4" t="s">
        <v>724</v>
      </c>
      <c r="F31" s="238"/>
      <c r="G31" s="238" t="str">
        <f t="shared" ref="G31:G32" si="4">IFERROR(IF(C31=0,"",IF(E31=0,"",C31/E31)),"")</f>
        <v/>
      </c>
      <c r="H31" s="6"/>
      <c r="I31" s="275" t="str">
        <f t="shared" si="3"/>
        <v/>
      </c>
      <c r="M31" s="7"/>
    </row>
    <row r="32" spans="1:13" x14ac:dyDescent="0.25">
      <c r="A32" s="1" t="s">
        <v>725</v>
      </c>
      <c r="B32" s="275">
        <f>'Prior Year'!T86</f>
        <v>0</v>
      </c>
      <c r="C32" s="275">
        <f>data!T85</f>
        <v>0</v>
      </c>
      <c r="D32" s="275" t="s">
        <v>724</v>
      </c>
      <c r="E32" s="4" t="s">
        <v>724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25">
      <c r="A33" s="1" t="s">
        <v>726</v>
      </c>
      <c r="B33" s="275">
        <f>'Prior Year'!U86</f>
        <v>4133094</v>
      </c>
      <c r="C33" s="275">
        <f>data!U85</f>
        <v>4324413</v>
      </c>
      <c r="D33" s="275">
        <f>'Prior Year'!U60</f>
        <v>171918</v>
      </c>
      <c r="E33" s="1">
        <f>data!U59</f>
        <v>182998</v>
      </c>
      <c r="F33" s="238">
        <f t="shared" si="0"/>
        <v>24.04107772310055</v>
      </c>
      <c r="G33" s="238">
        <f t="shared" ref="G33:G69" si="5">IF(C33=0,"",IF(E33=0,"",C33/E33))</f>
        <v>23.630930392681886</v>
      </c>
      <c r="H33" s="6" t="str">
        <f t="shared" si="2"/>
        <v/>
      </c>
      <c r="I33" s="370" t="str">
        <f t="shared" si="3"/>
        <v>Please provide explanation for the fluctuation noted here</v>
      </c>
      <c r="M33" s="7"/>
    </row>
    <row r="34" spans="1:13" x14ac:dyDescent="0.25">
      <c r="A34" s="1" t="s">
        <v>727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370" t="str">
        <f t="shared" si="3"/>
        <v>Please provide explanation for the fluctuation noted here</v>
      </c>
      <c r="M34" s="7"/>
    </row>
    <row r="35" spans="1:13" ht="45" x14ac:dyDescent="0.25">
      <c r="A35" s="1" t="s">
        <v>728</v>
      </c>
      <c r="B35" s="275">
        <f>'Prior Year'!W86</f>
        <v>233671</v>
      </c>
      <c r="C35" s="275">
        <f>data!W85</f>
        <v>225975</v>
      </c>
      <c r="D35" s="275">
        <f>'Prior Year'!W60</f>
        <v>1595</v>
      </c>
      <c r="E35" s="1">
        <f>data!W59</f>
        <v>1091</v>
      </c>
      <c r="F35" s="238">
        <f t="shared" si="0"/>
        <v>146.50219435736676</v>
      </c>
      <c r="G35" s="238">
        <f t="shared" si="5"/>
        <v>207.12648945921174</v>
      </c>
      <c r="H35" s="6">
        <f t="shared" si="2"/>
        <v>0.4138115157098774</v>
      </c>
      <c r="I35" s="370" t="str">
        <f>I37</f>
        <v>Purchased Services for the Radiology department (which includes MRIs and CTs) increased by about $125,000 in FY22 as compared to the PY.</v>
      </c>
      <c r="M35" s="7"/>
    </row>
    <row r="36" spans="1:13" x14ac:dyDescent="0.25">
      <c r="A36" s="1" t="s">
        <v>729</v>
      </c>
      <c r="B36" s="275">
        <f>'Prior Year'!X86</f>
        <v>2098935</v>
      </c>
      <c r="C36" s="275">
        <f>data!X85</f>
        <v>1699546</v>
      </c>
      <c r="D36" s="275">
        <f>'Prior Year'!X60</f>
        <v>7129</v>
      </c>
      <c r="E36" s="1">
        <f>data!X59</f>
        <v>5064</v>
      </c>
      <c r="F36" s="238">
        <f t="shared" si="0"/>
        <v>294.42207883293588</v>
      </c>
      <c r="G36" s="238">
        <f t="shared" si="5"/>
        <v>335.61334913112165</v>
      </c>
      <c r="H36" s="6" t="str">
        <f t="shared" si="2"/>
        <v/>
      </c>
      <c r="I36" s="370" t="str">
        <f t="shared" si="3"/>
        <v>Please provide explanation for the fluctuation noted here</v>
      </c>
      <c r="M36" s="7"/>
    </row>
    <row r="37" spans="1:13" ht="45" x14ac:dyDescent="0.25">
      <c r="A37" s="1" t="s">
        <v>730</v>
      </c>
      <c r="B37" s="275">
        <f>'Prior Year'!Y86</f>
        <v>1738123</v>
      </c>
      <c r="C37" s="275">
        <f>data!Y85</f>
        <v>2453377</v>
      </c>
      <c r="D37" s="275">
        <f>'Prior Year'!Y60</f>
        <v>25300</v>
      </c>
      <c r="E37" s="1">
        <f>data!Y59</f>
        <v>27640</v>
      </c>
      <c r="F37" s="238">
        <f t="shared" si="0"/>
        <v>68.70051383399209</v>
      </c>
      <c r="G37" s="238">
        <f t="shared" si="5"/>
        <v>88.761830680173659</v>
      </c>
      <c r="H37" s="6">
        <f t="shared" si="2"/>
        <v>0.2920111615854537</v>
      </c>
      <c r="I37" s="370" t="s">
        <v>1380</v>
      </c>
      <c r="M37" s="7"/>
    </row>
    <row r="38" spans="1:13" x14ac:dyDescent="0.25">
      <c r="A38" s="1" t="s">
        <v>731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370" t="str">
        <f t="shared" si="3"/>
        <v>Please provide explanation for the fluctuation noted here</v>
      </c>
      <c r="M38" s="7"/>
    </row>
    <row r="39" spans="1:13" x14ac:dyDescent="0.25">
      <c r="A39" s="1" t="s">
        <v>732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370" t="str">
        <f t="shared" si="3"/>
        <v>Please provide explanation for the fluctuation noted here</v>
      </c>
      <c r="M39" s="7"/>
    </row>
    <row r="40" spans="1:13" x14ac:dyDescent="0.25">
      <c r="A40" s="1" t="s">
        <v>733</v>
      </c>
      <c r="B40" s="275">
        <f>'Prior Year'!AB86</f>
        <v>2432458</v>
      </c>
      <c r="C40" s="275">
        <f>data!AB85</f>
        <v>2199629</v>
      </c>
      <c r="D40" s="275" t="s">
        <v>724</v>
      </c>
      <c r="E40" s="4" t="s">
        <v>724</v>
      </c>
      <c r="F40" s="238"/>
      <c r="G40" s="238" t="str">
        <f>IFERROR(IF(C40=0,"",IF(E40=0,"",C40/E40)),"")</f>
        <v/>
      </c>
      <c r="H40" s="6"/>
      <c r="I40" s="370" t="str">
        <f t="shared" si="3"/>
        <v/>
      </c>
      <c r="M40" s="7"/>
    </row>
    <row r="41" spans="1:13" x14ac:dyDescent="0.25">
      <c r="A41" s="1" t="s">
        <v>734</v>
      </c>
      <c r="B41" s="275">
        <f>'Prior Year'!AC86</f>
        <v>927002</v>
      </c>
      <c r="C41" s="275">
        <f>data!AC85</f>
        <v>1051742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25">
      <c r="A42" s="1" t="s">
        <v>735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25">
      <c r="A43" s="1" t="s">
        <v>736</v>
      </c>
      <c r="B43" s="275">
        <f>'Prior Year'!AE86</f>
        <v>1807391</v>
      </c>
      <c r="C43" s="275">
        <f>data!AE85</f>
        <v>1735147</v>
      </c>
      <c r="D43" s="275">
        <f>'Prior Year'!AE60</f>
        <v>13106</v>
      </c>
      <c r="E43" s="1">
        <f>data!AE59</f>
        <v>13242</v>
      </c>
      <c r="F43" s="238">
        <f t="shared" si="0"/>
        <v>137.90561574851213</v>
      </c>
      <c r="G43" s="238">
        <f t="shared" si="5"/>
        <v>131.03360519558979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25">
      <c r="A44" s="1" t="s">
        <v>737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25">
      <c r="A45" s="1" t="s">
        <v>738</v>
      </c>
      <c r="B45" s="275">
        <f>'Prior Year'!AG86</f>
        <v>4892950</v>
      </c>
      <c r="C45" s="275">
        <f>data!AG85</f>
        <v>5783931</v>
      </c>
      <c r="D45" s="275">
        <f>'Prior Year'!AG60</f>
        <v>13258</v>
      </c>
      <c r="E45" s="1">
        <f>data!AG59</f>
        <v>16543</v>
      </c>
      <c r="F45" s="238">
        <f t="shared" si="0"/>
        <v>369.05641876602806</v>
      </c>
      <c r="G45" s="238">
        <f t="shared" si="5"/>
        <v>349.63011545668866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25">
      <c r="A46" s="1" t="s">
        <v>739</v>
      </c>
      <c r="B46" s="275">
        <f>'Prior Year'!AH86</f>
        <v>1210315</v>
      </c>
      <c r="C46" s="275">
        <f>data!AH85</f>
        <v>1232356</v>
      </c>
      <c r="D46" s="275">
        <f>'Prior Year'!AH60</f>
        <v>1753</v>
      </c>
      <c r="E46" s="1">
        <f>data!AH59</f>
        <v>1900</v>
      </c>
      <c r="F46" s="238">
        <f t="shared" si="0"/>
        <v>690.42498573873365</v>
      </c>
      <c r="G46" s="238">
        <f t="shared" si="5"/>
        <v>648.60842105263157</v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ht="30" x14ac:dyDescent="0.25">
      <c r="A47" s="1" t="s">
        <v>740</v>
      </c>
      <c r="B47" s="275">
        <f>'Prior Year'!AI86</f>
        <v>400335</v>
      </c>
      <c r="C47" s="275">
        <f>data!AI85</f>
        <v>630161</v>
      </c>
      <c r="D47" s="275">
        <f>'Prior Year'!AI60</f>
        <v>3883</v>
      </c>
      <c r="E47" s="1">
        <f>data!AI59</f>
        <v>4205</v>
      </c>
      <c r="F47" s="238">
        <f t="shared" si="0"/>
        <v>103.0994076744785</v>
      </c>
      <c r="G47" s="238">
        <f t="shared" si="5"/>
        <v>149.85992865636146</v>
      </c>
      <c r="H47" s="6">
        <f t="shared" si="2"/>
        <v>0.45354791105611936</v>
      </c>
      <c r="I47" s="370" t="s">
        <v>1381</v>
      </c>
      <c r="M47" s="7"/>
    </row>
    <row r="48" spans="1:13" x14ac:dyDescent="0.25">
      <c r="A48" s="1" t="s">
        <v>741</v>
      </c>
      <c r="B48" s="275">
        <f>'Prior Year'!AJ86</f>
        <v>16812353</v>
      </c>
      <c r="C48" s="275">
        <f>data!AJ85</f>
        <v>18816351</v>
      </c>
      <c r="D48" s="275">
        <f>'Prior Year'!AJ60</f>
        <v>55882</v>
      </c>
      <c r="E48" s="1">
        <f>data!AJ59</f>
        <v>59517</v>
      </c>
      <c r="F48" s="238">
        <f t="shared" si="0"/>
        <v>300.85453276547008</v>
      </c>
      <c r="G48" s="238">
        <f t="shared" si="5"/>
        <v>316.15086445889409</v>
      </c>
      <c r="H48" s="6" t="str">
        <f t="shared" si="2"/>
        <v/>
      </c>
      <c r="I48" s="275" t="str">
        <f t="shared" ref="I48:I78" si="6">IF(H48&gt;ABS(25%),"Please provide explanation for the fluctuation noted here","")</f>
        <v>Please provide explanation for the fluctuation noted here</v>
      </c>
      <c r="M48" s="7"/>
    </row>
    <row r="49" spans="1:13" x14ac:dyDescent="0.25">
      <c r="A49" s="1" t="s">
        <v>742</v>
      </c>
      <c r="B49" s="275">
        <f>'Prior Year'!AK86</f>
        <v>249730</v>
      </c>
      <c r="C49" s="275">
        <f>data!AK85</f>
        <v>255114</v>
      </c>
      <c r="D49" s="275">
        <f>'Prior Year'!AK60</f>
        <v>1438</v>
      </c>
      <c r="E49" s="1">
        <f>data!AK59</f>
        <v>1647</v>
      </c>
      <c r="F49" s="238">
        <f t="shared" si="0"/>
        <v>173.66481223922113</v>
      </c>
      <c r="G49" s="238">
        <f t="shared" si="5"/>
        <v>154.89617486338798</v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25">
      <c r="A50" s="1" t="s">
        <v>743</v>
      </c>
      <c r="B50" s="275">
        <f>'Prior Year'!AL86</f>
        <v>244665</v>
      </c>
      <c r="C50" s="275">
        <f>data!AL85</f>
        <v>284213</v>
      </c>
      <c r="D50" s="275">
        <f>'Prior Year'!AL60</f>
        <v>2886</v>
      </c>
      <c r="E50" s="1">
        <f>data!AL59</f>
        <v>2698</v>
      </c>
      <c r="F50" s="238">
        <f t="shared" si="0"/>
        <v>84.776507276507274</v>
      </c>
      <c r="G50" s="238">
        <f t="shared" si="5"/>
        <v>105.34210526315789</v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25">
      <c r="A51" s="1" t="s">
        <v>744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25">
      <c r="A52" s="1" t="s">
        <v>745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25">
      <c r="A53" s="1" t="s">
        <v>746</v>
      </c>
      <c r="B53" s="275">
        <f>'Prior Year'!AO86</f>
        <v>614029</v>
      </c>
      <c r="C53" s="275">
        <f>data!AO85</f>
        <v>608983</v>
      </c>
      <c r="D53" s="275">
        <f>'Prior Year'!AO60</f>
        <v>17903</v>
      </c>
      <c r="E53" s="1">
        <f>data!AO59</f>
        <v>17999</v>
      </c>
      <c r="F53" s="238">
        <f t="shared" si="0"/>
        <v>34.297547897000506</v>
      </c>
      <c r="G53" s="238">
        <f t="shared" si="5"/>
        <v>33.834268570476141</v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ht="60" x14ac:dyDescent="0.25">
      <c r="A54" s="1" t="s">
        <v>747</v>
      </c>
      <c r="B54" s="275">
        <f>'Prior Year'!AP86</f>
        <v>428206</v>
      </c>
      <c r="C54" s="275">
        <f>data!AP85</f>
        <v>935770</v>
      </c>
      <c r="D54" s="275">
        <f>'Prior Year'!AP60</f>
        <v>687</v>
      </c>
      <c r="E54" s="1">
        <f>data!AP59</f>
        <v>2461</v>
      </c>
      <c r="F54" s="238">
        <f t="shared" si="0"/>
        <v>623.29839883551676</v>
      </c>
      <c r="G54" s="238">
        <f t="shared" si="5"/>
        <v>380.23973994311257</v>
      </c>
      <c r="H54" s="6">
        <f t="shared" si="2"/>
        <v>-0.38995553228838853</v>
      </c>
      <c r="I54" s="370" t="s">
        <v>1382</v>
      </c>
      <c r="M54" s="7"/>
    </row>
    <row r="55" spans="1:13" x14ac:dyDescent="0.25">
      <c r="A55" s="1" t="s">
        <v>748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25">
      <c r="A56" s="1" t="s">
        <v>749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25">
      <c r="A57" s="1" t="s">
        <v>750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25">
      <c r="A58" s="1" t="s">
        <v>751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25">
      <c r="A59" s="1" t="s">
        <v>752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25">
      <c r="A60" s="1" t="s">
        <v>753</v>
      </c>
      <c r="B60" s="275">
        <f>'Prior Year'!AV86</f>
        <v>0</v>
      </c>
      <c r="C60" s="275">
        <f>data!AV85</f>
        <v>0</v>
      </c>
      <c r="D60" s="275" t="s">
        <v>724</v>
      </c>
      <c r="E60" s="4" t="s">
        <v>724</v>
      </c>
      <c r="F60" s="238"/>
      <c r="G60" s="238"/>
      <c r="H60" s="6"/>
      <c r="I60" s="275" t="str">
        <f t="shared" si="6"/>
        <v/>
      </c>
      <c r="M60" s="7"/>
    </row>
    <row r="61" spans="1:13" x14ac:dyDescent="0.25">
      <c r="A61" s="1" t="s">
        <v>754</v>
      </c>
      <c r="B61" s="275">
        <f>'Prior Year'!AW86</f>
        <v>0</v>
      </c>
      <c r="C61" s="275">
        <f>data!AW85</f>
        <v>0</v>
      </c>
      <c r="D61" s="275" t="s">
        <v>724</v>
      </c>
      <c r="E61" s="4" t="s">
        <v>724</v>
      </c>
      <c r="F61" s="238"/>
      <c r="G61" s="238"/>
      <c r="H61" s="6"/>
      <c r="I61" s="275" t="str">
        <f t="shared" si="6"/>
        <v/>
      </c>
      <c r="M61" s="7"/>
    </row>
    <row r="62" spans="1:13" x14ac:dyDescent="0.25">
      <c r="A62" s="1" t="s">
        <v>755</v>
      </c>
      <c r="B62" s="275">
        <f>'Prior Year'!AX86</f>
        <v>0</v>
      </c>
      <c r="C62" s="275">
        <f>data!AX85</f>
        <v>0</v>
      </c>
      <c r="D62" s="275" t="s">
        <v>724</v>
      </c>
      <c r="E62" s="4" t="s">
        <v>724</v>
      </c>
      <c r="F62" s="238"/>
      <c r="G62" s="238"/>
      <c r="H62" s="6"/>
      <c r="I62" s="275" t="str">
        <f t="shared" si="6"/>
        <v/>
      </c>
      <c r="M62" s="7"/>
    </row>
    <row r="63" spans="1:13" ht="60" x14ac:dyDescent="0.25">
      <c r="A63" s="1" t="s">
        <v>756</v>
      </c>
      <c r="B63" s="275">
        <f>'Prior Year'!AY86</f>
        <v>807858</v>
      </c>
      <c r="C63" s="275">
        <f>data!AY85</f>
        <v>921909</v>
      </c>
      <c r="D63" s="275">
        <f>'Prior Year'!AY60</f>
        <v>21087</v>
      </c>
      <c r="E63" s="1">
        <f>data!AY59</f>
        <v>20677</v>
      </c>
      <c r="F63" s="238">
        <f>IF(B63=0,"",IF(D63=0,"",B63/D63))</f>
        <v>38.310712761416987</v>
      </c>
      <c r="G63" s="238">
        <f t="shared" si="5"/>
        <v>44.586206896551722</v>
      </c>
      <c r="H63" s="6" t="str">
        <f>IF(B63=0,"",IF(C63=0,"",IF(D63=0,"",IF(E63=0,"",IF(G63/F63-1&lt;-0.25,G63/F63-1,IF(G63/F63-1&gt;0.25,G63/F63-1,""))))))</f>
        <v/>
      </c>
      <c r="I63" s="370" t="s">
        <v>1384</v>
      </c>
      <c r="M63" s="7"/>
    </row>
    <row r="64" spans="1:13" x14ac:dyDescent="0.25">
      <c r="A64" s="1" t="s">
        <v>757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25">
      <c r="A65" s="1" t="s">
        <v>758</v>
      </c>
      <c r="B65" s="275">
        <f>'Prior Year'!BA86</f>
        <v>226758</v>
      </c>
      <c r="C65" s="275">
        <f>data!BA85</f>
        <v>223312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25">
      <c r="A66" s="1" t="s">
        <v>759</v>
      </c>
      <c r="B66" s="275">
        <f>'Prior Year'!BB86</f>
        <v>465760</v>
      </c>
      <c r="C66" s="275">
        <f>data!BB85</f>
        <v>489764</v>
      </c>
      <c r="D66" s="275" t="s">
        <v>724</v>
      </c>
      <c r="E66" s="4" t="s">
        <v>724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25">
      <c r="A67" s="1" t="s">
        <v>760</v>
      </c>
      <c r="B67" s="275">
        <f>'Prior Year'!BC86</f>
        <v>0</v>
      </c>
      <c r="C67" s="275">
        <f>data!BC85</f>
        <v>0</v>
      </c>
      <c r="D67" s="275" t="s">
        <v>724</v>
      </c>
      <c r="E67" s="4" t="s">
        <v>724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25">
      <c r="A68" s="1" t="s">
        <v>761</v>
      </c>
      <c r="B68" s="275">
        <f>'Prior Year'!BD86</f>
        <v>0</v>
      </c>
      <c r="C68" s="275">
        <f>data!BD85</f>
        <v>0</v>
      </c>
      <c r="D68" s="275" t="s">
        <v>724</v>
      </c>
      <c r="E68" s="4" t="s">
        <v>724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25">
      <c r="A69" s="1" t="s">
        <v>762</v>
      </c>
      <c r="B69" s="275">
        <f>'Prior Year'!BE86</f>
        <v>1069983</v>
      </c>
      <c r="C69" s="275">
        <f>data!BE85</f>
        <v>1202288</v>
      </c>
      <c r="D69" s="275">
        <f>'Prior Year'!BE60</f>
        <v>103932</v>
      </c>
      <c r="E69" s="1">
        <f>data!BE59</f>
        <v>103932</v>
      </c>
      <c r="F69" s="238">
        <f>IF(B69=0,"",IF(D69=0,"",B69/D69))</f>
        <v>10.295029442327676</v>
      </c>
      <c r="G69" s="238">
        <f t="shared" si="5"/>
        <v>11.568025247277065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25">
      <c r="A70" s="1" t="s">
        <v>763</v>
      </c>
      <c r="B70" s="275">
        <f>'Prior Year'!BF86</f>
        <v>601681</v>
      </c>
      <c r="C70" s="275">
        <f>data!BF85</f>
        <v>620346</v>
      </c>
      <c r="D70" s="275" t="s">
        <v>724</v>
      </c>
      <c r="E70" s="4" t="s">
        <v>724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25">
      <c r="A71" s="1" t="s">
        <v>764</v>
      </c>
      <c r="B71" s="275">
        <f>'Prior Year'!BG86</f>
        <v>0</v>
      </c>
      <c r="C71" s="275">
        <f>data!BG85</f>
        <v>0</v>
      </c>
      <c r="D71" s="275" t="s">
        <v>724</v>
      </c>
      <c r="E71" s="4" t="s">
        <v>724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25">
      <c r="A72" s="1" t="s">
        <v>765</v>
      </c>
      <c r="B72" s="275">
        <f>'Prior Year'!BH86</f>
        <v>2594072</v>
      </c>
      <c r="C72" s="275">
        <f>data!BH85</f>
        <v>2888930</v>
      </c>
      <c r="D72" s="275" t="s">
        <v>724</v>
      </c>
      <c r="E72" s="4" t="s">
        <v>724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25">
      <c r="A73" s="1" t="s">
        <v>766</v>
      </c>
      <c r="B73" s="275">
        <f>'Prior Year'!BI86</f>
        <v>0</v>
      </c>
      <c r="C73" s="275">
        <f>data!BI85</f>
        <v>0</v>
      </c>
      <c r="D73" s="275" t="s">
        <v>724</v>
      </c>
      <c r="E73" s="4" t="s">
        <v>724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25">
      <c r="A74" s="1" t="s">
        <v>767</v>
      </c>
      <c r="B74" s="275">
        <f>'Prior Year'!BJ86</f>
        <v>1147607</v>
      </c>
      <c r="C74" s="275">
        <f>data!BJ85</f>
        <v>1109514</v>
      </c>
      <c r="D74" s="275" t="s">
        <v>724</v>
      </c>
      <c r="E74" s="4" t="s">
        <v>724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25">
      <c r="A75" s="1" t="s">
        <v>768</v>
      </c>
      <c r="B75" s="275">
        <f>'Prior Year'!BK86</f>
        <v>1765911</v>
      </c>
      <c r="C75" s="275">
        <f>data!BK85</f>
        <v>2167364</v>
      </c>
      <c r="D75" s="275" t="s">
        <v>724</v>
      </c>
      <c r="E75" s="4" t="s">
        <v>724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25">
      <c r="A76" s="1" t="s">
        <v>769</v>
      </c>
      <c r="B76" s="275">
        <f>'Prior Year'!BL86</f>
        <v>0</v>
      </c>
      <c r="C76" s="275">
        <f>data!BL85</f>
        <v>628664</v>
      </c>
      <c r="D76" s="275" t="s">
        <v>724</v>
      </c>
      <c r="E76" s="4" t="s">
        <v>724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25">
      <c r="A77" s="1" t="s">
        <v>770</v>
      </c>
      <c r="B77" s="275">
        <f>'Prior Year'!BM86</f>
        <v>0</v>
      </c>
      <c r="C77" s="275">
        <f>data!BM85</f>
        <v>0</v>
      </c>
      <c r="D77" s="275" t="s">
        <v>724</v>
      </c>
      <c r="E77" s="4" t="s">
        <v>724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25">
      <c r="A78" s="1" t="s">
        <v>771</v>
      </c>
      <c r="B78" s="275">
        <f>'Prior Year'!BN86</f>
        <v>3962190</v>
      </c>
      <c r="C78" s="275">
        <f>data!BN85</f>
        <v>4740776</v>
      </c>
      <c r="D78" s="275" t="s">
        <v>724</v>
      </c>
      <c r="E78" s="4" t="s">
        <v>724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25">
      <c r="A79" s="1" t="s">
        <v>772</v>
      </c>
      <c r="B79" s="275">
        <f>'Prior Year'!BO86</f>
        <v>8927</v>
      </c>
      <c r="C79" s="275">
        <f>data!BO85</f>
        <v>71420</v>
      </c>
      <c r="D79" s="275" t="s">
        <v>724</v>
      </c>
      <c r="E79" s="4" t="s">
        <v>724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773</v>
      </c>
      <c r="B80" s="275">
        <f>'Prior Year'!BP86</f>
        <v>1728893</v>
      </c>
      <c r="C80" s="275">
        <f>data!BP85</f>
        <v>2190247</v>
      </c>
      <c r="D80" s="275" t="s">
        <v>724</v>
      </c>
      <c r="E80" s="4" t="s">
        <v>724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25">
      <c r="A81" s="1" t="s">
        <v>774</v>
      </c>
      <c r="B81" s="275">
        <f>'Prior Year'!BQ86</f>
        <v>0</v>
      </c>
      <c r="C81" s="275">
        <f>data!BQ85</f>
        <v>0</v>
      </c>
      <c r="D81" s="275" t="s">
        <v>724</v>
      </c>
      <c r="E81" s="4" t="s">
        <v>724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25">
      <c r="A82" s="1" t="s">
        <v>775</v>
      </c>
      <c r="B82" s="275">
        <f>'Prior Year'!BR86</f>
        <v>886850</v>
      </c>
      <c r="C82" s="275">
        <f>data!BR85</f>
        <v>1108057</v>
      </c>
      <c r="D82" s="275" t="s">
        <v>724</v>
      </c>
      <c r="E82" s="4" t="s">
        <v>724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25">
      <c r="A83" s="1" t="s">
        <v>776</v>
      </c>
      <c r="B83" s="275">
        <f>'Prior Year'!BS86</f>
        <v>0</v>
      </c>
      <c r="C83" s="275">
        <f>data!BS85</f>
        <v>0</v>
      </c>
      <c r="D83" s="275" t="s">
        <v>724</v>
      </c>
      <c r="E83" s="4" t="s">
        <v>724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25">
      <c r="A84" s="1" t="s">
        <v>777</v>
      </c>
      <c r="B84" s="275">
        <f>'Prior Year'!BT86</f>
        <v>0</v>
      </c>
      <c r="C84" s="275">
        <f>data!BT85</f>
        <v>0</v>
      </c>
      <c r="D84" s="275" t="s">
        <v>724</v>
      </c>
      <c r="E84" s="4" t="s">
        <v>724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25">
      <c r="A85" s="1" t="s">
        <v>778</v>
      </c>
      <c r="B85" s="275">
        <f>'Prior Year'!BU86</f>
        <v>0</v>
      </c>
      <c r="C85" s="275">
        <f>data!BU85</f>
        <v>0</v>
      </c>
      <c r="D85" s="275" t="s">
        <v>724</v>
      </c>
      <c r="E85" s="4" t="s">
        <v>724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25">
      <c r="A86" s="1" t="s">
        <v>779</v>
      </c>
      <c r="B86" s="275">
        <f>'Prior Year'!BV86</f>
        <v>731816</v>
      </c>
      <c r="C86" s="275">
        <f>data!BV85</f>
        <v>957114</v>
      </c>
      <c r="D86" s="275" t="s">
        <v>724</v>
      </c>
      <c r="E86" s="4" t="s">
        <v>724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25">
      <c r="A87" s="1" t="s">
        <v>780</v>
      </c>
      <c r="B87" s="275">
        <f>'Prior Year'!BW86</f>
        <v>374963</v>
      </c>
      <c r="C87" s="275">
        <f>data!BW85</f>
        <v>445238</v>
      </c>
      <c r="D87" s="275" t="s">
        <v>724</v>
      </c>
      <c r="E87" s="4" t="s">
        <v>724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25">
      <c r="A88" s="1" t="s">
        <v>781</v>
      </c>
      <c r="B88" s="275">
        <f>'Prior Year'!BX86</f>
        <v>18873</v>
      </c>
      <c r="C88" s="275">
        <f>data!BX85</f>
        <v>1218</v>
      </c>
      <c r="D88" s="275" t="s">
        <v>724</v>
      </c>
      <c r="E88" s="4" t="s">
        <v>724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25">
      <c r="A89" s="1" t="s">
        <v>782</v>
      </c>
      <c r="B89" s="275">
        <f>'Prior Year'!BY86</f>
        <v>1436936</v>
      </c>
      <c r="C89" s="275">
        <f>data!BY85</f>
        <v>1682378</v>
      </c>
      <c r="D89" s="275" t="s">
        <v>724</v>
      </c>
      <c r="E89" s="4" t="s">
        <v>724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25">
      <c r="A90" s="1" t="s">
        <v>783</v>
      </c>
      <c r="B90" s="275">
        <f>'Prior Year'!BZ86</f>
        <v>0</v>
      </c>
      <c r="C90" s="275">
        <f>data!BZ85</f>
        <v>0</v>
      </c>
      <c r="D90" s="275" t="s">
        <v>724</v>
      </c>
      <c r="E90" s="4" t="s">
        <v>724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25">
      <c r="A91" s="1" t="s">
        <v>784</v>
      </c>
      <c r="B91" s="275">
        <f>'Prior Year'!CA86</f>
        <v>0</v>
      </c>
      <c r="C91" s="275">
        <f>data!CA85</f>
        <v>0</v>
      </c>
      <c r="D91" s="275" t="s">
        <v>724</v>
      </c>
      <c r="E91" s="4" t="s">
        <v>724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25">
      <c r="A92" s="1" t="s">
        <v>785</v>
      </c>
      <c r="B92" s="275">
        <f>'Prior Year'!CB86</f>
        <v>0</v>
      </c>
      <c r="C92" s="275">
        <f>data!CB85</f>
        <v>0</v>
      </c>
      <c r="D92" s="275" t="s">
        <v>724</v>
      </c>
      <c r="E92" s="4" t="s">
        <v>724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25">
      <c r="A93" s="1" t="s">
        <v>786</v>
      </c>
      <c r="B93" s="275">
        <f>'Prior Year'!CC86</f>
        <v>0</v>
      </c>
      <c r="C93" s="275">
        <f>data!CC85</f>
        <v>0</v>
      </c>
      <c r="D93" s="275" t="s">
        <v>724</v>
      </c>
      <c r="E93" s="4" t="s">
        <v>724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25">
      <c r="A94" s="1" t="s">
        <v>787</v>
      </c>
      <c r="B94" s="275">
        <f>'Prior Year'!CD86</f>
        <v>-2410817</v>
      </c>
      <c r="C94" s="275">
        <f>data!CD85</f>
        <v>-33040</v>
      </c>
      <c r="D94" s="275" t="s">
        <v>724</v>
      </c>
      <c r="E94" s="4" t="s">
        <v>724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D25" sqref="D25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3" t="s">
        <v>1347</v>
      </c>
    </row>
    <row r="3" spans="1:4" x14ac:dyDescent="0.25">
      <c r="A3" s="11" t="s">
        <v>788</v>
      </c>
    </row>
    <row r="4" spans="1:4" x14ac:dyDescent="0.25">
      <c r="A4" s="331" t="s">
        <v>1345</v>
      </c>
    </row>
    <row r="5" spans="1:4" x14ac:dyDescent="0.25">
      <c r="A5" s="332" t="s">
        <v>1343</v>
      </c>
    </row>
    <row r="6" spans="1:4" x14ac:dyDescent="0.25">
      <c r="A6" s="330"/>
    </row>
    <row r="7" spans="1:4" x14ac:dyDescent="0.25">
      <c r="A7" s="331" t="s">
        <v>1346</v>
      </c>
    </row>
    <row r="8" spans="1:4" x14ac:dyDescent="0.25">
      <c r="A8" s="332" t="s">
        <v>1344</v>
      </c>
    </row>
    <row r="11" spans="1:4" x14ac:dyDescent="0.25">
      <c r="A11" s="13" t="s">
        <v>789</v>
      </c>
      <c r="D11" s="276">
        <f>data!C380</f>
        <v>236087</v>
      </c>
    </row>
    <row r="12" spans="1:4" x14ac:dyDescent="0.25">
      <c r="A12" s="13" t="s">
        <v>790</v>
      </c>
      <c r="D12" s="276" t="str">
        <f>IF(OR(data!C380&gt;1000000,data!C380/(data!D360+data!D383)&gt;0.01),"Yes","No")</f>
        <v>No</v>
      </c>
    </row>
    <row r="14" spans="1:4" x14ac:dyDescent="0.25">
      <c r="A14" s="13" t="s">
        <v>791</v>
      </c>
      <c r="D14" s="14" t="s">
        <v>792</v>
      </c>
    </row>
    <row r="15" spans="1:4" x14ac:dyDescent="0.25">
      <c r="A15" s="12" t="s">
        <v>793</v>
      </c>
      <c r="D15" s="15"/>
    </row>
    <row r="16" spans="1:4" x14ac:dyDescent="0.25">
      <c r="A16" s="12" t="s">
        <v>793</v>
      </c>
      <c r="D16" s="15"/>
    </row>
    <row r="17" spans="1:4" x14ac:dyDescent="0.25">
      <c r="A17" s="12" t="s">
        <v>793</v>
      </c>
      <c r="D17" s="15"/>
    </row>
    <row r="18" spans="1:4" x14ac:dyDescent="0.25">
      <c r="A18" s="12" t="s">
        <v>793</v>
      </c>
      <c r="D18" s="15"/>
    </row>
    <row r="19" spans="1:4" x14ac:dyDescent="0.25">
      <c r="A19" s="12" t="s">
        <v>793</v>
      </c>
      <c r="D19" s="15"/>
    </row>
    <row r="20" spans="1:4" x14ac:dyDescent="0.25">
      <c r="A20" s="12" t="s">
        <v>793</v>
      </c>
      <c r="D20" s="15"/>
    </row>
    <row r="21" spans="1:4" x14ac:dyDescent="0.25">
      <c r="A21" s="12" t="s">
        <v>793</v>
      </c>
      <c r="D21" s="15"/>
    </row>
    <row r="25" spans="1:4" x14ac:dyDescent="0.25">
      <c r="A25" s="13" t="s">
        <v>794</v>
      </c>
      <c r="D25" s="277">
        <f>data!C414</f>
        <v>576781</v>
      </c>
    </row>
    <row r="26" spans="1:4" x14ac:dyDescent="0.25">
      <c r="A26" s="13" t="s">
        <v>790</v>
      </c>
      <c r="D26" s="277" t="str">
        <f>IF(OR(data!C414&gt;1000000,data!C414/(data!D416)&gt;0.01),"Yes","No")</f>
        <v>No</v>
      </c>
    </row>
    <row r="28" spans="1:4" x14ac:dyDescent="0.25">
      <c r="A28" s="13" t="s">
        <v>791</v>
      </c>
      <c r="D28" s="14" t="s">
        <v>792</v>
      </c>
    </row>
    <row r="29" spans="1:4" x14ac:dyDescent="0.25">
      <c r="A29" s="12" t="s">
        <v>795</v>
      </c>
      <c r="D29" s="15"/>
    </row>
    <row r="30" spans="1:4" x14ac:dyDescent="0.25">
      <c r="A30" s="12" t="s">
        <v>795</v>
      </c>
      <c r="D30" s="15"/>
    </row>
    <row r="31" spans="1:4" x14ac:dyDescent="0.25">
      <c r="A31" s="12" t="s">
        <v>795</v>
      </c>
      <c r="D31" s="15"/>
    </row>
    <row r="32" spans="1:4" x14ac:dyDescent="0.25">
      <c r="A32" s="12" t="s">
        <v>795</v>
      </c>
      <c r="D32" s="15"/>
    </row>
    <row r="33" spans="1:4" x14ac:dyDescent="0.25">
      <c r="A33" s="12" t="s">
        <v>795</v>
      </c>
      <c r="D33" s="15"/>
    </row>
    <row r="34" spans="1:4" x14ac:dyDescent="0.25">
      <c r="A34" s="12" t="s">
        <v>795</v>
      </c>
      <c r="D34" s="15"/>
    </row>
    <row r="35" spans="1:4" x14ac:dyDescent="0.25">
      <c r="A35" s="12" t="s">
        <v>795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16" workbookViewId="0">
      <selection activeCell="C42" sqref="C42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796</v>
      </c>
    </row>
    <row r="2" spans="1:7" ht="20.100000000000001" customHeight="1" x14ac:dyDescent="0.25">
      <c r="A2" s="76" t="s">
        <v>797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H-46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PHM Medical Center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data!C103</f>
        <v>Benton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798</v>
      </c>
      <c r="C7" s="81"/>
      <c r="D7" s="78" t="str">
        <f>data!C104</f>
        <v>Craig Marks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799</v>
      </c>
      <c r="C8" s="81"/>
      <c r="D8" s="78" t="str">
        <f>data!C105</f>
        <v>David Rollins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800</v>
      </c>
      <c r="C9" s="81"/>
      <c r="D9" s="78" t="str">
        <f>data!C106</f>
        <v>Stephen Kenny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801</v>
      </c>
      <c r="C10" s="81"/>
      <c r="D10" s="78" t="str">
        <f>"  "&amp;data!C107</f>
        <v xml:space="preserve">  509-786-2222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802</v>
      </c>
      <c r="C11" s="81"/>
      <c r="D11" s="78" t="str">
        <f>"  "&amp;data!C108</f>
        <v xml:space="preserve">  509-786-6660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8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805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808</v>
      </c>
      <c r="C23" s="78"/>
      <c r="D23" s="78"/>
      <c r="E23" s="78"/>
      <c r="F23" s="77">
        <f>data!C127</f>
        <v>1309</v>
      </c>
      <c r="G23" s="81">
        <f>data!D127</f>
        <v>3476</v>
      </c>
    </row>
    <row r="24" spans="1:7" ht="20.100000000000001" customHeight="1" x14ac:dyDescent="0.25">
      <c r="A24" s="77"/>
      <c r="B24" s="78" t="s">
        <v>809</v>
      </c>
      <c r="C24" s="78"/>
      <c r="D24" s="78"/>
      <c r="E24" s="78"/>
      <c r="F24" s="77">
        <f>data!C128</f>
        <v>72</v>
      </c>
      <c r="G24" s="81">
        <f>data!D128</f>
        <v>1224</v>
      </c>
    </row>
    <row r="25" spans="1:7" ht="20.100000000000001" customHeight="1" x14ac:dyDescent="0.2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590</v>
      </c>
      <c r="G26" s="81">
        <f>data!D130</f>
        <v>782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6</v>
      </c>
    </row>
    <row r="32" spans="1:7" ht="20.100000000000001" customHeight="1" x14ac:dyDescent="0.25">
      <c r="A32" s="77"/>
      <c r="B32" s="97" t="s">
        <v>813</v>
      </c>
      <c r="C32" s="81"/>
      <c r="D32" s="81">
        <f>data!C134</f>
        <v>19</v>
      </c>
      <c r="E32" s="78" t="s">
        <v>814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00000000000001" customHeight="1" x14ac:dyDescent="0.2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0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0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820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C42" sqref="C42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821</v>
      </c>
      <c r="G1" s="75" t="s">
        <v>822</v>
      </c>
    </row>
    <row r="2" spans="1:7" ht="20.100000000000001" customHeight="1" x14ac:dyDescent="0.25">
      <c r="A2" s="1" t="str">
        <f>"Hospital: "&amp;data!C98</f>
        <v>Hospital: PHM Medical Center</v>
      </c>
      <c r="G2" s="4" t="s">
        <v>823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824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383</v>
      </c>
      <c r="C7" s="141">
        <f>data!B155</f>
        <v>1016</v>
      </c>
      <c r="D7" s="141">
        <f>data!B156</f>
        <v>0</v>
      </c>
      <c r="E7" s="141">
        <f>data!B157</f>
        <v>14733452</v>
      </c>
      <c r="F7" s="141">
        <f>data!B158</f>
        <v>63135302</v>
      </c>
      <c r="G7" s="141">
        <f>data!B157+data!B158</f>
        <v>77868754</v>
      </c>
    </row>
    <row r="8" spans="1:7" ht="20.100000000000001" customHeight="1" x14ac:dyDescent="0.25">
      <c r="A8" s="77" t="s">
        <v>331</v>
      </c>
      <c r="B8" s="141">
        <f>data!C154</f>
        <v>110</v>
      </c>
      <c r="C8" s="141">
        <f>data!C155</f>
        <v>293</v>
      </c>
      <c r="D8" s="141">
        <f>data!C156</f>
        <v>0</v>
      </c>
      <c r="E8" s="141">
        <f>data!C157</f>
        <v>15717350</v>
      </c>
      <c r="F8" s="141">
        <f>data!C158</f>
        <v>63400436</v>
      </c>
      <c r="G8" s="141">
        <f>data!C157+data!C158</f>
        <v>79117786</v>
      </c>
    </row>
    <row r="9" spans="1:7" ht="20.100000000000001" customHeight="1" x14ac:dyDescent="0.25">
      <c r="A9" s="77" t="s">
        <v>828</v>
      </c>
      <c r="B9" s="141">
        <f>data!D154</f>
        <v>816</v>
      </c>
      <c r="C9" s="141">
        <f>data!D155</f>
        <v>2167</v>
      </c>
      <c r="D9" s="141">
        <f>data!D156</f>
        <v>0</v>
      </c>
      <c r="E9" s="141">
        <f>data!D157</f>
        <v>13386622</v>
      </c>
      <c r="F9" s="141">
        <f>data!D158</f>
        <v>82252726</v>
      </c>
      <c r="G9" s="141">
        <f>data!D157+data!D158</f>
        <v>95639348</v>
      </c>
    </row>
    <row r="10" spans="1:7" ht="20.100000000000001" customHeight="1" x14ac:dyDescent="0.25">
      <c r="A10" s="92" t="s">
        <v>215</v>
      </c>
      <c r="B10" s="141">
        <f>data!E154</f>
        <v>1309</v>
      </c>
      <c r="C10" s="141">
        <f>data!E155</f>
        <v>3476</v>
      </c>
      <c r="D10" s="141">
        <f>data!E156</f>
        <v>0</v>
      </c>
      <c r="E10" s="141">
        <f>data!E157</f>
        <v>43837424</v>
      </c>
      <c r="F10" s="141">
        <f>data!E158</f>
        <v>208788464</v>
      </c>
      <c r="G10" s="141">
        <f>E10+F10</f>
        <v>252625888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829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44</v>
      </c>
      <c r="C16" s="141">
        <f>data!B161</f>
        <v>752</v>
      </c>
      <c r="D16" s="141">
        <f>data!B162</f>
        <v>0</v>
      </c>
      <c r="E16" s="141">
        <f>data!B163</f>
        <v>1353998</v>
      </c>
      <c r="F16" s="141">
        <f>data!B164</f>
        <v>364889</v>
      </c>
      <c r="G16" s="141">
        <f>data!B163+data!B164</f>
        <v>1718887</v>
      </c>
    </row>
    <row r="17" spans="1:7" ht="20.100000000000001" customHeight="1" x14ac:dyDescent="0.25">
      <c r="A17" s="77" t="s">
        <v>331</v>
      </c>
      <c r="B17" s="141">
        <f>data!C160</f>
        <v>15</v>
      </c>
      <c r="C17" s="141">
        <f>data!C161</f>
        <v>262</v>
      </c>
      <c r="D17" s="141">
        <f>data!C162</f>
        <v>0</v>
      </c>
      <c r="E17" s="141">
        <f>data!C163</f>
        <v>471739</v>
      </c>
      <c r="F17" s="141">
        <f>data!C164</f>
        <v>127129</v>
      </c>
      <c r="G17" s="141">
        <f>data!C163+data!C164</f>
        <v>598868</v>
      </c>
    </row>
    <row r="18" spans="1:7" ht="20.100000000000001" customHeight="1" x14ac:dyDescent="0.25">
      <c r="A18" s="77" t="s">
        <v>828</v>
      </c>
      <c r="B18" s="141">
        <f>data!D160</f>
        <v>12</v>
      </c>
      <c r="C18" s="141">
        <f>data!D161</f>
        <v>210</v>
      </c>
      <c r="D18" s="141">
        <f>data!D162</f>
        <v>0</v>
      </c>
      <c r="E18" s="141">
        <f>data!D163</f>
        <v>378111</v>
      </c>
      <c r="F18" s="141">
        <f>data!D164</f>
        <v>101897</v>
      </c>
      <c r="G18" s="141">
        <f>data!D163+data!D164</f>
        <v>480008</v>
      </c>
    </row>
    <row r="19" spans="1:7" ht="20.100000000000001" customHeight="1" x14ac:dyDescent="0.25">
      <c r="A19" s="92" t="s">
        <v>215</v>
      </c>
      <c r="B19" s="141">
        <f>data!E160</f>
        <v>71</v>
      </c>
      <c r="C19" s="141">
        <f>data!E161</f>
        <v>1224</v>
      </c>
      <c r="D19" s="141">
        <f>data!E162</f>
        <v>0</v>
      </c>
      <c r="E19" s="141">
        <f>data!E163</f>
        <v>2203848</v>
      </c>
      <c r="F19" s="141">
        <f>data!E164</f>
        <v>593915</v>
      </c>
      <c r="G19" s="141">
        <f>data!E163+data!E164</f>
        <v>2797763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830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831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832</v>
      </c>
      <c r="C32" s="153">
        <f>data!B173</f>
        <v>35589161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833</v>
      </c>
      <c r="C33" s="149">
        <f>data!C173</f>
        <v>10601480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C42" sqref="C42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834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PHM Medical Center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835</v>
      </c>
      <c r="C6" s="77">
        <f>data!C181</f>
        <v>2402405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31194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319345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5276041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85287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1188813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0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-964841</v>
      </c>
    </row>
    <row r="14" spans="1:3" ht="20.100000000000001" customHeight="1" x14ac:dyDescent="0.25">
      <c r="A14" s="158">
        <v>10</v>
      </c>
      <c r="B14" s="78" t="s">
        <v>836</v>
      </c>
      <c r="C14" s="77">
        <f>data!D189</f>
        <v>8338244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837</v>
      </c>
      <c r="C18" s="77">
        <f>data!C191</f>
        <v>254484</v>
      </c>
    </row>
    <row r="19" spans="1:3" ht="20.100000000000001" customHeight="1" x14ac:dyDescent="0.25">
      <c r="A19" s="77">
        <v>13</v>
      </c>
      <c r="B19" s="78" t="s">
        <v>838</v>
      </c>
      <c r="C19" s="77">
        <f>data!C192</f>
        <v>526253</v>
      </c>
    </row>
    <row r="20" spans="1:3" ht="20.100000000000001" customHeight="1" x14ac:dyDescent="0.25">
      <c r="A20" s="77">
        <v>14</v>
      </c>
      <c r="B20" s="78" t="s">
        <v>839</v>
      </c>
      <c r="C20" s="77">
        <f>data!D193</f>
        <v>780737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840</v>
      </c>
      <c r="C24" s="162"/>
    </row>
    <row r="25" spans="1:3" ht="20.100000000000001" customHeight="1" x14ac:dyDescent="0.25">
      <c r="A25" s="77">
        <v>17</v>
      </c>
      <c r="B25" s="78" t="s">
        <v>841</v>
      </c>
      <c r="C25" s="77">
        <f>data!C195</f>
        <v>484606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146011</v>
      </c>
    </row>
    <row r="27" spans="1:3" ht="20.100000000000001" customHeight="1" x14ac:dyDescent="0.25">
      <c r="A27" s="77">
        <v>19</v>
      </c>
      <c r="B27" s="78" t="s">
        <v>842</v>
      </c>
      <c r="C27" s="77">
        <f>data!D197</f>
        <v>630617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843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622181</v>
      </c>
    </row>
    <row r="32" spans="1:3" ht="20.100000000000001" customHeight="1" x14ac:dyDescent="0.25">
      <c r="A32" s="77">
        <v>22</v>
      </c>
      <c r="B32" s="78" t="s">
        <v>844</v>
      </c>
      <c r="C32" s="77">
        <f>data!C200</f>
        <v>118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845</v>
      </c>
      <c r="C34" s="77">
        <f>data!D202</f>
        <v>622299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846</v>
      </c>
      <c r="C38" s="77">
        <f>data!C204</f>
        <v>0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1317896</v>
      </c>
    </row>
    <row r="40" spans="1:3" ht="20.100000000000001" customHeight="1" x14ac:dyDescent="0.25">
      <c r="A40" s="77">
        <v>28</v>
      </c>
      <c r="B40" s="78" t="s">
        <v>847</v>
      </c>
      <c r="C40" s="77">
        <f>data!D206</f>
        <v>1317896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C42" sqref="C4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848</v>
      </c>
    </row>
    <row r="3" spans="1:6" ht="20.100000000000001" customHeight="1" x14ac:dyDescent="0.25">
      <c r="A3" s="134" t="str">
        <f>"Hospital: "&amp;data!C98</f>
        <v>Hospital: PHM Medical Center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849</v>
      </c>
      <c r="D5" s="165"/>
      <c r="E5" s="165"/>
      <c r="F5" s="165" t="s">
        <v>850</v>
      </c>
    </row>
    <row r="6" spans="1:6" ht="20.100000000000001" customHeight="1" x14ac:dyDescent="0.2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3128342</v>
      </c>
      <c r="D7" s="81">
        <f>data!C211</f>
        <v>17200</v>
      </c>
      <c r="E7" s="81">
        <f>data!D211</f>
        <v>23760</v>
      </c>
      <c r="F7" s="81">
        <f>data!E211</f>
        <v>3121782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632699</v>
      </c>
      <c r="D8" s="81">
        <f>data!C212</f>
        <v>0</v>
      </c>
      <c r="E8" s="81">
        <f>data!D212</f>
        <v>0</v>
      </c>
      <c r="F8" s="81">
        <f>data!E212</f>
        <v>632699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22920747</v>
      </c>
      <c r="D9" s="81">
        <f>data!C213</f>
        <v>12920845</v>
      </c>
      <c r="E9" s="81">
        <f>data!D213</f>
        <v>17200</v>
      </c>
      <c r="F9" s="81">
        <f>data!E213</f>
        <v>35824392</v>
      </c>
    </row>
    <row r="10" spans="1:6" ht="20.100000000000001" customHeight="1" x14ac:dyDescent="0.25">
      <c r="A10" s="77">
        <v>4</v>
      </c>
      <c r="B10" s="81" t="s">
        <v>853</v>
      </c>
      <c r="C10" s="81">
        <f>data!B214</f>
        <v>8131488</v>
      </c>
      <c r="D10" s="81">
        <f>data!C214</f>
        <v>0</v>
      </c>
      <c r="E10" s="81">
        <f>data!D214</f>
        <v>0</v>
      </c>
      <c r="F10" s="81">
        <f>data!E214</f>
        <v>8131488</v>
      </c>
    </row>
    <row r="11" spans="1:6" ht="20.100000000000001" customHeight="1" x14ac:dyDescent="0.25">
      <c r="A11" s="77">
        <v>5</v>
      </c>
      <c r="B11" s="81" t="s">
        <v>854</v>
      </c>
      <c r="C11" s="81">
        <f>data!B215</f>
        <v>665178</v>
      </c>
      <c r="D11" s="81">
        <f>data!C215</f>
        <v>0</v>
      </c>
      <c r="E11" s="81">
        <f>data!D215</f>
        <v>0</v>
      </c>
      <c r="F11" s="81">
        <f>data!E215</f>
        <v>665178</v>
      </c>
    </row>
    <row r="12" spans="1:6" ht="20.100000000000001" customHeight="1" x14ac:dyDescent="0.25">
      <c r="A12" s="77">
        <v>6</v>
      </c>
      <c r="B12" s="81" t="s">
        <v>855</v>
      </c>
      <c r="C12" s="81">
        <f>data!B216</f>
        <v>14619070</v>
      </c>
      <c r="D12" s="81">
        <f>data!C216</f>
        <v>3564623</v>
      </c>
      <c r="E12" s="81">
        <f>data!D216</f>
        <v>167003</v>
      </c>
      <c r="F12" s="81">
        <f>data!E216</f>
        <v>18016690</v>
      </c>
    </row>
    <row r="13" spans="1:6" ht="20.100000000000001" customHeight="1" x14ac:dyDescent="0.2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857</v>
      </c>
      <c r="C15" s="81">
        <f>data!B219</f>
        <v>4226277</v>
      </c>
      <c r="D15" s="81">
        <f>data!C219</f>
        <v>2526520</v>
      </c>
      <c r="E15" s="81">
        <f>data!D219</f>
        <v>648261</v>
      </c>
      <c r="F15" s="81">
        <f>data!E219</f>
        <v>6104536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54323801</v>
      </c>
      <c r="D16" s="81">
        <f>data!C220</f>
        <v>19029188</v>
      </c>
      <c r="E16" s="81">
        <f>data!D220</f>
        <v>856224</v>
      </c>
      <c r="F16" s="81">
        <f>data!E220</f>
        <v>72496765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00000000000001" customHeight="1" x14ac:dyDescent="0.2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528471</v>
      </c>
      <c r="D24" s="81">
        <f>data!C225</f>
        <v>33662</v>
      </c>
      <c r="E24" s="81">
        <f>data!D225</f>
        <v>0</v>
      </c>
      <c r="F24" s="81">
        <f>data!E225</f>
        <v>562133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15392629</v>
      </c>
      <c r="D25" s="81">
        <f>data!C226</f>
        <v>1040118</v>
      </c>
      <c r="E25" s="81">
        <f>data!D226</f>
        <v>0</v>
      </c>
      <c r="F25" s="81">
        <f>data!E226</f>
        <v>16432747</v>
      </c>
    </row>
    <row r="26" spans="1:6" ht="20.100000000000001" customHeight="1" x14ac:dyDescent="0.25">
      <c r="A26" s="77">
        <v>14</v>
      </c>
      <c r="B26" s="81" t="s">
        <v>853</v>
      </c>
      <c r="C26" s="81">
        <f>data!B227</f>
        <v>5512523</v>
      </c>
      <c r="D26" s="81">
        <f>data!C227</f>
        <v>0</v>
      </c>
      <c r="E26" s="81">
        <f>data!D227</f>
        <v>0</v>
      </c>
      <c r="F26" s="81">
        <f>data!E227</f>
        <v>5512523</v>
      </c>
    </row>
    <row r="27" spans="1:6" ht="20.100000000000001" customHeight="1" x14ac:dyDescent="0.25">
      <c r="A27" s="77">
        <v>15</v>
      </c>
      <c r="B27" s="81" t="s">
        <v>854</v>
      </c>
      <c r="C27" s="81">
        <f>data!B228</f>
        <v>566591</v>
      </c>
      <c r="D27" s="81">
        <f>data!C228</f>
        <v>0</v>
      </c>
      <c r="E27" s="81">
        <f>data!D228</f>
        <v>0</v>
      </c>
      <c r="F27" s="81">
        <f>data!E228</f>
        <v>566591</v>
      </c>
    </row>
    <row r="28" spans="1:6" ht="20.100000000000001" customHeight="1" x14ac:dyDescent="0.25">
      <c r="A28" s="77">
        <v>16</v>
      </c>
      <c r="B28" s="81" t="s">
        <v>855</v>
      </c>
      <c r="C28" s="81">
        <f>data!B229</f>
        <v>9410008</v>
      </c>
      <c r="D28" s="81">
        <f>data!C229</f>
        <v>2739368</v>
      </c>
      <c r="E28" s="81">
        <f>data!D229</f>
        <v>144828</v>
      </c>
      <c r="F28" s="81">
        <f>data!E229</f>
        <v>12004548</v>
      </c>
    </row>
    <row r="29" spans="1:6" ht="20.100000000000001" customHeight="1" x14ac:dyDescent="0.2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31410222</v>
      </c>
      <c r="D32" s="81">
        <f>data!C233</f>
        <v>3813148</v>
      </c>
      <c r="E32" s="81">
        <f>data!D233</f>
        <v>144828</v>
      </c>
      <c r="F32" s="81">
        <f>data!E233</f>
        <v>35078542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19" workbookViewId="0">
      <selection activeCell="C42" sqref="C42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859</v>
      </c>
      <c r="B1" s="76"/>
      <c r="C1" s="76"/>
      <c r="D1" s="75" t="s">
        <v>860</v>
      </c>
    </row>
    <row r="2" spans="1:4" ht="20.100000000000001" customHeight="1" x14ac:dyDescent="0.25">
      <c r="A2" s="134" t="str">
        <f>"Hospital: "&amp;data!C98</f>
        <v>Hospital: PHM Medical Center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861</v>
      </c>
      <c r="C4" s="170" t="s">
        <v>862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3523104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54953880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54132674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3232513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00000000000001" customHeight="1" x14ac:dyDescent="0.2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41519725</v>
      </c>
    </row>
    <row r="13" spans="1:4" ht="20.100000000000001" customHeight="1" x14ac:dyDescent="0.25">
      <c r="A13" s="77">
        <v>9</v>
      </c>
      <c r="B13" s="81"/>
      <c r="C13" s="81" t="s">
        <v>864</v>
      </c>
      <c r="D13" s="81">
        <f>data!D245</f>
        <v>153838792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865</v>
      </c>
      <c r="D16" s="77">
        <f>data!C247</f>
        <v>946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3424948</v>
      </c>
    </row>
    <row r="19" spans="1:4" ht="20.100000000000001" customHeight="1" x14ac:dyDescent="0.25">
      <c r="A19" s="175">
        <v>15</v>
      </c>
      <c r="B19" s="172">
        <v>5910</v>
      </c>
      <c r="C19" s="94" t="s">
        <v>866</v>
      </c>
      <c r="D19" s="81">
        <f>data!C250</f>
        <v>922991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867</v>
      </c>
      <c r="D22" s="81">
        <f>data!D252</f>
        <v>4347939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868</v>
      </c>
      <c r="D26" s="81">
        <f>data!C255</f>
        <v>0</v>
      </c>
    </row>
    <row r="27" spans="1:4" ht="20.100000000000001" customHeight="1" x14ac:dyDescent="0.25">
      <c r="A27" s="158">
        <v>23</v>
      </c>
      <c r="B27" s="177" t="s">
        <v>869</v>
      </c>
      <c r="C27" s="93"/>
      <c r="D27" s="81">
        <f>data!D258</f>
        <v>161709835</v>
      </c>
    </row>
    <row r="28" spans="1:4" ht="20.100000000000001" customHeight="1" x14ac:dyDescent="0.25">
      <c r="A28" s="86">
        <v>24</v>
      </c>
      <c r="B28" s="152" t="s">
        <v>870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2023-06-23T15:53:29Z</cp:lastPrinted>
  <dcterms:created xsi:type="dcterms:W3CDTF">1999-06-02T22:01:56Z</dcterms:created>
  <dcterms:modified xsi:type="dcterms:W3CDTF">2023-06-27T20:07:58Z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000000FX8720230622224717.xlsx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