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6EA49953-7911-47EE-B084-2D41F434D3BB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9310" yWindow="-110" windowWidth="19420" windowHeight="1042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8" l="1"/>
  <c r="D8" i="6" l="1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AZ91" i="24" l="1"/>
  <c r="C213" i="24" l="1"/>
  <c r="D219" i="24"/>
  <c r="C219" i="24"/>
  <c r="C338" i="24" l="1"/>
  <c r="C334" i="24"/>
  <c r="D339" i="24" s="1"/>
  <c r="C335" i="24"/>
  <c r="D340" i="24"/>
  <c r="C319" i="24"/>
  <c r="C318" i="24"/>
  <c r="C317" i="24"/>
  <c r="C316" i="24"/>
  <c r="E226" i="24" l="1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F420" i="24" s="1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0" i="24"/>
  <c r="C86" i="8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52" i="24"/>
  <c r="D245" i="24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F25" i="6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CE92" i="24"/>
  <c r="CE91" i="24"/>
  <c r="I381" i="32" s="1"/>
  <c r="CE90" i="24"/>
  <c r="CE88" i="24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I382" i="32" l="1"/>
  <c r="I383" i="32"/>
  <c r="I377" i="32"/>
  <c r="C68" i="8"/>
  <c r="D13" i="7"/>
  <c r="C363" i="24"/>
  <c r="D27" i="7"/>
  <c r="C365" i="24"/>
  <c r="AU48" i="24"/>
  <c r="AU62" i="24" s="1"/>
  <c r="H46" i="31" s="1"/>
  <c r="G48" i="24"/>
  <c r="G62" i="24" s="1"/>
  <c r="G12" i="32" s="1"/>
  <c r="W48" i="24"/>
  <c r="W62" i="24" s="1"/>
  <c r="BK48" i="24"/>
  <c r="BK62" i="24" s="1"/>
  <c r="H62" i="31" s="1"/>
  <c r="H48" i="24"/>
  <c r="H62" i="24" s="1"/>
  <c r="H7" i="31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H48" i="31" s="1"/>
  <c r="J48" i="24"/>
  <c r="J62" i="24" s="1"/>
  <c r="R48" i="24"/>
  <c r="R62" i="24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K48" i="24"/>
  <c r="K62" i="24" s="1"/>
  <c r="H10" i="31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H66" i="31" s="1"/>
  <c r="BW48" i="24"/>
  <c r="BW62" i="24" s="1"/>
  <c r="I48" i="24"/>
  <c r="I62" i="24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35" i="31" s="1"/>
  <c r="AR48" i="24"/>
  <c r="AR62" i="24" s="1"/>
  <c r="H43" i="31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M48" i="24"/>
  <c r="M62" i="24" s="1"/>
  <c r="H12" i="31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12" i="32"/>
  <c r="H39" i="31"/>
  <c r="H71" i="31"/>
  <c r="H65" i="31"/>
  <c r="C300" i="32"/>
  <c r="E32" i="6"/>
  <c r="H74" i="31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H2" i="31"/>
  <c r="C12" i="32"/>
  <c r="H140" i="32"/>
  <c r="O14" i="31"/>
  <c r="H51" i="32"/>
  <c r="O38" i="31"/>
  <c r="D179" i="32"/>
  <c r="O78" i="31"/>
  <c r="I339" i="32"/>
  <c r="H4" i="31"/>
  <c r="E12" i="32"/>
  <c r="H76" i="31"/>
  <c r="G332" i="32"/>
  <c r="BK2" i="30"/>
  <c r="I362" i="32"/>
  <c r="H612" i="24"/>
  <c r="E220" i="24"/>
  <c r="I612" i="24"/>
  <c r="I366" i="32"/>
  <c r="F612" i="24"/>
  <c r="BQ2" i="30"/>
  <c r="D383" i="24"/>
  <c r="D12" i="17" s="1"/>
  <c r="H55" i="31"/>
  <c r="G236" i="32"/>
  <c r="DF2" i="30"/>
  <c r="C170" i="8"/>
  <c r="D22" i="7"/>
  <c r="D258" i="24"/>
  <c r="H17" i="31"/>
  <c r="D76" i="32"/>
  <c r="H37" i="31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9" i="31"/>
  <c r="C44" i="32"/>
  <c r="O10" i="31"/>
  <c r="D51" i="32"/>
  <c r="O26" i="31"/>
  <c r="F115" i="32"/>
  <c r="O34" i="31"/>
  <c r="G147" i="32"/>
  <c r="O50" i="31"/>
  <c r="I211" i="32"/>
  <c r="O66" i="31"/>
  <c r="D307" i="32"/>
  <c r="H8" i="31"/>
  <c r="I12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AC49" i="25"/>
  <c r="AC63" i="25" s="1"/>
  <c r="E234" i="25"/>
  <c r="CE70" i="25"/>
  <c r="D342" i="25"/>
  <c r="D351" i="25" s="1"/>
  <c r="G268" i="32" l="1"/>
  <c r="D204" i="32"/>
  <c r="D332" i="32"/>
  <c r="I172" i="32"/>
  <c r="BX52" i="24"/>
  <c r="BX67" i="24" s="1"/>
  <c r="M75" i="31" s="1"/>
  <c r="L52" i="24"/>
  <c r="L67" i="24" s="1"/>
  <c r="M11" i="31" s="1"/>
  <c r="X52" i="24"/>
  <c r="X67" i="24" s="1"/>
  <c r="X85" i="24" s="1"/>
  <c r="C689" i="24" s="1"/>
  <c r="AV52" i="24"/>
  <c r="AV67" i="24" s="1"/>
  <c r="F209" i="32" s="1"/>
  <c r="D300" i="32"/>
  <c r="G204" i="32"/>
  <c r="F300" i="32"/>
  <c r="H23" i="31"/>
  <c r="G76" i="32"/>
  <c r="E76" i="32"/>
  <c r="BP2" i="30"/>
  <c r="C119" i="8"/>
  <c r="E236" i="32"/>
  <c r="F16" i="6"/>
  <c r="F234" i="24"/>
  <c r="C117" i="8"/>
  <c r="BN2" i="30"/>
  <c r="D366" i="24"/>
  <c r="C236" i="32"/>
  <c r="F309" i="24"/>
  <c r="D352" i="24"/>
  <c r="D350" i="24"/>
  <c r="F44" i="32"/>
  <c r="D44" i="32"/>
  <c r="H268" i="32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C633" i="25" s="1"/>
  <c r="AT53" i="25"/>
  <c r="AT68" i="25" s="1"/>
  <c r="AT86" i="25" s="1"/>
  <c r="AL53" i="25"/>
  <c r="AL68" i="25" s="1"/>
  <c r="AL86" i="25" s="1"/>
  <c r="AD53" i="25"/>
  <c r="AD68" i="25" s="1"/>
  <c r="AD86" i="25" s="1"/>
  <c r="V53" i="25"/>
  <c r="V68" i="25" s="1"/>
  <c r="V86" i="25" s="1"/>
  <c r="C688" i="25" s="1"/>
  <c r="N53" i="25"/>
  <c r="N68" i="25" s="1"/>
  <c r="N86" i="25" s="1"/>
  <c r="F53" i="25"/>
  <c r="F68" i="25" s="1"/>
  <c r="F86" i="25" s="1"/>
  <c r="BC53" i="25"/>
  <c r="BC68" i="25" s="1"/>
  <c r="BC86" i="25" s="1"/>
  <c r="AE53" i="25"/>
  <c r="AE68" i="25" s="1"/>
  <c r="AE86" i="25" s="1"/>
  <c r="BY53" i="25"/>
  <c r="BY68" i="25" s="1"/>
  <c r="BY86" i="25" s="1"/>
  <c r="BQ53" i="25"/>
  <c r="BQ68" i="25" s="1"/>
  <c r="BQ86" i="25" s="1"/>
  <c r="C624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U86" i="25" s="1"/>
  <c r="M53" i="25"/>
  <c r="M68" i="25" s="1"/>
  <c r="M86" i="25" s="1"/>
  <c r="E53" i="25"/>
  <c r="E68" i="25" s="1"/>
  <c r="E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AR53" i="25"/>
  <c r="AR68" i="25" s="1"/>
  <c r="AR86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O53" i="25"/>
  <c r="O68" i="25" s="1"/>
  <c r="O86" i="25" s="1"/>
  <c r="BW53" i="25"/>
  <c r="BW68" i="25" s="1"/>
  <c r="BW86" i="25" s="1"/>
  <c r="C644" i="25" s="1"/>
  <c r="BO53" i="25"/>
  <c r="BO68" i="25" s="1"/>
  <c r="BO86" i="25" s="1"/>
  <c r="BG53" i="25"/>
  <c r="BG68" i="25" s="1"/>
  <c r="BG86" i="25" s="1"/>
  <c r="AY53" i="25"/>
  <c r="AY68" i="25" s="1"/>
  <c r="AY86" i="25" s="1"/>
  <c r="AQ53" i="25"/>
  <c r="AQ68" i="25" s="1"/>
  <c r="AQ86" i="25" s="1"/>
  <c r="AI53" i="25"/>
  <c r="AI68" i="25" s="1"/>
  <c r="AI86" i="25" s="1"/>
  <c r="C701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J53" i="25"/>
  <c r="J68" i="25" s="1"/>
  <c r="J86" i="25" s="1"/>
  <c r="BS53" i="25"/>
  <c r="BS68" i="25" s="1"/>
  <c r="BS86" i="25" s="1"/>
  <c r="AU53" i="25"/>
  <c r="AU68" i="25" s="1"/>
  <c r="AU86" i="25" s="1"/>
  <c r="C713" i="25" s="1"/>
  <c r="G53" i="25"/>
  <c r="G68" i="25" s="1"/>
  <c r="G86" i="25" s="1"/>
  <c r="CC53" i="25"/>
  <c r="CC68" i="25" s="1"/>
  <c r="CC86" i="25" s="1"/>
  <c r="BU53" i="25"/>
  <c r="BU68" i="25" s="1"/>
  <c r="BU86" i="25" s="1"/>
  <c r="C642" i="25" s="1"/>
  <c r="BM53" i="25"/>
  <c r="BM68" i="25" s="1"/>
  <c r="BM86" i="25" s="1"/>
  <c r="BE53" i="25"/>
  <c r="BE68" i="25" s="1"/>
  <c r="BE86" i="25" s="1"/>
  <c r="C615" i="25" s="1"/>
  <c r="AW53" i="25"/>
  <c r="AW68" i="25" s="1"/>
  <c r="AW86" i="25" s="1"/>
  <c r="AO53" i="25"/>
  <c r="AO68" i="25" s="1"/>
  <c r="AO86" i="25" s="1"/>
  <c r="AG53" i="25"/>
  <c r="AG68" i="25" s="1"/>
  <c r="AG86" i="25" s="1"/>
  <c r="Y53" i="25"/>
  <c r="Y68" i="25" s="1"/>
  <c r="Y86" i="25" s="1"/>
  <c r="Q53" i="25"/>
  <c r="Q68" i="25" s="1"/>
  <c r="Q86" i="25" s="1"/>
  <c r="I53" i="25"/>
  <c r="I68" i="25" s="1"/>
  <c r="I86" i="25" s="1"/>
  <c r="BK53" i="25"/>
  <c r="BK68" i="25" s="1"/>
  <c r="BK86" i="25" s="1"/>
  <c r="W53" i="25"/>
  <c r="W68" i="25" s="1"/>
  <c r="W86" i="25" s="1"/>
  <c r="C689" i="25" s="1"/>
  <c r="CB53" i="25"/>
  <c r="CB68" i="25" s="1"/>
  <c r="CB86" i="25" s="1"/>
  <c r="BT53" i="25"/>
  <c r="BT68" i="25" s="1"/>
  <c r="BT86" i="25" s="1"/>
  <c r="BL53" i="25"/>
  <c r="BL68" i="25" s="1"/>
  <c r="BL86" i="25" s="1"/>
  <c r="BD53" i="25"/>
  <c r="BD68" i="25" s="1"/>
  <c r="BD86" i="25" s="1"/>
  <c r="AV53" i="25"/>
  <c r="AV68" i="25" s="1"/>
  <c r="AV86" i="25" s="1"/>
  <c r="AN53" i="25"/>
  <c r="AN68" i="25" s="1"/>
  <c r="AN86" i="25" s="1"/>
  <c r="AF53" i="25"/>
  <c r="AF68" i="25" s="1"/>
  <c r="AF86" i="25" s="1"/>
  <c r="X53" i="25"/>
  <c r="X68" i="25" s="1"/>
  <c r="X86" i="25" s="1"/>
  <c r="P53" i="25"/>
  <c r="P68" i="25" s="1"/>
  <c r="P86" i="25" s="1"/>
  <c r="H53" i="25"/>
  <c r="H68" i="25" s="1"/>
  <c r="H86" i="25" s="1"/>
  <c r="CA53" i="25"/>
  <c r="CA68" i="25" s="1"/>
  <c r="CA86" i="25" s="1"/>
  <c r="AM53" i="25"/>
  <c r="AM68" i="25" s="1"/>
  <c r="AM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M79" i="31"/>
  <c r="C369" i="32"/>
  <c r="CB85" i="24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50" i="8"/>
  <c r="C103" i="8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M61" i="31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E49" i="25"/>
  <c r="C63" i="25"/>
  <c r="Y52" i="24"/>
  <c r="Y67" i="24" s="1"/>
  <c r="BN52" i="24"/>
  <c r="BN67" i="24" s="1"/>
  <c r="BX85" i="24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AQ52" i="24"/>
  <c r="AQ67" i="24" s="1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AV85" i="24" l="1"/>
  <c r="C60" i="15" s="1"/>
  <c r="M47" i="31"/>
  <c r="E49" i="32"/>
  <c r="C113" i="32"/>
  <c r="M23" i="31"/>
  <c r="F337" i="32"/>
  <c r="E85" i="24"/>
  <c r="E21" i="32" s="1"/>
  <c r="S85" i="24"/>
  <c r="E17" i="32"/>
  <c r="C120" i="8"/>
  <c r="D367" i="24"/>
  <c r="C704" i="25"/>
  <c r="B50" i="15"/>
  <c r="F50" i="15" s="1"/>
  <c r="B54" i="15"/>
  <c r="F54" i="15" s="1"/>
  <c r="B66" i="15"/>
  <c r="C709" i="25"/>
  <c r="B55" i="15"/>
  <c r="F55" i="15" s="1"/>
  <c r="C682" i="25"/>
  <c r="B28" i="15"/>
  <c r="F28" i="15" s="1"/>
  <c r="C623" i="25"/>
  <c r="B92" i="15"/>
  <c r="F92" i="15" s="1"/>
  <c r="C632" i="25"/>
  <c r="B61" i="15"/>
  <c r="C676" i="25"/>
  <c r="B22" i="15"/>
  <c r="B86" i="15"/>
  <c r="F86" i="15" s="1"/>
  <c r="C643" i="25"/>
  <c r="C626" i="25"/>
  <c r="B63" i="15"/>
  <c r="F63" i="15" s="1"/>
  <c r="C694" i="25"/>
  <c r="B40" i="15"/>
  <c r="F40" i="15" s="1"/>
  <c r="C679" i="25"/>
  <c r="B25" i="15"/>
  <c r="F25" i="15" s="1"/>
  <c r="B89" i="15"/>
  <c r="F89" i="15" s="1"/>
  <c r="C646" i="25"/>
  <c r="B58" i="15"/>
  <c r="F58" i="15" s="1"/>
  <c r="C712" i="25"/>
  <c r="B84" i="15"/>
  <c r="F84" i="15" s="1"/>
  <c r="C641" i="25"/>
  <c r="B36" i="15"/>
  <c r="C690" i="25"/>
  <c r="B30" i="15"/>
  <c r="C684" i="25"/>
  <c r="C619" i="25"/>
  <c r="B71" i="15"/>
  <c r="F71" i="15" s="1"/>
  <c r="C702" i="25"/>
  <c r="B48" i="15"/>
  <c r="F48" i="15" s="1"/>
  <c r="C687" i="25"/>
  <c r="B33" i="15"/>
  <c r="C697" i="25"/>
  <c r="B43" i="15"/>
  <c r="F43" i="15" s="1"/>
  <c r="C640" i="25"/>
  <c r="B83" i="15"/>
  <c r="F83" i="15" s="1"/>
  <c r="C698" i="25"/>
  <c r="B44" i="15"/>
  <c r="H44" i="15" s="1"/>
  <c r="I44" i="15" s="1"/>
  <c r="C636" i="25"/>
  <c r="B75" i="15"/>
  <c r="F75" i="15" s="1"/>
  <c r="C639" i="25"/>
  <c r="B77" i="15"/>
  <c r="C692" i="25"/>
  <c r="B38" i="15"/>
  <c r="F38" i="15" s="1"/>
  <c r="C628" i="25"/>
  <c r="B79" i="15"/>
  <c r="F79" i="15" s="1"/>
  <c r="C710" i="25"/>
  <c r="B56" i="15"/>
  <c r="F56" i="15" s="1"/>
  <c r="C695" i="25"/>
  <c r="B41" i="15"/>
  <c r="F41" i="15" s="1"/>
  <c r="C634" i="25"/>
  <c r="B67" i="15"/>
  <c r="C618" i="25"/>
  <c r="B74" i="15"/>
  <c r="B32" i="15"/>
  <c r="C686" i="25"/>
  <c r="B21" i="15"/>
  <c r="H21" i="15" s="1"/>
  <c r="I21" i="15" s="1"/>
  <c r="C675" i="25"/>
  <c r="B23" i="15"/>
  <c r="F23" i="15" s="1"/>
  <c r="C677" i="25"/>
  <c r="C629" i="25"/>
  <c r="B64" i="15"/>
  <c r="F64" i="15" s="1"/>
  <c r="B49" i="15"/>
  <c r="F49" i="15" s="1"/>
  <c r="C703" i="25"/>
  <c r="C672" i="25"/>
  <c r="B18" i="15"/>
  <c r="F18" i="15" s="1"/>
  <c r="C627" i="25"/>
  <c r="B82" i="15"/>
  <c r="F82" i="15" s="1"/>
  <c r="B53" i="15"/>
  <c r="F53" i="15" s="1"/>
  <c r="C707" i="25"/>
  <c r="C700" i="25"/>
  <c r="B46" i="15"/>
  <c r="F46" i="15" s="1"/>
  <c r="C714" i="25"/>
  <c r="B60" i="15"/>
  <c r="C683" i="25"/>
  <c r="B29" i="15"/>
  <c r="F29" i="15" s="1"/>
  <c r="C621" i="25"/>
  <c r="B93" i="15"/>
  <c r="F93" i="15" s="1"/>
  <c r="C685" i="25"/>
  <c r="B31" i="15"/>
  <c r="F31" i="15" s="1"/>
  <c r="B27" i="15"/>
  <c r="C681" i="25"/>
  <c r="C637" i="25"/>
  <c r="B72" i="15"/>
  <c r="C711" i="25"/>
  <c r="B57" i="15"/>
  <c r="F57" i="15" s="1"/>
  <c r="C680" i="25"/>
  <c r="B26" i="15"/>
  <c r="H26" i="15" s="1"/>
  <c r="I26" i="15" s="1"/>
  <c r="C647" i="25"/>
  <c r="B90" i="15"/>
  <c r="F90" i="15" s="1"/>
  <c r="C674" i="25"/>
  <c r="B20" i="15"/>
  <c r="H20" i="15" s="1"/>
  <c r="I20" i="15" s="1"/>
  <c r="C671" i="25"/>
  <c r="B17" i="15"/>
  <c r="F17" i="15" s="1"/>
  <c r="C705" i="25"/>
  <c r="B51" i="15"/>
  <c r="F51" i="15" s="1"/>
  <c r="C625" i="25"/>
  <c r="B68" i="15"/>
  <c r="C691" i="25"/>
  <c r="B37" i="15"/>
  <c r="F37" i="15" s="1"/>
  <c r="B19" i="15"/>
  <c r="H19" i="15" s="1"/>
  <c r="I19" i="15" s="1"/>
  <c r="C673" i="25"/>
  <c r="B62" i="15"/>
  <c r="C617" i="25"/>
  <c r="C693" i="25"/>
  <c r="B39" i="15"/>
  <c r="F39" i="15" s="1"/>
  <c r="B16" i="15"/>
  <c r="F16" i="15" s="1"/>
  <c r="C670" i="25"/>
  <c r="C622" i="25"/>
  <c r="B80" i="15"/>
  <c r="C631" i="25"/>
  <c r="B65" i="15"/>
  <c r="F65" i="15" s="1"/>
  <c r="B78" i="15"/>
  <c r="F78" i="15" s="1"/>
  <c r="C620" i="25"/>
  <c r="B52" i="15"/>
  <c r="F52" i="15" s="1"/>
  <c r="C706" i="25"/>
  <c r="B91" i="15"/>
  <c r="F91" i="15" s="1"/>
  <c r="C648" i="25"/>
  <c r="C638" i="25"/>
  <c r="B76" i="15"/>
  <c r="F76" i="15" s="1"/>
  <c r="C699" i="25"/>
  <c r="B45" i="15"/>
  <c r="F45" i="15" s="1"/>
  <c r="B70" i="15"/>
  <c r="F70" i="15" s="1"/>
  <c r="C630" i="25"/>
  <c r="C678" i="25"/>
  <c r="B24" i="15"/>
  <c r="H24" i="15" s="1"/>
  <c r="I24" i="15" s="1"/>
  <c r="C645" i="25"/>
  <c r="B88" i="15"/>
  <c r="F88" i="15" s="1"/>
  <c r="C635" i="25"/>
  <c r="B73" i="15"/>
  <c r="F73" i="15" s="1"/>
  <c r="C696" i="25"/>
  <c r="B42" i="15"/>
  <c r="F42" i="15" s="1"/>
  <c r="B47" i="15"/>
  <c r="F47" i="15" s="1"/>
  <c r="B35" i="15"/>
  <c r="F35" i="15" s="1"/>
  <c r="B34" i="15"/>
  <c r="B59" i="15"/>
  <c r="H59" i="15" s="1"/>
  <c r="I59" i="15" s="1"/>
  <c r="B87" i="15"/>
  <c r="B69" i="15"/>
  <c r="F69" i="15" s="1"/>
  <c r="B85" i="15"/>
  <c r="F85" i="15" s="1"/>
  <c r="B81" i="15"/>
  <c r="F81" i="15" s="1"/>
  <c r="C68" i="25"/>
  <c r="CE68" i="25" s="1"/>
  <c r="CE53" i="25"/>
  <c r="M63" i="31"/>
  <c r="BL85" i="24"/>
  <c r="C637" i="24" s="1"/>
  <c r="M22" i="31"/>
  <c r="AD85" i="24"/>
  <c r="C42" i="15" s="1"/>
  <c r="G42" i="15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M6" i="31"/>
  <c r="G17" i="32"/>
  <c r="G85" i="24"/>
  <c r="M54" i="31"/>
  <c r="F241" i="32"/>
  <c r="BC85" i="24"/>
  <c r="F32" i="15"/>
  <c r="M80" i="31"/>
  <c r="D369" i="32"/>
  <c r="CC85" i="24"/>
  <c r="E53" i="32"/>
  <c r="C24" i="15"/>
  <c r="G24" i="15" s="1"/>
  <c r="C677" i="24"/>
  <c r="M21" i="31"/>
  <c r="H81" i="32"/>
  <c r="V85" i="24"/>
  <c r="F33" i="15"/>
  <c r="M28" i="31"/>
  <c r="H113" i="32"/>
  <c r="AC85" i="24"/>
  <c r="M69" i="31"/>
  <c r="G305" i="32"/>
  <c r="BR85" i="24"/>
  <c r="M35" i="31"/>
  <c r="H145" i="32"/>
  <c r="AJ85" i="24"/>
  <c r="M16" i="31"/>
  <c r="C81" i="32"/>
  <c r="Q85" i="24"/>
  <c r="F36" i="15"/>
  <c r="H36" i="15" s="1"/>
  <c r="I36" i="15" s="1"/>
  <c r="M59" i="31"/>
  <c r="D273" i="32"/>
  <c r="BH85" i="24"/>
  <c r="M60" i="31"/>
  <c r="E273" i="32"/>
  <c r="BI85" i="24"/>
  <c r="M32" i="31"/>
  <c r="E145" i="32"/>
  <c r="AG85" i="24"/>
  <c r="M68" i="31"/>
  <c r="F305" i="32"/>
  <c r="BQ85" i="24"/>
  <c r="M76" i="31"/>
  <c r="G337" i="32"/>
  <c r="BY85" i="24"/>
  <c r="M31" i="31"/>
  <c r="D145" i="32"/>
  <c r="AF85" i="24"/>
  <c r="M45" i="31"/>
  <c r="D209" i="32"/>
  <c r="AT85" i="24"/>
  <c r="H84" i="15"/>
  <c r="I84" i="15" s="1"/>
  <c r="M19" i="31"/>
  <c r="F81" i="32"/>
  <c r="T85" i="24"/>
  <c r="M17" i="31"/>
  <c r="D81" i="32"/>
  <c r="R85" i="24"/>
  <c r="F22" i="15"/>
  <c r="M5" i="31"/>
  <c r="F17" i="32"/>
  <c r="F85" i="24"/>
  <c r="M12" i="31"/>
  <c r="F49" i="32"/>
  <c r="M85" i="24"/>
  <c r="M38" i="31"/>
  <c r="D177" i="32"/>
  <c r="AM85" i="24"/>
  <c r="M43" i="31"/>
  <c r="I177" i="32"/>
  <c r="AR85" i="24"/>
  <c r="M65" i="31"/>
  <c r="C305" i="32"/>
  <c r="BN85" i="24"/>
  <c r="M30" i="31"/>
  <c r="C145" i="32"/>
  <c r="AE85" i="24"/>
  <c r="M3" i="31"/>
  <c r="D17" i="32"/>
  <c r="D85" i="24"/>
  <c r="M66" i="31"/>
  <c r="D305" i="32"/>
  <c r="BO85" i="24"/>
  <c r="M53" i="31"/>
  <c r="E241" i="32"/>
  <c r="BB85" i="24"/>
  <c r="C67" i="24"/>
  <c r="CE52" i="24"/>
  <c r="E85" i="32"/>
  <c r="C31" i="15"/>
  <c r="G31" i="15" s="1"/>
  <c r="C684" i="24"/>
  <c r="M62" i="31"/>
  <c r="G273" i="32"/>
  <c r="BK85" i="24"/>
  <c r="M50" i="31"/>
  <c r="I209" i="32"/>
  <c r="AY85" i="24"/>
  <c r="G94" i="15"/>
  <c r="H94" i="15" s="1"/>
  <c r="I94" i="15" s="1"/>
  <c r="M15" i="31"/>
  <c r="I49" i="32"/>
  <c r="P85" i="24"/>
  <c r="M49" i="31"/>
  <c r="H209" i="32"/>
  <c r="AX85" i="24"/>
  <c r="M52" i="31"/>
  <c r="D241" i="32"/>
  <c r="BA85" i="24"/>
  <c r="M57" i="31"/>
  <c r="I241" i="32"/>
  <c r="BF85" i="24"/>
  <c r="M24" i="31"/>
  <c r="D113" i="32"/>
  <c r="Y85" i="24"/>
  <c r="M40" i="31"/>
  <c r="F177" i="32"/>
  <c r="AO85" i="24"/>
  <c r="M39" i="31"/>
  <c r="E177" i="32"/>
  <c r="AN85" i="24"/>
  <c r="M26" i="31"/>
  <c r="F113" i="32"/>
  <c r="AA85" i="24"/>
  <c r="M25" i="31"/>
  <c r="E113" i="32"/>
  <c r="Z85" i="24"/>
  <c r="F3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M72" i="31"/>
  <c r="C337" i="32"/>
  <c r="BU85" i="24"/>
  <c r="M51" i="31"/>
  <c r="C241" i="32"/>
  <c r="AZ85" i="24"/>
  <c r="M58" i="31"/>
  <c r="C273" i="32"/>
  <c r="BG85" i="24"/>
  <c r="M42" i="31"/>
  <c r="H177" i="32"/>
  <c r="AQ85" i="24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341" i="32"/>
  <c r="C88" i="15"/>
  <c r="G88" i="15" s="1"/>
  <c r="C644" i="24"/>
  <c r="CE63" i="25"/>
  <c r="M9" i="31"/>
  <c r="C49" i="32"/>
  <c r="J85" i="24"/>
  <c r="M36" i="31"/>
  <c r="I145" i="32"/>
  <c r="AK85" i="24"/>
  <c r="M34" i="31"/>
  <c r="G145" i="32"/>
  <c r="AI85" i="24"/>
  <c r="M44" i="31"/>
  <c r="C209" i="32"/>
  <c r="AS85" i="24"/>
  <c r="D616" i="25"/>
  <c r="M8" i="31"/>
  <c r="I17" i="32"/>
  <c r="I85" i="24"/>
  <c r="C92" i="15"/>
  <c r="G92" i="15" s="1"/>
  <c r="C373" i="32"/>
  <c r="C622" i="24"/>
  <c r="H53" i="15" l="1"/>
  <c r="I53" i="15" s="1"/>
  <c r="H23" i="15"/>
  <c r="I23" i="15" s="1"/>
  <c r="H16" i="15"/>
  <c r="I16" i="15" s="1"/>
  <c r="C17" i="15"/>
  <c r="G17" i="15" s="1"/>
  <c r="C670" i="24"/>
  <c r="C86" i="25"/>
  <c r="H58" i="15"/>
  <c r="I58" i="15" s="1"/>
  <c r="H54" i="15"/>
  <c r="I54" i="15" s="1"/>
  <c r="H52" i="15"/>
  <c r="I52" i="15" s="1"/>
  <c r="H277" i="32"/>
  <c r="I117" i="32"/>
  <c r="C695" i="24"/>
  <c r="C74" i="15"/>
  <c r="G74" i="15" s="1"/>
  <c r="C121" i="8"/>
  <c r="D384" i="24"/>
  <c r="F19" i="15"/>
  <c r="F21" i="15"/>
  <c r="F30" i="15"/>
  <c r="F27" i="15"/>
  <c r="H27" i="15" s="1"/>
  <c r="I27" i="15" s="1"/>
  <c r="F87" i="15"/>
  <c r="H87" i="15" s="1"/>
  <c r="I87" i="15" s="1"/>
  <c r="F77" i="15"/>
  <c r="H77" i="15" s="1"/>
  <c r="I77" i="15" s="1"/>
  <c r="H55" i="15"/>
  <c r="I55" i="15" s="1"/>
  <c r="H25" i="15"/>
  <c r="I25" i="15" s="1"/>
  <c r="H51" i="15"/>
  <c r="I51" i="15" s="1"/>
  <c r="F59" i="15"/>
  <c r="H46" i="15"/>
  <c r="I46" i="15" s="1"/>
  <c r="F26" i="15"/>
  <c r="H71" i="15"/>
  <c r="I71" i="15" s="1"/>
  <c r="C649" i="25"/>
  <c r="M717" i="25" s="1"/>
  <c r="F72" i="15"/>
  <c r="F20" i="15"/>
  <c r="H81" i="15"/>
  <c r="I81" i="15" s="1"/>
  <c r="H85" i="15"/>
  <c r="I85" i="15" s="1"/>
  <c r="F44" i="15"/>
  <c r="H57" i="15"/>
  <c r="I57" i="15" s="1"/>
  <c r="F74" i="15"/>
  <c r="F80" i="15"/>
  <c r="F24" i="15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H74" i="15" l="1"/>
  <c r="I74" i="15" s="1"/>
  <c r="H40" i="15"/>
  <c r="I40" i="15" s="1"/>
  <c r="C138" i="8"/>
  <c r="D417" i="24"/>
  <c r="H69" i="15"/>
  <c r="I69" i="15" s="1"/>
  <c r="H22" i="15"/>
  <c r="I22" i="15" s="1"/>
  <c r="H91" i="15"/>
  <c r="I91" i="15" s="1"/>
  <c r="H72" i="15"/>
  <c r="I72" i="15" s="1"/>
  <c r="H79" i="15"/>
  <c r="I79" i="15" s="1"/>
  <c r="H30" i="15"/>
  <c r="I30" i="15" s="1"/>
  <c r="H80" i="15"/>
  <c r="I80" i="15" s="1"/>
  <c r="H76" i="15"/>
  <c r="I76" i="15" s="1"/>
  <c r="G47" i="15"/>
  <c r="H47" i="15" s="1"/>
  <c r="I47" i="15" s="1"/>
  <c r="H50" i="15"/>
  <c r="I50" i="15" s="1"/>
  <c r="H83" i="15"/>
  <c r="I83" i="15" s="1"/>
  <c r="H18" i="15"/>
  <c r="I18" i="15" s="1"/>
  <c r="C648" i="24"/>
  <c r="M716" i="24" s="1"/>
  <c r="G32" i="15"/>
  <c r="H32" i="15" s="1"/>
  <c r="I32" i="15" s="1"/>
  <c r="G38" i="15"/>
  <c r="H38" i="15"/>
  <c r="I38" i="15" s="1"/>
  <c r="G28" i="15"/>
  <c r="H28" i="15" s="1"/>
  <c r="I28" i="15" s="1"/>
  <c r="G34" i="15"/>
  <c r="H34" i="15" s="1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C168" i="8" l="1"/>
  <c r="D421" i="24"/>
  <c r="H15" i="15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D424" i="24" l="1"/>
  <c r="C177" i="8" s="1"/>
  <c r="C172" i="8"/>
  <c r="E710" i="24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K702" i="25"/>
  <c r="K694" i="25"/>
  <c r="K686" i="25"/>
  <c r="K707" i="25"/>
  <c r="K699" i="25"/>
  <c r="M699" i="25" s="1"/>
  <c r="K691" i="25"/>
  <c r="M691" i="25" s="1"/>
  <c r="K683" i="25"/>
  <c r="M683" i="25" s="1"/>
  <c r="K712" i="25"/>
  <c r="K704" i="25"/>
  <c r="K696" i="25"/>
  <c r="K688" i="25"/>
  <c r="K680" i="25"/>
  <c r="M680" i="25" s="1"/>
  <c r="K709" i="25"/>
  <c r="K701" i="25"/>
  <c r="K693" i="25"/>
  <c r="K685" i="25"/>
  <c r="M685" i="25" s="1"/>
  <c r="K717" i="25"/>
  <c r="K708" i="25"/>
  <c r="K700" i="25"/>
  <c r="M700" i="25" s="1"/>
  <c r="K692" i="25"/>
  <c r="M692" i="25" s="1"/>
  <c r="K684" i="25"/>
  <c r="K714" i="25"/>
  <c r="K689" i="25"/>
  <c r="K687" i="25"/>
  <c r="M687" i="25" s="1"/>
  <c r="K678" i="25"/>
  <c r="K670" i="25"/>
  <c r="M670" i="25" s="1"/>
  <c r="K706" i="25"/>
  <c r="K681" i="25"/>
  <c r="K675" i="25"/>
  <c r="K698" i="25"/>
  <c r="M698" i="25" s="1"/>
  <c r="K672" i="25"/>
  <c r="M672" i="25" s="1"/>
  <c r="K690" i="25"/>
  <c r="K677" i="25"/>
  <c r="M677" i="25" s="1"/>
  <c r="K669" i="25"/>
  <c r="K682" i="25"/>
  <c r="K674" i="25"/>
  <c r="K679" i="25"/>
  <c r="K671" i="25"/>
  <c r="M671" i="25" s="1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M681" i="25" l="1"/>
  <c r="M690" i="25"/>
  <c r="M675" i="25"/>
  <c r="M707" i="25"/>
  <c r="M701" i="25"/>
  <c r="M679" i="25"/>
  <c r="M710" i="25"/>
  <c r="M686" i="25"/>
  <c r="M704" i="25"/>
  <c r="M684" i="25"/>
  <c r="M706" i="25"/>
  <c r="M697" i="25"/>
  <c r="M708" i="25"/>
  <c r="M693" i="25"/>
  <c r="M696" i="25"/>
  <c r="M674" i="25"/>
  <c r="M694" i="25"/>
  <c r="M689" i="25"/>
  <c r="M714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M672" i="24" s="1"/>
  <c r="G23" i="32" s="1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711" i="24"/>
  <c r="D215" i="32" s="1"/>
  <c r="M716" i="25" l="1"/>
  <c r="K715" i="24"/>
  <c r="C23" i="32"/>
  <c r="M715" i="24"/>
</calcChain>
</file>

<file path=xl/sharedStrings.xml><?xml version="1.0" encoding="utf-8"?>
<sst xmlns="http://schemas.openxmlformats.org/spreadsheetml/2006/main" count="5794" uniqueCount="1387">
  <si>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</si>
  <si>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</si>
  <si>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</si>
  <si>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</si>
  <si>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</si>
  <si>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</si>
  <si>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</si>
  <si>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</si>
  <si>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</si>
  <si>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</si>
  <si>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</si>
  <si>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</si>
  <si>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</si>
  <si>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</si>
  <si>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</si>
  <si>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</si>
  <si>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</si>
  <si>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</si>
  <si>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</si>
  <si>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</si>
  <si>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</si>
  <si>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</si>
  <si>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</si>
  <si>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</si>
  <si>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</si>
  <si>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</si>
  <si>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</si>
  <si>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</si>
  <si>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</si>
  <si>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</si>
  <si>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</si>
  <si>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</si>
  <si>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</si>
  <si>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</si>
  <si>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</si>
  <si>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</si>
  <si>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</si>
  <si>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</si>
  <si>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</si>
  <si>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</si>
  <si>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</si>
  <si>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</si>
  <si>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</si>
  <si>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</si>
  <si>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</si>
  <si>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</si>
  <si>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</si>
  <si>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</si>
  <si>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</si>
  <si>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</si>
  <si>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</si>
  <si>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</si>
  <si>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</si>
  <si>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</si>
  <si>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</si>
  <si>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</si>
  <si>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</si>
  <si>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</si>
  <si>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</si>
  <si>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</si>
  <si>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</si>
  <si>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</si>
  <si>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</si>
  <si>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</si>
  <si>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</si>
  <si>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</si>
  <si>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</si>
  <si>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</si>
  <si>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</si>
  <si>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</si>
  <si>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</si>
  <si>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</si>
  <si>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</si>
  <si>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</si>
  <si>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</si>
  <si>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</si>
  <si>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</si>
  <si>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</si>
  <si>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</si>
  <si>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</si>
  <si>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</si>
  <si>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</si>
  <si>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</si>
  <si>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</si>
  <si>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</si>
  <si>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</si>
  <si>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</si>
  <si>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</si>
  <si>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</si>
  <si>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</si>
  <si>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</si>
  <si>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</si>
  <si>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</si>
  <si>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</si>
  <si>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</si>
  <si>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</si>
  <si>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</si>
  <si>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</si>
  <si>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</si>
  <si>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</si>
  <si>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</si>
  <si>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</si>
  <si>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</si>
  <si>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</si>
  <si>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</si>
  <si>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</si>
  <si>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</si>
  <si>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</si>
  <si>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</si>
  <si>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</si>
  <si>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</si>
  <si>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</si>
  <si>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</si>
  <si>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</si>
  <si>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</si>
  <si>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</si>
  <si>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</si>
  <si>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</si>
  <si>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</si>
  <si>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</si>
  <si>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</si>
  <si>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</si>
  <si>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</si>
  <si>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</si>
  <si>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</si>
  <si>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</si>
  <si>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</si>
  <si>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</si>
  <si>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</si>
  <si>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</si>
  <si>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</si>
  <si>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</si>
  <si>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</si>
  <si>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</si>
  <si>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</si>
  <si>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</si>
  <si>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</si>
  <si>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</si>
  <si>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</si>
  <si>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</si>
  <si>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</si>
  <si>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</si>
  <si>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</si>
  <si>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</si>
  <si>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</si>
  <si>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</si>
  <si>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</si>
  <si>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</si>
  <si>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</si>
  <si>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</si>
  <si>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</si>
  <si>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</si>
  <si>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</si>
  <si>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</si>
  <si>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</si>
  <si>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</si>
  <si>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</si>
  <si>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</si>
  <si>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</si>
  <si>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</si>
  <si>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</si>
  <si>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</si>
  <si>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</si>
  <si>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</si>
  <si>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</si>
  <si>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</si>
  <si>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</si>
  <si>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</si>
  <si>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</si>
  <si>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</si>
  <si>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</si>
  <si>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</si>
  <si>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</si>
  <si>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</si>
  <si>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</si>
  <si>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</si>
  <si>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</si>
  <si>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</si>
  <si>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</si>
  <si>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</si>
  <si>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</si>
  <si>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</si>
  <si>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</si>
  <si>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</si>
  <si>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</si>
  <si>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</si>
  <si>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</si>
  <si>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</si>
  <si>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</si>
  <si>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</si>
  <si>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</si>
  <si>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</si>
  <si>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</si>
  <si>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</si>
  <si>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</si>
  <si>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</si>
  <si>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</si>
  <si>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</si>
  <si>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</si>
  <si>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</si>
  <si>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</si>
  <si>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</si>
  <si>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</si>
  <si>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</si>
  <si>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</si>
  <si>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</si>
  <si>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</si>
  <si>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</si>
  <si>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</si>
  <si>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</si>
  <si>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</si>
  <si>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</si>
  <si>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</si>
  <si>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</si>
  <si>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</si>
  <si>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</si>
  <si>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</si>
  <si>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</si>
  <si>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</si>
  <si>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</si>
  <si>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</si>
  <si>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</si>
  <si>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</si>
  <si>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</si>
  <si>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</si>
  <si>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</si>
  <si>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</si>
  <si>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</si>
  <si>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</si>
  <si>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</si>
  <si>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</si>
  <si>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</si>
  <si>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</si>
  <si>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</si>
  <si>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</si>
  <si>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</si>
  <si>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</si>
  <si>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</si>
  <si>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</si>
  <si>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</si>
  <si>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</si>
  <si>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</si>
  <si>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</si>
  <si>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</si>
  <si>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</si>
  <si>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</si>
  <si>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</si>
  <si>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</si>
  <si>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</si>
  <si>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</si>
  <si>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</si>
  <si>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</si>
  <si>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</si>
  <si>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</si>
  <si>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</si>
  <si>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</si>
  <si>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</si>
  <si>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</si>
  <si>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</si>
  <si>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</si>
  <si>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</si>
  <si>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</si>
  <si>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</si>
  <si>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</si>
  <si>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</si>
  <si>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</si>
  <si>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</si>
  <si>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</si>
  <si>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</si>
  <si>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</si>
  <si>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</si>
  <si>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</si>
  <si>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</si>
  <si>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</si>
  <si>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</si>
  <si>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</si>
  <si>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</si>
  <si>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</si>
  <si>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</si>
  <si>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</si>
  <si>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</si>
  <si>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</si>
  <si>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</si>
  <si>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</si>
  <si>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</si>
  <si>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</si>
  <si>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</si>
  <si>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</si>
  <si>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</si>
  <si>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</si>
  <si>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</si>
  <si>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</si>
  <si>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</si>
  <si>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</si>
  <si>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</si>
  <si>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</si>
  <si>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</si>
  <si>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</si>
  <si>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</si>
  <si>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</si>
  <si>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</si>
  <si>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</si>
  <si>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</si>
  <si>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</si>
  <si>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</si>
  <si>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</si>
  <si>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</si>
  <si>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</si>
  <si>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</si>
  <si>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</si>
  <si>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</si>
  <si>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</si>
  <si>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</si>
  <si>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</si>
  <si>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</si>
  <si>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</si>
  <si>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</si>
  <si>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</si>
  <si>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</si>
  <si>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</si>
  <si>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</si>
  <si>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</si>
  <si>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</si>
  <si>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</si>
  <si>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</si>
  <si>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</si>
  <si>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</si>
  <si>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</si>
  <si>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</si>
  <si>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</si>
  <si>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</si>
  <si>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</si>
  <si>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</si>
  <si>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</si>
  <si>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</si>
  <si>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</si>
  <si>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</si>
  <si>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</si>
  <si>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</si>
  <si>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</si>
  <si>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</si>
  <si>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</si>
  <si>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</si>
  <si>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</si>
  <si>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</si>
  <si>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</si>
  <si>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</si>
  <si>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</si>
  <si>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</si>
  <si>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</si>
  <si>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</si>
  <si>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</si>
  <si>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</si>
  <si>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</si>
  <si>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</si>
  <si>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</si>
  <si>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</si>
  <si>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</si>
  <si>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</si>
  <si>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</si>
  <si>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</si>
  <si>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</si>
  <si>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</si>
  <si>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</si>
  <si>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</si>
  <si>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</si>
  <si>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</si>
  <si>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</si>
  <si>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</si>
  <si>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</si>
  <si>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</si>
  <si>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</si>
  <si>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</si>
  <si>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</si>
  <si>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</si>
  <si>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</si>
  <si>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</si>
  <si>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</si>
  <si>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</si>
  <si>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</si>
  <si>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</si>
  <si>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</si>
  <si>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</si>
  <si>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</si>
  <si>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</si>
  <si>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</si>
  <si>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</si>
  <si>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</si>
  <si>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</si>
  <si>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</si>
  <si>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</si>
  <si>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</si>
  <si>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</si>
  <si>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</si>
  <si>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</si>
  <si>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</si>
  <si>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</si>
  <si>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</si>
  <si>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</si>
  <si>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</si>
  <si>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</si>
  <si>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</si>
  <si>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</si>
  <si>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</si>
  <si>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</si>
  <si>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</si>
  <si>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</si>
  <si>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</si>
  <si>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</si>
  <si>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</si>
  <si>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</si>
  <si>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</si>
  <si>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</si>
  <si>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</si>
  <si>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</si>
  <si>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</si>
  <si>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</si>
  <si>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</si>
  <si>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</si>
  <si>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</si>
  <si>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</si>
  <si>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</si>
  <si>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</si>
  <si>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</si>
  <si>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</si>
  <si>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</si>
  <si>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</si>
  <si>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</si>
  <si>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</si>
  <si>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</si>
  <si>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</si>
  <si>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</si>
  <si>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</si>
  <si>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</si>
  <si>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</si>
  <si>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</si>
  <si>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</si>
  <si>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</si>
  <si>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</si>
  <si>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</si>
  <si>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</si>
  <si>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</si>
  <si>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</si>
  <si>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</si>
  <si>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</si>
  <si>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</si>
  <si>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</si>
  <si>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</si>
  <si>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</si>
  <si>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</si>
  <si>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</si>
  <si>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</si>
  <si>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</si>
  <si>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</si>
  <si>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</si>
  <si>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</si>
  <si>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</si>
  <si>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</si>
  <si>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</si>
  <si>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</si>
  <si>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</si>
  <si>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</si>
  <si>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</si>
  <si>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</si>
  <si>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</si>
  <si>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</si>
  <si>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</si>
  <si>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</si>
  <si>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</si>
  <si>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</si>
  <si>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</si>
  <si>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</si>
  <si>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</si>
  <si>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</si>
  <si>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</si>
  <si>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</si>
  <si>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</si>
  <si>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</si>
  <si>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</si>
  <si>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</si>
  <si>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</si>
  <si>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</si>
  <si>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</si>
  <si>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</si>
  <si>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</si>
  <si>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</si>
  <si>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</si>
  <si>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</si>
  <si>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</si>
  <si>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</si>
  <si>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</si>
  <si>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</si>
  <si>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</si>
  <si>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</si>
  <si>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</si>
  <si>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</si>
  <si>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</si>
  <si>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</si>
  <si>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</si>
  <si>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</si>
  <si>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</si>
  <si>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</si>
  <si>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</si>
  <si>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</si>
  <si>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</si>
  <si>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</si>
  <si>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</si>
  <si>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</si>
  <si>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</si>
  <si>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</si>
  <si>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</si>
  <si>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</si>
  <si>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</si>
  <si>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</si>
  <si>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</si>
  <si>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</si>
  <si>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</si>
  <si>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</si>
  <si>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</si>
  <si>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</si>
  <si>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</si>
  <si>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</si>
  <si>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</si>
  <si>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</si>
  <si>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</si>
  <si>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</si>
  <si>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</si>
  <si>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</si>
  <si>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</si>
  <si>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</si>
  <si>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</si>
  <si>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</si>
  <si>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</si>
  <si>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</si>
  <si>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</si>
  <si>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</si>
  <si>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</si>
  <si>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</si>
  <si>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</si>
  <si>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</si>
  <si>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</si>
  <si>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</si>
  <si>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</si>
  <si>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</si>
  <si>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</si>
  <si>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</si>
  <si>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</si>
  <si>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</si>
  <si>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</si>
  <si>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</si>
  <si>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</si>
  <si>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</si>
  <si>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</si>
  <si>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</si>
  <si>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</si>
  <si>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</si>
  <si>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</si>
  <si>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</si>
  <si>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</si>
  <si>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</si>
  <si>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</si>
  <si>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</si>
  <si>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</si>
  <si>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</si>
  <si>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</si>
  <si>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</si>
  <si>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</si>
  <si>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</si>
  <si>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</si>
  <si>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</si>
  <si>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</si>
  <si>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</si>
  <si>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</si>
  <si>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</si>
  <si>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</si>
  <si>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</si>
  <si>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</si>
  <si>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</si>
  <si>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</si>
  <si>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</si>
  <si>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</si>
  <si>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</si>
  <si>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</si>
  <si>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</si>
  <si>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</si>
  <si>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</si>
  <si>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</si>
  <si>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</si>
  <si>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</si>
  <si>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</si>
  <si>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</si>
  <si>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</si>
  <si>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</si>
  <si>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</si>
  <si>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</si>
  <si>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</si>
  <si>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</si>
  <si>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</si>
  <si>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</si>
  <si>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</si>
  <si>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</si>
  <si>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</si>
  <si>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</si>
  <si>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</si>
  <si>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</si>
  <si>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</si>
  <si>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</si>
  <si>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</si>
  <si>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</si>
  <si>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</si>
  <si>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</si>
  <si>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</si>
  <si>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</si>
  <si>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</si>
  <si>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</si>
  <si>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</si>
  <si>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</si>
  <si>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</si>
  <si>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</si>
  <si>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</si>
  <si>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</si>
  <si>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</si>
  <si>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</si>
  <si>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</si>
  <si>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</si>
  <si>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</si>
  <si>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</si>
  <si>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</si>
  <si>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</si>
  <si>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</si>
  <si>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</si>
  <si>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</si>
  <si>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</si>
  <si>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</si>
  <si>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</si>
  <si>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</si>
  <si>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</si>
  <si>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</si>
  <si>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</si>
  <si>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</si>
  <si>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</si>
  <si>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</si>
  <si>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</si>
  <si>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</si>
  <si>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</si>
  <si>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</si>
  <si>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</si>
  <si>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</si>
  <si>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</si>
  <si>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</si>
  <si>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</si>
  <si>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</si>
  <si>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</si>
  <si>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</si>
  <si>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</si>
  <si>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</si>
  <si>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</si>
  <si>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</si>
  <si>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</si>
  <si>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</si>
  <si>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</si>
  <si>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</si>
  <si>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</si>
  <si>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</si>
  <si>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</si>
  <si>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</si>
  <si>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</si>
  <si>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</si>
  <si>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</si>
  <si>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</si>
  <si>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</si>
  <si>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</si>
  <si>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</si>
  <si>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</si>
  <si>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</si>
  <si>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</si>
  <si>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</si>
  <si>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</si>
  <si>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</si>
  <si>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</si>
  <si>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</si>
  <si>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</si>
  <si>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</si>
  <si>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</si>
  <si>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</si>
  <si>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</si>
  <si>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</si>
  <si>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</si>
  <si>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</si>
  <si>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</si>
  <si>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</si>
  <si>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</si>
  <si>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</si>
  <si>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</si>
  <si>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</si>
  <si>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</si>
  <si>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</si>
  <si>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</si>
  <si>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</si>
  <si>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</si>
  <si>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</si>
  <si>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</si>
  <si>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</si>
  <si>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</si>
  <si>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</si>
  <si>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</si>
  <si>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</si>
  <si>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</si>
  <si>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</si>
  <si>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</si>
  <si>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</si>
  <si>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</si>
  <si>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</si>
  <si>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</si>
  <si>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</si>
  <si>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</si>
  <si>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</si>
  <si>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</si>
  <si>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</si>
  <si>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</si>
  <si>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</si>
  <si>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</si>
  <si>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</si>
  <si>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</si>
  <si>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</si>
  <si>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</si>
  <si>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</si>
  <si>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</si>
  <si>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</si>
  <si>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</si>
  <si>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</si>
  <si>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</si>
  <si>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</si>
  <si>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</si>
  <si>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</si>
  <si>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</si>
  <si>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</si>
  <si>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</si>
  <si>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</si>
  <si>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</si>
  <si>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</si>
  <si>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</si>
  <si>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</si>
  <si>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</si>
  <si>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</si>
  <si>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</si>
  <si>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</si>
  <si>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</si>
  <si>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</si>
  <si>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</si>
  <si>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</si>
  <si>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</si>
  <si>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</si>
  <si>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</si>
  <si>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</si>
  <si>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</si>
  <si>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</si>
  <si>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</si>
  <si>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</si>
  <si>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</si>
  <si>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</si>
  <si>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</si>
  <si>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</si>
  <si>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</si>
  <si>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</si>
  <si>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</si>
  <si>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</si>
  <si>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</si>
  <si>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</si>
  <si>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</si>
  <si>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</si>
  <si>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</si>
  <si>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</si>
  <si>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</si>
  <si>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</si>
  <si>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</si>
  <si>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</si>
  <si>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</si>
  <si>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</si>
  <si>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</si>
  <si>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</si>
  <si>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</si>
  <si>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</si>
  <si>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</si>
  <si>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</si>
  <si>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</si>
  <si>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</si>
  <si>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</si>
  <si>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</si>
  <si>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</si>
  <si>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</si>
  <si>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</si>
  <si>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</si>
  <si>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</si>
  <si>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</si>
  <si>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</si>
  <si>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</si>
  <si>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</si>
  <si>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</si>
  <si>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</si>
  <si>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</si>
  <si>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</si>
  <si>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</si>
  <si>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</si>
  <si>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</si>
  <si>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</si>
  <si>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</si>
  <si>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</si>
  <si>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</si>
  <si>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</si>
  <si>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</si>
  <si>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</si>
  <si>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</si>
  <si>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</si>
  <si>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</si>
  <si>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</si>
  <si>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</si>
  <si>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</si>
  <si>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</si>
  <si>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</si>
  <si>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</si>
  <si>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</si>
  <si>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</si>
  <si>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</si>
  <si>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</si>
  <si>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</si>
  <si>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</si>
  <si>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</si>
  <si>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</si>
  <si>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</si>
  <si>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</si>
  <si>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</si>
  <si>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</si>
  <si>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</si>
  <si>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</si>
  <si>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</si>
  <si>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</si>
  <si>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</si>
  <si>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</si>
  <si>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</si>
  <si>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</si>
  <si>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</si>
  <si>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</si>
  <si>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</si>
  <si>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</si>
  <si>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</si>
  <si>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</si>
  <si>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</si>
  <si>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</si>
  <si>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</si>
  <si>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</si>
  <si>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</si>
  <si>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</si>
  <si>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</si>
  <si>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</si>
  <si>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</si>
  <si>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</si>
  <si>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</si>
  <si>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</si>
  <si>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</si>
  <si>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</si>
  <si>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</si>
  <si>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</si>
  <si>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</si>
  <si>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</si>
  <si>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</si>
  <si>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</si>
  <si>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</si>
  <si>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</si>
  <si>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</si>
  <si>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</si>
  <si>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</si>
  <si>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</si>
  <si>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</si>
  <si>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</si>
  <si>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</si>
  <si>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</si>
  <si>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</si>
  <si>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</si>
  <si>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</si>
  <si>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</si>
  <si>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</si>
  <si>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</si>
  <si>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</si>
  <si>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</si>
  <si>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</si>
  <si>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</si>
  <si>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</si>
  <si>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</si>
  <si>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</si>
  <si>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</si>
  <si>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</si>
  <si>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</si>
  <si>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</si>
  <si>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</si>
  <si>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</si>
  <si>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</si>
  <si>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</si>
  <si>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</si>
  <si>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</si>
  <si>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</si>
  <si>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</si>
  <si>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</si>
  <si>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</si>
  <si>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</si>
  <si>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</si>
  <si>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</si>
  <si>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</si>
  <si>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</si>
  <si>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</si>
  <si>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</si>
  <si>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</si>
  <si>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</si>
  <si>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</si>
  <si>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</si>
  <si>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</si>
  <si>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</si>
  <si>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</si>
  <si>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</si>
  <si>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</si>
  <si>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</si>
  <si>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</si>
  <si>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</si>
  <si>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</si>
  <si>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</si>
  <si>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</si>
  <si>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</si>
  <si>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</si>
  <si>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</si>
  <si>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</si>
  <si>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</si>
  <si>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</si>
  <si>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</si>
  <si>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</si>
  <si>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</si>
  <si>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</si>
  <si>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</si>
  <si>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</si>
  <si>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</si>
  <si>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</si>
  <si>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</si>
  <si>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</si>
  <si>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</si>
  <si>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</si>
  <si>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</si>
  <si>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</si>
  <si>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</si>
  <si>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</si>
  <si>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</si>
  <si>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</si>
  <si>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</si>
  <si>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</si>
  <si>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</si>
  <si>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</si>
  <si>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</si>
  <si>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</si>
  <si>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</si>
  <si>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</si>
  <si>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</si>
  <si>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</si>
  <si>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</si>
  <si>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</si>
  <si>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</si>
  <si>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</si>
  <si>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</si>
  <si>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</si>
  <si>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</si>
  <si>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</si>
  <si>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</si>
  <si>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</si>
  <si>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</si>
  <si>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</si>
  <si>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</si>
  <si>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</si>
  <si>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</si>
  <si>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</si>
  <si>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</si>
  <si>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</si>
  <si>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</si>
  <si>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</si>
  <si>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</si>
  <si>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</si>
  <si>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</si>
  <si>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</si>
  <si>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</si>
  <si>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</si>
  <si>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</si>
  <si>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</si>
  <si>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</si>
  <si>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</si>
  <si>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</si>
  <si>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</si>
  <si>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</si>
  <si>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</si>
  <si>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</si>
  <si>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</si>
  <si>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</si>
  <si>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</si>
  <si>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</si>
  <si>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</si>
  <si>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</si>
  <si>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</si>
  <si>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</si>
  <si>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</si>
  <si>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</si>
  <si>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</si>
  <si>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</si>
  <si>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</si>
  <si>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</si>
  <si>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</si>
  <si>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</si>
  <si>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</si>
  <si>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</si>
  <si>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</si>
  <si>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</si>
  <si>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</si>
  <si>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</si>
  <si>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</si>
  <si>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</si>
  <si>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</si>
  <si>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</si>
  <si>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</si>
  <si>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</si>
  <si>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</si>
  <si>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</si>
  <si>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</si>
  <si>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</si>
  <si>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</si>
  <si>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</si>
  <si>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</si>
  <si>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</si>
  <si>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</si>
  <si>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</si>
  <si>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</si>
  <si>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</si>
  <si>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</si>
  <si>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</si>
  <si>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</si>
  <si>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</si>
  <si>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</si>
  <si>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</si>
  <si>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</si>
  <si>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</si>
  <si>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</si>
  <si>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</si>
  <si>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</si>
  <si>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</si>
  <si>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</si>
  <si>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</si>
  <si>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</si>
  <si>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</si>
  <si>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</si>
  <si>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</si>
  <si>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</si>
  <si>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</si>
  <si>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</si>
  <si>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</si>
  <si>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</si>
  <si>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</si>
  <si>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</si>
  <si>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</si>
  <si>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</si>
  <si>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</si>
  <si>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</si>
  <si>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</si>
  <si>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</si>
  <si>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</si>
  <si>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</si>
  <si>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</si>
  <si>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</si>
  <si>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</si>
  <si>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</si>
  <si>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</si>
  <si>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</si>
  <si>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</si>
  <si>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</si>
  <si>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</si>
  <si>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</si>
  <si>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</si>
  <si>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</si>
  <si>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</si>
  <si>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</si>
  <si>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</si>
  <si>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</si>
  <si>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</si>
  <si>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</si>
  <si>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</si>
  <si>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</si>
  <si>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</si>
  <si>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</si>
  <si>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</si>
  <si>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</si>
  <si>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</si>
  <si>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</si>
  <si>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</si>
  <si>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</si>
  <si>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</si>
  <si>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</si>
  <si>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</si>
  <si>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</si>
  <si>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</si>
  <si>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</si>
  <si>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</si>
  <si>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</si>
  <si>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</si>
  <si>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</si>
  <si>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</si>
  <si>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</si>
  <si>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</si>
  <si>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</si>
  <si>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</si>
  <si>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</si>
  <si>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</si>
  <si>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</si>
  <si>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</si>
  <si>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</si>
  <si>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</si>
  <si>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</si>
  <si>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</si>
  <si>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</si>
  <si>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</si>
  <si>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</si>
  <si>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</si>
  <si>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</si>
  <si>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</si>
  <si>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</si>
  <si>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</si>
  <si>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</si>
  <si>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</si>
  <si>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</si>
  <si>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</si>
  <si>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</si>
  <si>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</si>
  <si>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</si>
  <si>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</si>
  <si>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</si>
  <si>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</si>
  <si>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</si>
  <si>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</si>
  <si>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</si>
  <si>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</si>
  <si>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</si>
  <si>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</si>
  <si>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</si>
  <si>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</si>
  <si>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</si>
  <si>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</si>
  <si>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</si>
  <si>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</si>
  <si>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</si>
  <si>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</si>
  <si>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</si>
  <si>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</si>
  <si>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</si>
  <si>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</si>
  <si>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</si>
  <si>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</si>
  <si>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</si>
  <si>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</si>
  <si>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</si>
  <si>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</si>
  <si>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</si>
  <si>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</si>
  <si>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</si>
  <si>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</si>
  <si>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</si>
  <si>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</si>
  <si>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</si>
  <si>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</si>
  <si>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</si>
  <si>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</si>
  <si>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</si>
  <si>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</si>
  <si>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</si>
  <si>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</si>
  <si>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</si>
  <si>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</si>
  <si>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</si>
  <si>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</si>
  <si>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</si>
  <si>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</si>
  <si>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</si>
  <si>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</si>
  <si>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</si>
  <si>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</si>
  <si>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</si>
  <si>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</si>
  <si>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</si>
  <si>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</si>
  <si>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</si>
  <si>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</si>
  <si>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</si>
  <si>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</si>
  <si>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</si>
  <si>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</si>
  <si>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</si>
  <si>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</si>
  <si>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</si>
  <si>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</si>
  <si>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</si>
  <si>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</si>
  <si>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</si>
  <si>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</si>
  <si>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</si>
  <si>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</si>
  <si>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</si>
  <si>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</si>
  <si>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</si>
  <si>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</si>
  <si>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</si>
  <si>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</si>
  <si>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</si>
  <si>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</si>
  <si>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</si>
  <si>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</si>
  <si>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</si>
  <si>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</si>
  <si>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</si>
  <si>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</si>
  <si>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</si>
  <si>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</si>
  <si>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</si>
  <si>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</si>
  <si>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</si>
  <si>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</si>
  <si>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</si>
  <si>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</si>
  <si>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</si>
  <si>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</si>
  <si>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</si>
  <si>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</si>
  <si>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</si>
  <si>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</si>
  <si>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</si>
  <si>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</si>
  <si>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</si>
  <si>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</si>
  <si>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</si>
  <si>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</si>
  <si>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</si>
  <si>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</si>
  <si>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</si>
  <si>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</si>
  <si>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</si>
  <si>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</si>
  <si>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</si>
  <si>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</si>
  <si>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</si>
  <si>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</si>
  <si>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</si>
  <si>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</si>
  <si>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</si>
  <si>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</si>
  <si>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</si>
  <si>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</si>
  <si>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</si>
  <si>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</si>
  <si>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</si>
  <si>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</si>
  <si>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</si>
  <si>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</si>
  <si>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</si>
  <si>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</si>
  <si>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</si>
  <si>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</si>
  <si>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</si>
  <si>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</si>
  <si>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</si>
  <si>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</si>
  <si>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</si>
  <si>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</si>
  <si>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</si>
  <si>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</si>
  <si>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</si>
  <si>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</si>
  <si>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</si>
  <si>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</si>
  <si>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</si>
  <si>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</si>
  <si>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</si>
  <si>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</si>
  <si>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</si>
  <si>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</si>
  <si>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</si>
  <si>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</si>
  <si>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</si>
  <si>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</si>
  <si>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</si>
  <si>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</si>
  <si>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</si>
  <si>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</si>
  <si>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</si>
  <si>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</si>
  <si>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</si>
  <si>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</si>
  <si>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</si>
  <si>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</si>
  <si>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</si>
  <si>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</si>
  <si>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</si>
  <si>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</si>
  <si>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</si>
  <si>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</si>
  <si>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</si>
  <si>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</si>
  <si>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</si>
  <si>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</si>
  <si>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</si>
  <si>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</si>
  <si>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</si>
  <si>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</si>
  <si>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</si>
  <si>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</si>
  <si>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</si>
  <si>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</si>
  <si>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</si>
  <si>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</si>
  <si>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</si>
  <si>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</si>
  <si>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</si>
  <si>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</si>
  <si>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</si>
  <si>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</si>
  <si>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</si>
  <si>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</si>
  <si>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</si>
  <si>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</si>
  <si>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</si>
  <si>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</si>
  <si>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</si>
  <si>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</si>
  <si>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</si>
  <si>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</si>
  <si>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</si>
  <si>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</si>
  <si>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</si>
  <si>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</si>
  <si>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</si>
  <si>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</si>
  <si>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</si>
  <si>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</si>
  <si>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</si>
  <si>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</si>
  <si>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</si>
  <si>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</si>
  <si>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</si>
  <si>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</si>
  <si>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</si>
  <si>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</si>
  <si>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</si>
  <si>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</si>
  <si>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</si>
  <si>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</si>
  <si>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</si>
  <si>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</si>
  <si>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</si>
  <si>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</si>
  <si>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</si>
  <si>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</si>
  <si>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</si>
  <si>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</si>
  <si>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</si>
  <si>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</si>
  <si>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</si>
  <si>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078</t>
  </si>
  <si>
    <t>Samaritan Hospital</t>
  </si>
  <si>
    <t>801 E Wheeler Road</t>
  </si>
  <si>
    <t>Moses Lake</t>
  </si>
  <si>
    <t>WA</t>
  </si>
  <si>
    <t>Grant</t>
  </si>
  <si>
    <t>Theresa Sullivan</t>
  </si>
  <si>
    <t>Alexander Town</t>
  </si>
  <si>
    <t>Katherine Christian</t>
  </si>
  <si>
    <t>509-793-9601</t>
  </si>
  <si>
    <t>509-764-3242</t>
  </si>
  <si>
    <t>12/31/2022</t>
  </si>
  <si>
    <t>Billy Brice</t>
  </si>
  <si>
    <t>bbrice@samaritanhealthcare.com</t>
  </si>
  <si>
    <t>Commercial here?</t>
  </si>
  <si>
    <t>AFS BS</t>
  </si>
  <si>
    <t>Added Wipfli AJE</t>
  </si>
  <si>
    <t>Make Agree to AFS</t>
  </si>
  <si>
    <t>Transfers Per AFS</t>
  </si>
  <si>
    <t>Manual Adjustments made to FA Rollforward due to GASB 87 Implementation</t>
  </si>
  <si>
    <t>Check</t>
  </si>
  <si>
    <t>https://mft.wa.gov</t>
  </si>
  <si>
    <t>Submit report via hospitals Managed File Transfer account: https://mft.wa.gov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</si>
</sst>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7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38" fontId="15" fillId="4" borderId="14" xfId="0" quotePrefix="1" applyNumberFormat="1" applyFont="1" applyFill="1" applyBorder="1" applyProtection="1">
      <protection locked="0"/>
    </xf>
    <xf numFmtId="0" fontId="6" fillId="0" borderId="0" xfId="2">
      <alignment vertical="top"/>
      <protection locked="0"/>
    </xf>
    <xf numFmtId="37" fontId="11" fillId="8" borderId="0" xfId="0" applyFont="1" applyFill="1"/>
    <xf numFmtId="37" fontId="33" fillId="0" borderId="0" xfId="0" applyFont="1"/>
    <xf numFmtId="37" fontId="13" fillId="8" borderId="0" xfId="0" applyFont="1" applyFill="1"/>
    <xf numFmtId="37" fontId="34" fillId="0" borderId="0" xfId="0" applyFont="1"/>
    <xf numFmtId="2" fontId="15" fillId="0" borderId="1" xfId="0" quotePrefix="1" applyNumberFormat="1" applyFont="1" applyBorder="1" applyProtection="1">
      <protection locked="0"/>
    </xf>
    <xf numFmtId="37" fontId="15" fillId="3" borderId="0" xfId="0" applyFont="1" applyFill="1" applyAlignment="1">
      <alignment horizontal="center" vertical="center"/>
    </xf>
    <xf numFmtId="37" fontId="34" fillId="8" borderId="0" xfId="0" applyFont="1" applyFill="1" applyAlignment="1">
      <alignment wrapText="1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https://m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brice@samaritanhealthcare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70" zoomScaleNormal="70" workbookViewId="0">
      <selection activeCell="A34" sqref="A34"/>
    </sheetView>
  </sheetViews>
  <sheetFormatPr defaultColWidth="11.75" defaultRowHeight="14.5" x14ac:dyDescent="0.35"/>
  <cols>
    <col min="1" max="1" width="47.9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27" t="s">
        <v>1385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28" t="s">
        <v>18</v>
      </c>
      <c r="B36" s="329"/>
      <c r="C36" s="330"/>
      <c r="D36" s="329"/>
      <c r="E36" s="329"/>
      <c r="F36" s="329"/>
      <c r="G36" s="329"/>
    </row>
    <row r="37" spans="1:83" x14ac:dyDescent="0.35">
      <c r="A37" s="331" t="s">
        <v>1342</v>
      </c>
      <c r="B37" s="332"/>
      <c r="C37" s="330"/>
      <c r="D37" s="329"/>
      <c r="E37" s="329"/>
      <c r="F37" s="329"/>
      <c r="G37" s="329"/>
    </row>
    <row r="38" spans="1:83" x14ac:dyDescent="0.35">
      <c r="A38" s="335" t="s">
        <v>1361</v>
      </c>
      <c r="B38" s="332"/>
      <c r="C38" s="330"/>
      <c r="D38" s="329"/>
      <c r="E38" s="329"/>
      <c r="F38" s="329"/>
      <c r="G38" s="329"/>
    </row>
    <row r="39" spans="1:83" x14ac:dyDescent="0.35">
      <c r="A39" s="334" t="s">
        <v>1343</v>
      </c>
      <c r="B39" s="329"/>
      <c r="C39" s="330"/>
      <c r="D39" s="329"/>
      <c r="E39" s="329"/>
      <c r="F39" s="329"/>
      <c r="G39" s="329"/>
    </row>
    <row r="40" spans="1:83" x14ac:dyDescent="0.35">
      <c r="A40" s="335" t="s">
        <v>1362</v>
      </c>
      <c r="B40" s="329"/>
      <c r="C40" s="330"/>
      <c r="D40" s="329"/>
      <c r="E40" s="329"/>
      <c r="F40" s="329"/>
      <c r="G40" s="329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327" t="s">
        <v>1386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0</v>
      </c>
    </row>
    <row r="48" spans="1:83" x14ac:dyDescent="0.35">
      <c r="A48" s="32" t="s">
        <v>217</v>
      </c>
      <c r="B48" s="312">
        <v>20110729</v>
      </c>
      <c r="C48" s="32">
        <f>IF($B$48,(ROUND((($B$48/$CE$61)*C61),0)))</f>
        <v>994003</v>
      </c>
      <c r="D48" s="32">
        <f t="shared" ref="D48:BO48" si="0">IF($B$48,(ROUND((($B$48/$CE$61)*D61),0)))</f>
        <v>0</v>
      </c>
      <c r="E48" s="32">
        <f t="shared" si="0"/>
        <v>1749021</v>
      </c>
      <c r="F48" s="32">
        <f t="shared" si="0"/>
        <v>1165946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32421</v>
      </c>
      <c r="O48" s="32">
        <f t="shared" si="0"/>
        <v>0</v>
      </c>
      <c r="P48" s="32">
        <f t="shared" si="0"/>
        <v>732246</v>
      </c>
      <c r="Q48" s="32">
        <f t="shared" si="0"/>
        <v>154936</v>
      </c>
      <c r="R48" s="32">
        <f t="shared" si="0"/>
        <v>1046726</v>
      </c>
      <c r="S48" s="32">
        <f t="shared" si="0"/>
        <v>94117</v>
      </c>
      <c r="T48" s="32">
        <f t="shared" si="0"/>
        <v>235</v>
      </c>
      <c r="U48" s="32">
        <f t="shared" si="0"/>
        <v>814537</v>
      </c>
      <c r="V48" s="32">
        <f t="shared" si="0"/>
        <v>3936</v>
      </c>
      <c r="W48" s="32">
        <f t="shared" si="0"/>
        <v>73043</v>
      </c>
      <c r="X48" s="32">
        <f t="shared" si="0"/>
        <v>129557</v>
      </c>
      <c r="Y48" s="32">
        <f t="shared" si="0"/>
        <v>771715</v>
      </c>
      <c r="Z48" s="32">
        <f t="shared" si="0"/>
        <v>0</v>
      </c>
      <c r="AA48" s="32">
        <f t="shared" si="0"/>
        <v>46308</v>
      </c>
      <c r="AB48" s="32">
        <f t="shared" si="0"/>
        <v>407892</v>
      </c>
      <c r="AC48" s="32">
        <f t="shared" si="0"/>
        <v>439188</v>
      </c>
      <c r="AD48" s="32">
        <f t="shared" si="0"/>
        <v>0</v>
      </c>
      <c r="AE48" s="32">
        <f t="shared" si="0"/>
        <v>197591</v>
      </c>
      <c r="AF48" s="32">
        <f t="shared" si="0"/>
        <v>0</v>
      </c>
      <c r="AG48" s="32">
        <f t="shared" si="0"/>
        <v>1141154</v>
      </c>
      <c r="AH48" s="32">
        <f t="shared" si="0"/>
        <v>25778</v>
      </c>
      <c r="AI48" s="32">
        <f t="shared" si="0"/>
        <v>277811</v>
      </c>
      <c r="AJ48" s="32">
        <f t="shared" si="0"/>
        <v>4531976</v>
      </c>
      <c r="AK48" s="32">
        <f t="shared" si="0"/>
        <v>568211</v>
      </c>
      <c r="AL48" s="32">
        <f t="shared" si="0"/>
        <v>21455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363342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47194</v>
      </c>
      <c r="AW48" s="32">
        <f t="shared" si="0"/>
        <v>0</v>
      </c>
      <c r="AX48" s="32">
        <f t="shared" si="0"/>
        <v>0</v>
      </c>
      <c r="AY48" s="32">
        <f t="shared" si="0"/>
        <v>281486</v>
      </c>
      <c r="AZ48" s="32">
        <f t="shared" si="0"/>
        <v>0</v>
      </c>
      <c r="BA48" s="32">
        <f t="shared" si="0"/>
        <v>0</v>
      </c>
      <c r="BB48" s="32">
        <f t="shared" si="0"/>
        <v>154649</v>
      </c>
      <c r="BC48" s="32">
        <f t="shared" si="0"/>
        <v>0</v>
      </c>
      <c r="BD48" s="32">
        <f t="shared" si="0"/>
        <v>95319</v>
      </c>
      <c r="BE48" s="32">
        <f t="shared" si="0"/>
        <v>447189</v>
      </c>
      <c r="BF48" s="32">
        <f t="shared" si="0"/>
        <v>366655</v>
      </c>
      <c r="BG48" s="32">
        <f t="shared" si="0"/>
        <v>0</v>
      </c>
      <c r="BH48" s="32">
        <f t="shared" si="0"/>
        <v>177833</v>
      </c>
      <c r="BI48" s="32">
        <f t="shared" si="0"/>
        <v>0</v>
      </c>
      <c r="BJ48" s="32">
        <f t="shared" si="0"/>
        <v>189496</v>
      </c>
      <c r="BK48" s="32">
        <f t="shared" si="0"/>
        <v>480492</v>
      </c>
      <c r="BL48" s="32">
        <f t="shared" si="0"/>
        <v>229160</v>
      </c>
      <c r="BM48" s="32">
        <f t="shared" si="0"/>
        <v>0</v>
      </c>
      <c r="BN48" s="32">
        <f t="shared" si="0"/>
        <v>416908</v>
      </c>
      <c r="BO48" s="32">
        <f t="shared" si="0"/>
        <v>40021</v>
      </c>
      <c r="BP48" s="32">
        <f t="shared" ref="BP48:CD48" si="1">IF($B$48,(ROUND((($B$48/$CE$61)*BP61),0)))</f>
        <v>83093</v>
      </c>
      <c r="BQ48" s="32">
        <f t="shared" si="1"/>
        <v>0</v>
      </c>
      <c r="BR48" s="32">
        <f t="shared" si="1"/>
        <v>188095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377663</v>
      </c>
      <c r="BW48" s="32">
        <f t="shared" si="1"/>
        <v>37908</v>
      </c>
      <c r="BX48" s="32">
        <f t="shared" si="1"/>
        <v>0</v>
      </c>
      <c r="BY48" s="32">
        <f t="shared" si="1"/>
        <v>407499</v>
      </c>
      <c r="BZ48" s="32">
        <f t="shared" si="1"/>
        <v>62006</v>
      </c>
      <c r="CA48" s="32">
        <f t="shared" si="1"/>
        <v>69407</v>
      </c>
      <c r="CB48" s="32">
        <f t="shared" si="1"/>
        <v>0</v>
      </c>
      <c r="CC48" s="32">
        <f t="shared" si="1"/>
        <v>175511</v>
      </c>
      <c r="CD48" s="32">
        <f t="shared" si="1"/>
        <v>0</v>
      </c>
      <c r="CE48" s="32">
        <f>SUM(C48:CD48)</f>
        <v>20110729</v>
      </c>
    </row>
    <row r="49" spans="1:83" x14ac:dyDescent="0.35">
      <c r="A49" s="20" t="s">
        <v>218</v>
      </c>
      <c r="B49" s="32">
        <f>B47+B48</f>
        <v>20110729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83" x14ac:dyDescent="0.35">
      <c r="A52" s="39" t="s">
        <v>220</v>
      </c>
      <c r="B52" s="313">
        <v>7475398</v>
      </c>
      <c r="C52" s="32">
        <f>IF($B$52,ROUND(($B$52/($CE$90+$CF$90)*C90),0))</f>
        <v>0</v>
      </c>
      <c r="D52" s="32">
        <f t="shared" ref="D52:BO52" si="2">IF($B$52,ROUND(($B$52/($CE$90+$CF$90)*D90),0))</f>
        <v>0</v>
      </c>
      <c r="E52" s="32">
        <f t="shared" si="2"/>
        <v>650490</v>
      </c>
      <c r="F52" s="32">
        <f t="shared" si="2"/>
        <v>412137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32">
        <f t="shared" si="2"/>
        <v>319266</v>
      </c>
      <c r="Q52" s="32">
        <f t="shared" si="2"/>
        <v>45363</v>
      </c>
      <c r="R52" s="32">
        <f t="shared" si="2"/>
        <v>6044</v>
      </c>
      <c r="S52" s="32">
        <f t="shared" si="2"/>
        <v>44161</v>
      </c>
      <c r="T52" s="32">
        <f t="shared" si="2"/>
        <v>0</v>
      </c>
      <c r="U52" s="32">
        <f t="shared" si="2"/>
        <v>105642</v>
      </c>
      <c r="V52" s="32">
        <f t="shared" si="2"/>
        <v>0</v>
      </c>
      <c r="W52" s="32">
        <f t="shared" si="2"/>
        <v>0</v>
      </c>
      <c r="X52" s="32">
        <f t="shared" si="2"/>
        <v>0</v>
      </c>
      <c r="Y52" s="32">
        <f t="shared" si="2"/>
        <v>216126</v>
      </c>
      <c r="Z52" s="32">
        <f t="shared" si="2"/>
        <v>0</v>
      </c>
      <c r="AA52" s="32">
        <f t="shared" si="2"/>
        <v>0</v>
      </c>
      <c r="AB52" s="32">
        <f t="shared" si="2"/>
        <v>53650</v>
      </c>
      <c r="AC52" s="32">
        <f t="shared" si="2"/>
        <v>26939</v>
      </c>
      <c r="AD52" s="32">
        <f t="shared" si="2"/>
        <v>0</v>
      </c>
      <c r="AE52" s="32">
        <f t="shared" si="2"/>
        <v>66258</v>
      </c>
      <c r="AF52" s="32">
        <f t="shared" si="2"/>
        <v>0</v>
      </c>
      <c r="AG52" s="32">
        <f t="shared" si="2"/>
        <v>177814</v>
      </c>
      <c r="AH52" s="32">
        <f t="shared" si="2"/>
        <v>0</v>
      </c>
      <c r="AI52" s="32">
        <f t="shared" si="2"/>
        <v>126081</v>
      </c>
      <c r="AJ52" s="32">
        <f t="shared" si="2"/>
        <v>2197035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0</v>
      </c>
      <c r="AW52" s="32">
        <f t="shared" si="2"/>
        <v>0</v>
      </c>
      <c r="AX52" s="32">
        <f t="shared" si="2"/>
        <v>0</v>
      </c>
      <c r="AY52" s="32">
        <f t="shared" si="2"/>
        <v>239587</v>
      </c>
      <c r="AZ52" s="32">
        <f t="shared" si="2"/>
        <v>0</v>
      </c>
      <c r="BA52" s="32">
        <f t="shared" si="2"/>
        <v>21349</v>
      </c>
      <c r="BB52" s="32">
        <f t="shared" si="2"/>
        <v>19010</v>
      </c>
      <c r="BC52" s="32">
        <f t="shared" si="2"/>
        <v>0</v>
      </c>
      <c r="BD52" s="32">
        <f t="shared" si="2"/>
        <v>152760</v>
      </c>
      <c r="BE52" s="32">
        <f t="shared" si="2"/>
        <v>796296</v>
      </c>
      <c r="BF52" s="32">
        <f t="shared" si="2"/>
        <v>111199</v>
      </c>
      <c r="BG52" s="32">
        <f t="shared" si="2"/>
        <v>0</v>
      </c>
      <c r="BH52" s="32">
        <f t="shared" si="2"/>
        <v>115488</v>
      </c>
      <c r="BI52" s="32">
        <f t="shared" si="2"/>
        <v>0</v>
      </c>
      <c r="BJ52" s="32">
        <f t="shared" si="2"/>
        <v>47248</v>
      </c>
      <c r="BK52" s="32">
        <f t="shared" si="2"/>
        <v>60701</v>
      </c>
      <c r="BL52" s="32">
        <f t="shared" si="2"/>
        <v>43121</v>
      </c>
      <c r="BM52" s="32">
        <f t="shared" si="2"/>
        <v>0</v>
      </c>
      <c r="BN52" s="32">
        <f t="shared" si="2"/>
        <v>929981</v>
      </c>
      <c r="BO52" s="32">
        <f t="shared" si="2"/>
        <v>6662</v>
      </c>
      <c r="BP52" s="32">
        <f t="shared" ref="BP52:CD52" si="3">IF($B$52,ROUND(($B$52/($CE$90+$CF$90)*BP90),0))</f>
        <v>37954</v>
      </c>
      <c r="BQ52" s="32">
        <f t="shared" si="3"/>
        <v>0</v>
      </c>
      <c r="BR52" s="32">
        <f t="shared" si="3"/>
        <v>53195</v>
      </c>
      <c r="BS52" s="32">
        <f t="shared" si="3"/>
        <v>29018</v>
      </c>
      <c r="BT52" s="32">
        <f t="shared" si="3"/>
        <v>0</v>
      </c>
      <c r="BU52" s="32">
        <f t="shared" si="3"/>
        <v>0</v>
      </c>
      <c r="BV52" s="32">
        <f t="shared" si="3"/>
        <v>53357</v>
      </c>
      <c r="BW52" s="32">
        <f t="shared" si="3"/>
        <v>30578</v>
      </c>
      <c r="BX52" s="32">
        <f t="shared" si="3"/>
        <v>0</v>
      </c>
      <c r="BY52" s="32">
        <f t="shared" si="3"/>
        <v>19595</v>
      </c>
      <c r="BZ52" s="32">
        <f t="shared" si="3"/>
        <v>0</v>
      </c>
      <c r="CA52" s="32">
        <f t="shared" si="3"/>
        <v>249466</v>
      </c>
      <c r="CB52" s="32">
        <f t="shared" si="3"/>
        <v>3250</v>
      </c>
      <c r="CC52" s="32">
        <f t="shared" si="3"/>
        <v>8579</v>
      </c>
      <c r="CD52" s="32">
        <f t="shared" si="3"/>
        <v>0</v>
      </c>
      <c r="CE52" s="32">
        <f>SUM(C52:CD52)</f>
        <v>7475400</v>
      </c>
    </row>
    <row r="53" spans="1:83" x14ac:dyDescent="0.35">
      <c r="A53" s="20" t="s">
        <v>218</v>
      </c>
      <c r="B53" s="32">
        <f>B51+B52</f>
        <v>7475398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3091</v>
      </c>
      <c r="D59" s="24"/>
      <c r="E59" s="24">
        <v>6001</v>
      </c>
      <c r="F59" s="24">
        <v>1653</v>
      </c>
      <c r="G59" s="24"/>
      <c r="H59" s="24"/>
      <c r="I59" s="24"/>
      <c r="J59" s="24">
        <v>1431</v>
      </c>
      <c r="K59" s="24"/>
      <c r="L59" s="24"/>
      <c r="M59" s="24"/>
      <c r="N59" s="24"/>
      <c r="O59" s="24">
        <v>985</v>
      </c>
      <c r="P59" s="30">
        <v>318948.00000000006</v>
      </c>
      <c r="Q59" s="30">
        <v>116382.09999999999</v>
      </c>
      <c r="R59" s="30">
        <v>365574.99999999994</v>
      </c>
      <c r="S59" s="314"/>
      <c r="T59" s="314"/>
      <c r="U59" s="31">
        <v>287034</v>
      </c>
      <c r="V59" s="30">
        <v>1330</v>
      </c>
      <c r="W59" s="30">
        <v>2405</v>
      </c>
      <c r="X59" s="30">
        <v>10550</v>
      </c>
      <c r="Y59" s="30">
        <v>36898</v>
      </c>
      <c r="Z59" s="30"/>
      <c r="AA59" s="30">
        <v>386</v>
      </c>
      <c r="AB59" s="314"/>
      <c r="AC59" s="30">
        <v>14825</v>
      </c>
      <c r="AD59" s="30"/>
      <c r="AE59" s="30">
        <v>14825</v>
      </c>
      <c r="AF59" s="30"/>
      <c r="AG59" s="30">
        <v>24304</v>
      </c>
      <c r="AH59" s="30"/>
      <c r="AI59" s="30">
        <v>9969</v>
      </c>
      <c r="AJ59" s="30">
        <v>68346</v>
      </c>
      <c r="AK59" s="30">
        <v>9790</v>
      </c>
      <c r="AL59" s="30">
        <v>1150</v>
      </c>
      <c r="AM59" s="30"/>
      <c r="AN59" s="30"/>
      <c r="AO59" s="30"/>
      <c r="AP59" s="30">
        <v>6745</v>
      </c>
      <c r="AQ59" s="30"/>
      <c r="AR59" s="30"/>
      <c r="AS59" s="30"/>
      <c r="AT59" s="30"/>
      <c r="AU59" s="30"/>
      <c r="AV59" s="314"/>
      <c r="AW59" s="314"/>
      <c r="AX59" s="314"/>
      <c r="AY59" s="30">
        <v>30433</v>
      </c>
      <c r="AZ59" s="30">
        <v>82996</v>
      </c>
      <c r="BA59" s="314"/>
      <c r="BB59" s="314"/>
      <c r="BC59" s="314"/>
      <c r="BD59" s="314"/>
      <c r="BE59" s="30">
        <v>237076.0816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44">
        <v>28.787533653846165</v>
      </c>
      <c r="D60" s="344">
        <v>0</v>
      </c>
      <c r="E60" s="344">
        <v>36.954966346153867</v>
      </c>
      <c r="F60" s="344">
        <v>30.817923076923076</v>
      </c>
      <c r="G60" s="344">
        <v>0</v>
      </c>
      <c r="H60" s="344">
        <v>0</v>
      </c>
      <c r="I60" s="344">
        <v>0</v>
      </c>
      <c r="J60" s="344">
        <v>0</v>
      </c>
      <c r="K60" s="344">
        <v>0</v>
      </c>
      <c r="L60" s="344">
        <v>0</v>
      </c>
      <c r="M60" s="344">
        <v>0</v>
      </c>
      <c r="N60" s="344">
        <v>1.9038413461538459</v>
      </c>
      <c r="O60" s="344">
        <v>0</v>
      </c>
      <c r="P60" s="344">
        <v>18.137600961538464</v>
      </c>
      <c r="Q60" s="344">
        <v>4.2236682692307701</v>
      </c>
      <c r="R60" s="344">
        <v>12.970499999999998</v>
      </c>
      <c r="S60" s="344">
        <v>5.8670624999999932</v>
      </c>
      <c r="T60" s="344">
        <v>0</v>
      </c>
      <c r="U60" s="344">
        <v>23.232947115384619</v>
      </c>
      <c r="V60" s="344">
        <v>0.220432692307692</v>
      </c>
      <c r="W60" s="344">
        <v>2.1628365384615345</v>
      </c>
      <c r="X60" s="344">
        <v>4.2288846153846116</v>
      </c>
      <c r="Y60" s="344">
        <v>24.499173076923071</v>
      </c>
      <c r="Z60" s="344">
        <v>0</v>
      </c>
      <c r="AA60" s="344">
        <v>1.2151394230769181</v>
      </c>
      <c r="AB60" s="344">
        <v>11.801370192307711</v>
      </c>
      <c r="AC60" s="344">
        <v>5.498038461538461</v>
      </c>
      <c r="AD60" s="344">
        <v>0</v>
      </c>
      <c r="AE60" s="344">
        <v>5.6561057692307699</v>
      </c>
      <c r="AF60" s="344">
        <v>0</v>
      </c>
      <c r="AG60" s="344">
        <v>29.72177884615386</v>
      </c>
      <c r="AH60" s="344">
        <v>2.3440913461538475</v>
      </c>
      <c r="AI60" s="344">
        <v>9.4271971153846206</v>
      </c>
      <c r="AJ60" s="344">
        <v>117.26100961538464</v>
      </c>
      <c r="AK60" s="344">
        <v>14.194461538461539</v>
      </c>
      <c r="AL60" s="344">
        <v>0.62068749999999973</v>
      </c>
      <c r="AM60" s="344">
        <v>0</v>
      </c>
      <c r="AN60" s="344">
        <v>0</v>
      </c>
      <c r="AO60" s="344">
        <v>0</v>
      </c>
      <c r="AP60" s="344">
        <v>9.976274038461538</v>
      </c>
      <c r="AQ60" s="344">
        <v>0</v>
      </c>
      <c r="AR60" s="344">
        <v>0</v>
      </c>
      <c r="AS60" s="344">
        <v>0</v>
      </c>
      <c r="AT60" s="344">
        <v>0</v>
      </c>
      <c r="AU60" s="344">
        <v>0</v>
      </c>
      <c r="AV60" s="344">
        <v>3.0749711538461533</v>
      </c>
      <c r="AW60" s="344">
        <v>0</v>
      </c>
      <c r="AX60" s="344">
        <v>0</v>
      </c>
      <c r="AY60" s="344">
        <v>19.406514423076938</v>
      </c>
      <c r="AZ60" s="344">
        <v>0</v>
      </c>
      <c r="BA60" s="344">
        <v>0</v>
      </c>
      <c r="BB60" s="344">
        <v>5.2821250000000006</v>
      </c>
      <c r="BC60" s="344">
        <v>0</v>
      </c>
      <c r="BD60" s="344">
        <v>6.6495913461538461</v>
      </c>
      <c r="BE60" s="344">
        <v>23.603581730769239</v>
      </c>
      <c r="BF60" s="344">
        <v>28.919293269230778</v>
      </c>
      <c r="BG60" s="344">
        <v>0</v>
      </c>
      <c r="BH60" s="344">
        <v>6.828961538461531</v>
      </c>
      <c r="BI60" s="344">
        <v>0</v>
      </c>
      <c r="BJ60" s="344">
        <v>7.960350961538464</v>
      </c>
      <c r="BK60" s="344">
        <v>29.015418269230771</v>
      </c>
      <c r="BL60" s="344">
        <v>17.692091346153841</v>
      </c>
      <c r="BM60" s="344">
        <v>0</v>
      </c>
      <c r="BN60" s="344">
        <v>7.3601778846153803</v>
      </c>
      <c r="BO60" s="344">
        <v>1.8676346153846159</v>
      </c>
      <c r="BP60" s="344">
        <v>3.7688701923076948</v>
      </c>
      <c r="BQ60" s="344">
        <v>0</v>
      </c>
      <c r="BR60" s="344">
        <v>6.9381538461538463</v>
      </c>
      <c r="BS60" s="344">
        <v>0</v>
      </c>
      <c r="BT60" s="344">
        <v>0</v>
      </c>
      <c r="BU60" s="344">
        <v>0</v>
      </c>
      <c r="BV60" s="344">
        <v>20.997894230769234</v>
      </c>
      <c r="BW60" s="344">
        <v>2.0550480769230774</v>
      </c>
      <c r="BX60" s="344">
        <v>0</v>
      </c>
      <c r="BY60" s="344">
        <v>9.069788461538467</v>
      </c>
      <c r="BZ60" s="344">
        <v>2.8305673076923075</v>
      </c>
      <c r="CA60" s="344">
        <v>2.6040288461538452</v>
      </c>
      <c r="CB60" s="344">
        <v>0</v>
      </c>
      <c r="CC60" s="344">
        <v>5.5956730769230774</v>
      </c>
      <c r="CD60" s="247" t="s">
        <v>233</v>
      </c>
      <c r="CE60" s="268">
        <f t="shared" ref="CE60:CE68" si="4">SUM(C60:CD60)</f>
        <v>613.24425961538452</v>
      </c>
    </row>
    <row r="61" spans="1:83" x14ac:dyDescent="0.35">
      <c r="A61" s="39" t="s">
        <v>248</v>
      </c>
      <c r="B61" s="20"/>
      <c r="C61" s="24">
        <v>3444321</v>
      </c>
      <c r="D61" s="24">
        <v>0</v>
      </c>
      <c r="E61" s="24">
        <v>6060533</v>
      </c>
      <c r="F61" s="24">
        <v>4040120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112341</v>
      </c>
      <c r="O61" s="24">
        <v>0</v>
      </c>
      <c r="P61" s="24">
        <v>2537305</v>
      </c>
      <c r="Q61" s="24">
        <v>536870</v>
      </c>
      <c r="R61" s="24">
        <v>3627011</v>
      </c>
      <c r="S61" s="24">
        <v>326124</v>
      </c>
      <c r="T61" s="24">
        <v>816</v>
      </c>
      <c r="U61" s="24">
        <v>2822452</v>
      </c>
      <c r="V61" s="24">
        <v>13639</v>
      </c>
      <c r="W61" s="24">
        <v>253102</v>
      </c>
      <c r="X61" s="24">
        <v>448929</v>
      </c>
      <c r="Y61" s="24">
        <v>2674070</v>
      </c>
      <c r="Z61" s="24">
        <v>0</v>
      </c>
      <c r="AA61" s="24">
        <v>160463</v>
      </c>
      <c r="AB61" s="24">
        <v>1413386</v>
      </c>
      <c r="AC61" s="24">
        <v>1521832</v>
      </c>
      <c r="AD61" s="24">
        <v>0</v>
      </c>
      <c r="AE61" s="24">
        <v>684674</v>
      </c>
      <c r="AF61" s="24">
        <v>0</v>
      </c>
      <c r="AG61" s="24">
        <v>3954214</v>
      </c>
      <c r="AH61" s="24">
        <v>89324</v>
      </c>
      <c r="AI61" s="24">
        <v>962644</v>
      </c>
      <c r="AJ61" s="24">
        <v>15703754</v>
      </c>
      <c r="AK61" s="24">
        <v>1968909</v>
      </c>
      <c r="AL61" s="24">
        <v>74342</v>
      </c>
      <c r="AM61" s="24">
        <v>0</v>
      </c>
      <c r="AN61" s="24">
        <v>0</v>
      </c>
      <c r="AO61" s="24">
        <v>0</v>
      </c>
      <c r="AP61" s="24">
        <v>1259016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163532</v>
      </c>
      <c r="AW61" s="24">
        <v>0</v>
      </c>
      <c r="AX61" s="24">
        <v>0</v>
      </c>
      <c r="AY61" s="24">
        <v>975378</v>
      </c>
      <c r="AZ61" s="24">
        <v>0</v>
      </c>
      <c r="BA61" s="24">
        <v>0</v>
      </c>
      <c r="BB61" s="24">
        <v>535874</v>
      </c>
      <c r="BC61" s="24">
        <v>0</v>
      </c>
      <c r="BD61" s="24">
        <v>330290</v>
      </c>
      <c r="BE61" s="24">
        <v>1549555</v>
      </c>
      <c r="BF61" s="24">
        <v>1270495</v>
      </c>
      <c r="BG61" s="24">
        <v>0</v>
      </c>
      <c r="BH61" s="24">
        <v>616208</v>
      </c>
      <c r="BI61" s="24">
        <v>0</v>
      </c>
      <c r="BJ61" s="24">
        <v>656621</v>
      </c>
      <c r="BK61" s="24">
        <v>1664954</v>
      </c>
      <c r="BL61" s="24">
        <v>794063</v>
      </c>
      <c r="BM61" s="24">
        <v>0</v>
      </c>
      <c r="BN61" s="24">
        <v>1444628</v>
      </c>
      <c r="BO61" s="24">
        <v>138676</v>
      </c>
      <c r="BP61" s="24">
        <v>287927</v>
      </c>
      <c r="BQ61" s="24">
        <v>0</v>
      </c>
      <c r="BR61" s="24">
        <v>651767</v>
      </c>
      <c r="BS61" s="24">
        <v>0</v>
      </c>
      <c r="BT61" s="24">
        <v>0</v>
      </c>
      <c r="BU61" s="24">
        <v>0</v>
      </c>
      <c r="BV61" s="24">
        <v>1308640</v>
      </c>
      <c r="BW61" s="24">
        <v>131354</v>
      </c>
      <c r="BX61" s="24">
        <v>0</v>
      </c>
      <c r="BY61" s="24">
        <v>1412024</v>
      </c>
      <c r="BZ61" s="24">
        <v>214856</v>
      </c>
      <c r="CA61" s="24">
        <v>240502</v>
      </c>
      <c r="CB61" s="24">
        <v>0</v>
      </c>
      <c r="CC61" s="24">
        <v>608162</v>
      </c>
      <c r="CD61" s="29" t="s">
        <v>233</v>
      </c>
      <c r="CE61" s="32">
        <f t="shared" si="4"/>
        <v>69685697</v>
      </c>
    </row>
    <row r="62" spans="1:83" x14ac:dyDescent="0.35">
      <c r="A62" s="39" t="s">
        <v>9</v>
      </c>
      <c r="B62" s="20"/>
      <c r="C62" s="32">
        <f>ROUND(C47+C48,0)</f>
        <v>994003</v>
      </c>
      <c r="D62" s="32">
        <f t="shared" ref="D62:BO62" si="5">ROUND(D47+D48,0)</f>
        <v>0</v>
      </c>
      <c r="E62" s="32">
        <f t="shared" si="5"/>
        <v>1749021</v>
      </c>
      <c r="F62" s="32">
        <f t="shared" si="5"/>
        <v>1165946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32421</v>
      </c>
      <c r="O62" s="32">
        <f t="shared" si="5"/>
        <v>0</v>
      </c>
      <c r="P62" s="32">
        <f t="shared" si="5"/>
        <v>732246</v>
      </c>
      <c r="Q62" s="32">
        <f t="shared" si="5"/>
        <v>154936</v>
      </c>
      <c r="R62" s="32">
        <f t="shared" si="5"/>
        <v>1046726</v>
      </c>
      <c r="S62" s="32">
        <f t="shared" si="5"/>
        <v>94117</v>
      </c>
      <c r="T62" s="32">
        <f t="shared" si="5"/>
        <v>235</v>
      </c>
      <c r="U62" s="32">
        <f t="shared" si="5"/>
        <v>814537</v>
      </c>
      <c r="V62" s="32">
        <f t="shared" si="5"/>
        <v>3936</v>
      </c>
      <c r="W62" s="32">
        <f t="shared" si="5"/>
        <v>73043</v>
      </c>
      <c r="X62" s="32">
        <f t="shared" si="5"/>
        <v>129557</v>
      </c>
      <c r="Y62" s="32">
        <f t="shared" si="5"/>
        <v>771715</v>
      </c>
      <c r="Z62" s="32">
        <f t="shared" si="5"/>
        <v>0</v>
      </c>
      <c r="AA62" s="32">
        <f t="shared" si="5"/>
        <v>46308</v>
      </c>
      <c r="AB62" s="32">
        <f t="shared" si="5"/>
        <v>407892</v>
      </c>
      <c r="AC62" s="32">
        <f t="shared" si="5"/>
        <v>439188</v>
      </c>
      <c r="AD62" s="32">
        <f t="shared" si="5"/>
        <v>0</v>
      </c>
      <c r="AE62" s="32">
        <f t="shared" si="5"/>
        <v>197591</v>
      </c>
      <c r="AF62" s="32">
        <f t="shared" si="5"/>
        <v>0</v>
      </c>
      <c r="AG62" s="32">
        <f t="shared" si="5"/>
        <v>1141154</v>
      </c>
      <c r="AH62" s="32">
        <f t="shared" si="5"/>
        <v>25778</v>
      </c>
      <c r="AI62" s="32">
        <f t="shared" si="5"/>
        <v>277811</v>
      </c>
      <c r="AJ62" s="32">
        <f t="shared" si="5"/>
        <v>4531976</v>
      </c>
      <c r="AK62" s="32">
        <f t="shared" si="5"/>
        <v>568211</v>
      </c>
      <c r="AL62" s="32">
        <f t="shared" si="5"/>
        <v>21455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363342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47194</v>
      </c>
      <c r="AW62" s="32">
        <f t="shared" si="5"/>
        <v>0</v>
      </c>
      <c r="AX62" s="32">
        <f t="shared" si="5"/>
        <v>0</v>
      </c>
      <c r="AY62" s="32">
        <f t="shared" si="5"/>
        <v>281486</v>
      </c>
      <c r="AZ62" s="32">
        <f t="shared" si="5"/>
        <v>0</v>
      </c>
      <c r="BA62" s="32">
        <f t="shared" si="5"/>
        <v>0</v>
      </c>
      <c r="BB62" s="32">
        <f t="shared" si="5"/>
        <v>154649</v>
      </c>
      <c r="BC62" s="32">
        <f t="shared" si="5"/>
        <v>0</v>
      </c>
      <c r="BD62" s="32">
        <f t="shared" si="5"/>
        <v>95319</v>
      </c>
      <c r="BE62" s="32">
        <f t="shared" si="5"/>
        <v>447189</v>
      </c>
      <c r="BF62" s="32">
        <f t="shared" si="5"/>
        <v>366655</v>
      </c>
      <c r="BG62" s="32">
        <f t="shared" si="5"/>
        <v>0</v>
      </c>
      <c r="BH62" s="32">
        <f t="shared" si="5"/>
        <v>177833</v>
      </c>
      <c r="BI62" s="32">
        <f t="shared" si="5"/>
        <v>0</v>
      </c>
      <c r="BJ62" s="32">
        <f t="shared" si="5"/>
        <v>189496</v>
      </c>
      <c r="BK62" s="32">
        <f t="shared" si="5"/>
        <v>480492</v>
      </c>
      <c r="BL62" s="32">
        <f t="shared" si="5"/>
        <v>229160</v>
      </c>
      <c r="BM62" s="32">
        <f t="shared" si="5"/>
        <v>0</v>
      </c>
      <c r="BN62" s="32">
        <f t="shared" si="5"/>
        <v>416908</v>
      </c>
      <c r="BO62" s="32">
        <f t="shared" si="5"/>
        <v>40021</v>
      </c>
      <c r="BP62" s="32">
        <f t="shared" ref="BP62:CC62" si="6">ROUND(BP47+BP48,0)</f>
        <v>83093</v>
      </c>
      <c r="BQ62" s="32">
        <f t="shared" si="6"/>
        <v>0</v>
      </c>
      <c r="BR62" s="32">
        <f t="shared" si="6"/>
        <v>188095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377663</v>
      </c>
      <c r="BW62" s="32">
        <f t="shared" si="6"/>
        <v>37908</v>
      </c>
      <c r="BX62" s="32">
        <f t="shared" si="6"/>
        <v>0</v>
      </c>
      <c r="BY62" s="32">
        <f t="shared" si="6"/>
        <v>407499</v>
      </c>
      <c r="BZ62" s="32">
        <f t="shared" si="6"/>
        <v>62006</v>
      </c>
      <c r="CA62" s="32">
        <f t="shared" si="6"/>
        <v>69407</v>
      </c>
      <c r="CB62" s="32">
        <f t="shared" si="6"/>
        <v>0</v>
      </c>
      <c r="CC62" s="32">
        <f t="shared" si="6"/>
        <v>175511</v>
      </c>
      <c r="CD62" s="29" t="s">
        <v>233</v>
      </c>
      <c r="CE62" s="32">
        <f t="shared" si="4"/>
        <v>20110729</v>
      </c>
    </row>
    <row r="63" spans="1:83" x14ac:dyDescent="0.35">
      <c r="A63" s="39" t="s">
        <v>249</v>
      </c>
      <c r="B63" s="20"/>
      <c r="C63" s="24">
        <v>2890888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233977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857860</v>
      </c>
      <c r="S63" s="24">
        <v>0</v>
      </c>
      <c r="T63" s="24">
        <v>0</v>
      </c>
      <c r="U63" s="24">
        <v>10926</v>
      </c>
      <c r="V63" s="24">
        <v>0</v>
      </c>
      <c r="W63" s="24">
        <v>0</v>
      </c>
      <c r="X63" s="24">
        <v>0</v>
      </c>
      <c r="Y63" s="24">
        <v>46080</v>
      </c>
      <c r="Z63" s="24">
        <v>0</v>
      </c>
      <c r="AA63" s="24">
        <v>0</v>
      </c>
      <c r="AB63" s="24">
        <v>7500</v>
      </c>
      <c r="AC63" s="24">
        <v>0</v>
      </c>
      <c r="AD63" s="24">
        <v>0</v>
      </c>
      <c r="AE63" s="24">
        <v>0</v>
      </c>
      <c r="AF63" s="24">
        <v>0</v>
      </c>
      <c r="AG63" s="24">
        <v>3761429</v>
      </c>
      <c r="AH63" s="24">
        <v>23902</v>
      </c>
      <c r="AI63" s="24">
        <v>0</v>
      </c>
      <c r="AJ63" s="24">
        <v>383849</v>
      </c>
      <c r="AK63" s="24">
        <v>760</v>
      </c>
      <c r="AL63" s="24">
        <v>0</v>
      </c>
      <c r="AM63" s="24">
        <v>0</v>
      </c>
      <c r="AN63" s="24">
        <v>0</v>
      </c>
      <c r="AO63" s="24">
        <v>0</v>
      </c>
      <c r="AP63" s="24">
        <v>261097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  <c r="BD63" s="24">
        <v>0</v>
      </c>
      <c r="BE63" s="24">
        <v>4973</v>
      </c>
      <c r="BF63" s="24">
        <v>0</v>
      </c>
      <c r="BG63" s="24">
        <v>0</v>
      </c>
      <c r="BH63" s="24">
        <v>32554</v>
      </c>
      <c r="BI63" s="24">
        <v>0</v>
      </c>
      <c r="BJ63" s="24">
        <v>78924</v>
      </c>
      <c r="BK63" s="24">
        <v>517337</v>
      </c>
      <c r="BL63" s="24">
        <v>0</v>
      </c>
      <c r="BM63" s="24">
        <v>39158</v>
      </c>
      <c r="BN63" s="24">
        <v>675318</v>
      </c>
      <c r="BO63" s="24">
        <v>0</v>
      </c>
      <c r="BP63" s="24">
        <v>207635</v>
      </c>
      <c r="BQ63" s="24">
        <v>0</v>
      </c>
      <c r="BR63" s="24">
        <v>266949</v>
      </c>
      <c r="BS63" s="24">
        <v>0</v>
      </c>
      <c r="BT63" s="24">
        <v>0</v>
      </c>
      <c r="BU63" s="24">
        <v>0</v>
      </c>
      <c r="BV63" s="24">
        <v>0</v>
      </c>
      <c r="BW63" s="24">
        <v>27364</v>
      </c>
      <c r="BX63" s="24">
        <v>0</v>
      </c>
      <c r="BY63" s="24">
        <v>46318</v>
      </c>
      <c r="BZ63" s="24">
        <v>0</v>
      </c>
      <c r="CA63" s="24">
        <v>0</v>
      </c>
      <c r="CB63" s="24">
        <v>0</v>
      </c>
      <c r="CC63" s="24">
        <v>29617</v>
      </c>
      <c r="CD63" s="29" t="s">
        <v>233</v>
      </c>
      <c r="CE63" s="32">
        <f t="shared" si="4"/>
        <v>10404415</v>
      </c>
    </row>
    <row r="64" spans="1:83" x14ac:dyDescent="0.35">
      <c r="A64" s="39" t="s">
        <v>250</v>
      </c>
      <c r="B64" s="20"/>
      <c r="C64" s="24">
        <v>297342</v>
      </c>
      <c r="D64" s="24">
        <v>0</v>
      </c>
      <c r="E64" s="24">
        <v>419567</v>
      </c>
      <c r="F64" s="24">
        <v>275655</v>
      </c>
      <c r="G64" s="24">
        <v>0</v>
      </c>
      <c r="H64" s="24">
        <v>0</v>
      </c>
      <c r="I64" s="24">
        <v>0</v>
      </c>
      <c r="J64" s="24">
        <v>56440</v>
      </c>
      <c r="K64" s="24">
        <v>0</v>
      </c>
      <c r="L64" s="24">
        <v>0</v>
      </c>
      <c r="M64" s="24">
        <v>0</v>
      </c>
      <c r="N64" s="24">
        <v>0</v>
      </c>
      <c r="O64" s="24">
        <v>208729</v>
      </c>
      <c r="P64" s="24">
        <v>3084296</v>
      </c>
      <c r="Q64" s="24">
        <v>51943</v>
      </c>
      <c r="R64" s="24">
        <v>308631</v>
      </c>
      <c r="S64" s="24">
        <v>3502039</v>
      </c>
      <c r="T64" s="24">
        <v>0</v>
      </c>
      <c r="U64" s="24">
        <v>2025187</v>
      </c>
      <c r="V64" s="24">
        <v>7466</v>
      </c>
      <c r="W64" s="24">
        <v>27223</v>
      </c>
      <c r="X64" s="24">
        <v>198891</v>
      </c>
      <c r="Y64" s="24">
        <v>162320</v>
      </c>
      <c r="Z64" s="24">
        <v>0</v>
      </c>
      <c r="AA64" s="24">
        <v>186905</v>
      </c>
      <c r="AB64" s="24">
        <v>4443064</v>
      </c>
      <c r="AC64" s="24">
        <v>87011</v>
      </c>
      <c r="AD64" s="24">
        <v>0</v>
      </c>
      <c r="AE64" s="24">
        <v>25846</v>
      </c>
      <c r="AF64" s="24">
        <v>0</v>
      </c>
      <c r="AG64" s="24">
        <v>729281</v>
      </c>
      <c r="AH64" s="24">
        <v>53371</v>
      </c>
      <c r="AI64" s="24">
        <v>217253</v>
      </c>
      <c r="AJ64" s="24">
        <v>1092609</v>
      </c>
      <c r="AK64" s="24">
        <v>9572</v>
      </c>
      <c r="AL64" s="24">
        <v>349</v>
      </c>
      <c r="AM64" s="24">
        <v>0</v>
      </c>
      <c r="AN64" s="24">
        <v>0</v>
      </c>
      <c r="AO64" s="24">
        <v>0</v>
      </c>
      <c r="AP64" s="24">
        <v>43665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6722</v>
      </c>
      <c r="AW64" s="24">
        <v>0</v>
      </c>
      <c r="AX64" s="24">
        <v>0</v>
      </c>
      <c r="AY64" s="24">
        <v>568527</v>
      </c>
      <c r="AZ64" s="24">
        <v>0</v>
      </c>
      <c r="BA64" s="24">
        <v>0</v>
      </c>
      <c r="BB64" s="24">
        <v>2158</v>
      </c>
      <c r="BC64" s="24">
        <v>0</v>
      </c>
      <c r="BD64" s="24">
        <v>103735</v>
      </c>
      <c r="BE64" s="24">
        <v>9727</v>
      </c>
      <c r="BF64" s="24">
        <v>266100</v>
      </c>
      <c r="BG64" s="24">
        <v>0</v>
      </c>
      <c r="BH64" s="24">
        <v>14066</v>
      </c>
      <c r="BI64" s="24">
        <v>0</v>
      </c>
      <c r="BJ64" s="24">
        <v>2268</v>
      </c>
      <c r="BK64" s="24">
        <v>11637</v>
      </c>
      <c r="BL64" s="24">
        <v>14804</v>
      </c>
      <c r="BM64" s="24">
        <v>3447</v>
      </c>
      <c r="BN64" s="24">
        <v>24529</v>
      </c>
      <c r="BO64" s="24">
        <v>14826</v>
      </c>
      <c r="BP64" s="24">
        <v>41407</v>
      </c>
      <c r="BQ64" s="24">
        <v>0</v>
      </c>
      <c r="BR64" s="24">
        <v>7918</v>
      </c>
      <c r="BS64" s="24">
        <v>2555</v>
      </c>
      <c r="BT64" s="24">
        <v>0</v>
      </c>
      <c r="BU64" s="24">
        <v>0</v>
      </c>
      <c r="BV64" s="24">
        <v>2086</v>
      </c>
      <c r="BW64" s="24">
        <v>9667</v>
      </c>
      <c r="BX64" s="24">
        <v>0</v>
      </c>
      <c r="BY64" s="24">
        <v>13278</v>
      </c>
      <c r="BZ64" s="24">
        <v>0</v>
      </c>
      <c r="CA64" s="24">
        <v>148354</v>
      </c>
      <c r="CB64" s="24">
        <v>40</v>
      </c>
      <c r="CC64" s="24">
        <v>12367</v>
      </c>
      <c r="CD64" s="29" t="s">
        <v>233</v>
      </c>
      <c r="CE64" s="32">
        <f t="shared" si="4"/>
        <v>18794873</v>
      </c>
    </row>
    <row r="65" spans="1:83" x14ac:dyDescent="0.35">
      <c r="A65" s="39" t="s">
        <v>251</v>
      </c>
      <c r="B65" s="20"/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4">
        <v>0</v>
      </c>
      <c r="AH65" s="24">
        <v>0</v>
      </c>
      <c r="AI65" s="24">
        <v>0</v>
      </c>
      <c r="AJ65" s="24">
        <v>0</v>
      </c>
      <c r="AK65" s="24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0</v>
      </c>
      <c r="BC65" s="24">
        <v>0</v>
      </c>
      <c r="BD65" s="24">
        <v>0</v>
      </c>
      <c r="BE65" s="24">
        <v>337722</v>
      </c>
      <c r="BF65" s="24">
        <v>0</v>
      </c>
      <c r="BG65" s="24">
        <v>0</v>
      </c>
      <c r="BH65" s="24">
        <v>160345</v>
      </c>
      <c r="BI65" s="24">
        <v>0</v>
      </c>
      <c r="BJ65" s="24">
        <v>0</v>
      </c>
      <c r="BK65" s="24">
        <v>0</v>
      </c>
      <c r="BL65" s="24">
        <v>0</v>
      </c>
      <c r="BM65" s="24">
        <v>0</v>
      </c>
      <c r="BN65" s="24">
        <v>0</v>
      </c>
      <c r="BO65" s="24">
        <v>0</v>
      </c>
      <c r="BP65" s="24">
        <v>0</v>
      </c>
      <c r="BQ65" s="24">
        <v>0</v>
      </c>
      <c r="BR65" s="24">
        <v>0</v>
      </c>
      <c r="BS65" s="24">
        <v>0</v>
      </c>
      <c r="BT65" s="24">
        <v>0</v>
      </c>
      <c r="BU65" s="24">
        <v>0</v>
      </c>
      <c r="BV65" s="24">
        <v>0</v>
      </c>
      <c r="BW65" s="24">
        <v>0</v>
      </c>
      <c r="BX65" s="24">
        <v>0</v>
      </c>
      <c r="BY65" s="24">
        <v>0</v>
      </c>
      <c r="BZ65" s="24">
        <v>0</v>
      </c>
      <c r="CA65" s="24">
        <v>0</v>
      </c>
      <c r="CB65" s="24">
        <v>0</v>
      </c>
      <c r="CC65" s="24">
        <v>129403</v>
      </c>
      <c r="CD65" s="29" t="s">
        <v>233</v>
      </c>
      <c r="CE65" s="32">
        <f t="shared" si="4"/>
        <v>627470</v>
      </c>
    </row>
    <row r="66" spans="1:83" x14ac:dyDescent="0.35">
      <c r="A66" s="39" t="s">
        <v>252</v>
      </c>
      <c r="B66" s="20"/>
      <c r="C66" s="24">
        <v>4315</v>
      </c>
      <c r="D66" s="24">
        <v>0</v>
      </c>
      <c r="E66" s="24">
        <v>9505</v>
      </c>
      <c r="F66" s="24">
        <v>59070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53164</v>
      </c>
      <c r="Q66" s="24">
        <v>1177</v>
      </c>
      <c r="R66" s="24">
        <v>15562</v>
      </c>
      <c r="S66" s="24">
        <v>98731</v>
      </c>
      <c r="T66" s="24">
        <v>0</v>
      </c>
      <c r="U66" s="24">
        <v>1473123</v>
      </c>
      <c r="V66" s="24">
        <v>36942</v>
      </c>
      <c r="W66" s="24">
        <v>28943</v>
      </c>
      <c r="X66" s="24">
        <v>96007</v>
      </c>
      <c r="Y66" s="24">
        <v>689606</v>
      </c>
      <c r="Z66" s="24">
        <v>0</v>
      </c>
      <c r="AA66" s="24">
        <v>84930</v>
      </c>
      <c r="AB66" s="24">
        <v>410909</v>
      </c>
      <c r="AC66" s="24">
        <v>13657</v>
      </c>
      <c r="AD66" s="24">
        <v>0</v>
      </c>
      <c r="AE66" s="24">
        <v>48928</v>
      </c>
      <c r="AF66" s="24">
        <v>0</v>
      </c>
      <c r="AG66" s="24">
        <v>6128</v>
      </c>
      <c r="AH66" s="24">
        <v>13878</v>
      </c>
      <c r="AI66" s="24">
        <v>1836</v>
      </c>
      <c r="AJ66" s="24">
        <v>183337</v>
      </c>
      <c r="AK66" s="24">
        <v>2619</v>
      </c>
      <c r="AL66" s="24">
        <v>-1539</v>
      </c>
      <c r="AM66" s="24">
        <v>0</v>
      </c>
      <c r="AN66" s="24">
        <v>0</v>
      </c>
      <c r="AO66" s="24">
        <v>0</v>
      </c>
      <c r="AP66" s="24">
        <v>58463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1122</v>
      </c>
      <c r="AW66" s="24">
        <v>0</v>
      </c>
      <c r="AX66" s="24">
        <v>0</v>
      </c>
      <c r="AY66" s="24">
        <v>39746</v>
      </c>
      <c r="AZ66" s="24">
        <v>0</v>
      </c>
      <c r="BA66" s="24">
        <v>0</v>
      </c>
      <c r="BB66" s="24">
        <v>140515</v>
      </c>
      <c r="BC66" s="24">
        <v>0</v>
      </c>
      <c r="BD66" s="24">
        <v>245687</v>
      </c>
      <c r="BE66" s="24">
        <v>36150</v>
      </c>
      <c r="BF66" s="24">
        <v>914724</v>
      </c>
      <c r="BG66" s="24">
        <v>0</v>
      </c>
      <c r="BH66" s="24">
        <v>1089036</v>
      </c>
      <c r="BI66" s="24">
        <v>0</v>
      </c>
      <c r="BJ66" s="24">
        <v>144887</v>
      </c>
      <c r="BK66" s="24">
        <v>33106</v>
      </c>
      <c r="BL66" s="24">
        <v>2259</v>
      </c>
      <c r="BM66" s="24">
        <v>4583</v>
      </c>
      <c r="BN66" s="24">
        <v>55417</v>
      </c>
      <c r="BO66" s="24">
        <v>3184</v>
      </c>
      <c r="BP66" s="24">
        <v>187003</v>
      </c>
      <c r="BQ66" s="24">
        <v>0</v>
      </c>
      <c r="BR66" s="24">
        <v>453740</v>
      </c>
      <c r="BS66" s="24">
        <v>0</v>
      </c>
      <c r="BT66" s="24">
        <v>0</v>
      </c>
      <c r="BU66" s="24">
        <v>0</v>
      </c>
      <c r="BV66" s="24">
        <v>397545</v>
      </c>
      <c r="BW66" s="24">
        <v>86174</v>
      </c>
      <c r="BX66" s="24">
        <v>0</v>
      </c>
      <c r="BY66" s="24">
        <v>97911</v>
      </c>
      <c r="BZ66" s="24">
        <v>0</v>
      </c>
      <c r="CA66" s="24">
        <v>162609</v>
      </c>
      <c r="CB66" s="24">
        <v>10618</v>
      </c>
      <c r="CC66" s="24">
        <v>81394</v>
      </c>
      <c r="CD66" s="29" t="s">
        <v>233</v>
      </c>
      <c r="CE66" s="32">
        <f t="shared" si="4"/>
        <v>7576701</v>
      </c>
    </row>
    <row r="67" spans="1:83" x14ac:dyDescent="0.3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650490</v>
      </c>
      <c r="F67" s="32">
        <f t="shared" si="7"/>
        <v>412137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319266</v>
      </c>
      <c r="Q67" s="32">
        <f t="shared" si="7"/>
        <v>45363</v>
      </c>
      <c r="R67" s="32">
        <f t="shared" si="7"/>
        <v>6044</v>
      </c>
      <c r="S67" s="32">
        <f t="shared" si="7"/>
        <v>44161</v>
      </c>
      <c r="T67" s="32">
        <f t="shared" si="7"/>
        <v>0</v>
      </c>
      <c r="U67" s="32">
        <f t="shared" si="7"/>
        <v>105642</v>
      </c>
      <c r="V67" s="32">
        <f t="shared" si="7"/>
        <v>0</v>
      </c>
      <c r="W67" s="32">
        <f t="shared" si="7"/>
        <v>0</v>
      </c>
      <c r="X67" s="32">
        <f t="shared" si="7"/>
        <v>0</v>
      </c>
      <c r="Y67" s="32">
        <f t="shared" si="7"/>
        <v>216126</v>
      </c>
      <c r="Z67" s="32">
        <f t="shared" si="7"/>
        <v>0</v>
      </c>
      <c r="AA67" s="32">
        <f t="shared" si="7"/>
        <v>0</v>
      </c>
      <c r="AB67" s="32">
        <f t="shared" si="7"/>
        <v>53650</v>
      </c>
      <c r="AC67" s="32">
        <f t="shared" si="7"/>
        <v>26939</v>
      </c>
      <c r="AD67" s="32">
        <f t="shared" si="7"/>
        <v>0</v>
      </c>
      <c r="AE67" s="32">
        <f t="shared" si="7"/>
        <v>66258</v>
      </c>
      <c r="AF67" s="32">
        <f t="shared" si="7"/>
        <v>0</v>
      </c>
      <c r="AG67" s="32">
        <f t="shared" si="7"/>
        <v>177814</v>
      </c>
      <c r="AH67" s="32">
        <f t="shared" si="7"/>
        <v>0</v>
      </c>
      <c r="AI67" s="32">
        <f t="shared" si="7"/>
        <v>126081</v>
      </c>
      <c r="AJ67" s="32">
        <f t="shared" si="7"/>
        <v>2197035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239587</v>
      </c>
      <c r="AZ67" s="32">
        <f t="shared" si="7"/>
        <v>0</v>
      </c>
      <c r="BA67" s="32">
        <f t="shared" si="7"/>
        <v>21349</v>
      </c>
      <c r="BB67" s="32">
        <f t="shared" si="7"/>
        <v>19010</v>
      </c>
      <c r="BC67" s="32">
        <f t="shared" si="7"/>
        <v>0</v>
      </c>
      <c r="BD67" s="32">
        <f t="shared" si="7"/>
        <v>152760</v>
      </c>
      <c r="BE67" s="32">
        <f t="shared" si="7"/>
        <v>796296</v>
      </c>
      <c r="BF67" s="32">
        <f t="shared" si="7"/>
        <v>111199</v>
      </c>
      <c r="BG67" s="32">
        <f t="shared" si="7"/>
        <v>0</v>
      </c>
      <c r="BH67" s="32">
        <f t="shared" si="7"/>
        <v>115488</v>
      </c>
      <c r="BI67" s="32">
        <f t="shared" si="7"/>
        <v>0</v>
      </c>
      <c r="BJ67" s="32">
        <f t="shared" si="7"/>
        <v>47248</v>
      </c>
      <c r="BK67" s="32">
        <f t="shared" si="7"/>
        <v>60701</v>
      </c>
      <c r="BL67" s="32">
        <f t="shared" si="7"/>
        <v>43121</v>
      </c>
      <c r="BM67" s="32">
        <f t="shared" si="7"/>
        <v>0</v>
      </c>
      <c r="BN67" s="32">
        <f t="shared" si="7"/>
        <v>929981</v>
      </c>
      <c r="BO67" s="32">
        <f t="shared" ref="BO67:CC67" si="8">ROUND(BO51+BO52,0)</f>
        <v>6662</v>
      </c>
      <c r="BP67" s="32">
        <f t="shared" si="8"/>
        <v>37954</v>
      </c>
      <c r="BQ67" s="32">
        <f t="shared" si="8"/>
        <v>0</v>
      </c>
      <c r="BR67" s="32">
        <f t="shared" si="8"/>
        <v>53195</v>
      </c>
      <c r="BS67" s="32">
        <f t="shared" si="8"/>
        <v>29018</v>
      </c>
      <c r="BT67" s="32">
        <f t="shared" si="8"/>
        <v>0</v>
      </c>
      <c r="BU67" s="32">
        <f t="shared" si="8"/>
        <v>0</v>
      </c>
      <c r="BV67" s="32">
        <f t="shared" si="8"/>
        <v>53357</v>
      </c>
      <c r="BW67" s="32">
        <f t="shared" si="8"/>
        <v>30578</v>
      </c>
      <c r="BX67" s="32">
        <f t="shared" si="8"/>
        <v>0</v>
      </c>
      <c r="BY67" s="32">
        <f t="shared" si="8"/>
        <v>19595</v>
      </c>
      <c r="BZ67" s="32">
        <f t="shared" si="8"/>
        <v>0</v>
      </c>
      <c r="CA67" s="32">
        <f t="shared" si="8"/>
        <v>249466</v>
      </c>
      <c r="CB67" s="32">
        <f t="shared" si="8"/>
        <v>3250</v>
      </c>
      <c r="CC67" s="32">
        <f t="shared" si="8"/>
        <v>8579</v>
      </c>
      <c r="CD67" s="29" t="s">
        <v>233</v>
      </c>
      <c r="CE67" s="32">
        <f t="shared" si="4"/>
        <v>7475400</v>
      </c>
    </row>
    <row r="68" spans="1:83" x14ac:dyDescent="0.35">
      <c r="A68" s="39" t="s">
        <v>253</v>
      </c>
      <c r="B68" s="32"/>
      <c r="C68" s="24">
        <v>9657</v>
      </c>
      <c r="D68" s="24">
        <v>0</v>
      </c>
      <c r="E68" s="24">
        <v>29316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140035</v>
      </c>
      <c r="Q68" s="24">
        <v>0</v>
      </c>
      <c r="R68" s="24">
        <v>0</v>
      </c>
      <c r="S68" s="24">
        <v>-108927</v>
      </c>
      <c r="T68" s="24">
        <v>0</v>
      </c>
      <c r="U68" s="24">
        <v>100480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200941</v>
      </c>
      <c r="AC68" s="24">
        <v>0</v>
      </c>
      <c r="AD68" s="24">
        <v>0</v>
      </c>
      <c r="AE68" s="24">
        <v>0</v>
      </c>
      <c r="AF68" s="24">
        <v>0</v>
      </c>
      <c r="AG68" s="24">
        <v>240</v>
      </c>
      <c r="AH68" s="24">
        <v>508</v>
      </c>
      <c r="AI68" s="24">
        <v>0</v>
      </c>
      <c r="AJ68" s="24">
        <v>-27389</v>
      </c>
      <c r="AK68" s="24">
        <v>89838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  <c r="BD68" s="24">
        <v>33706</v>
      </c>
      <c r="BE68" s="24">
        <v>33741</v>
      </c>
      <c r="BF68" s="24">
        <v>0</v>
      </c>
      <c r="BG68" s="24">
        <v>0</v>
      </c>
      <c r="BH68" s="24">
        <v>0</v>
      </c>
      <c r="BI68" s="24">
        <v>0</v>
      </c>
      <c r="BJ68" s="24">
        <v>0</v>
      </c>
      <c r="BK68" s="24">
        <v>11044</v>
      </c>
      <c r="BL68" s="24">
        <v>0</v>
      </c>
      <c r="BM68" s="24">
        <v>0</v>
      </c>
      <c r="BN68" s="24">
        <v>0</v>
      </c>
      <c r="BO68" s="24">
        <v>0</v>
      </c>
      <c r="BP68" s="24">
        <v>3290</v>
      </c>
      <c r="BQ68" s="24">
        <v>0</v>
      </c>
      <c r="BR68" s="24">
        <v>18071</v>
      </c>
      <c r="BS68" s="24">
        <v>0</v>
      </c>
      <c r="BT68" s="24">
        <v>0</v>
      </c>
      <c r="BU68" s="24">
        <v>0</v>
      </c>
      <c r="BV68" s="24">
        <v>0</v>
      </c>
      <c r="BW68" s="24">
        <v>0</v>
      </c>
      <c r="BX68" s="24">
        <v>0</v>
      </c>
      <c r="BY68" s="24">
        <v>1600</v>
      </c>
      <c r="BZ68" s="24">
        <v>0</v>
      </c>
      <c r="CA68" s="24">
        <v>0</v>
      </c>
      <c r="CB68" s="24">
        <v>0</v>
      </c>
      <c r="CC68" s="24">
        <v>0</v>
      </c>
      <c r="CD68" s="29" t="s">
        <v>233</v>
      </c>
      <c r="CE68" s="32">
        <f t="shared" si="4"/>
        <v>536151</v>
      </c>
    </row>
    <row r="69" spans="1:83" x14ac:dyDescent="0.35">
      <c r="A69" s="39" t="s">
        <v>254</v>
      </c>
      <c r="B69" s="20"/>
      <c r="C69" s="32">
        <f t="shared" ref="C69:BN69" si="9">SUM(C70:C83)</f>
        <v>329</v>
      </c>
      <c r="D69" s="32">
        <f t="shared" si="9"/>
        <v>0</v>
      </c>
      <c r="E69" s="32">
        <f t="shared" si="9"/>
        <v>2247</v>
      </c>
      <c r="F69" s="32">
        <f t="shared" si="9"/>
        <v>6271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15969</v>
      </c>
      <c r="Q69" s="32">
        <f t="shared" si="9"/>
        <v>0</v>
      </c>
      <c r="R69" s="32">
        <f t="shared" si="9"/>
        <v>24301</v>
      </c>
      <c r="S69" s="32">
        <f t="shared" si="9"/>
        <v>14861</v>
      </c>
      <c r="T69" s="32">
        <f t="shared" si="9"/>
        <v>0</v>
      </c>
      <c r="U69" s="32">
        <f t="shared" si="9"/>
        <v>3464</v>
      </c>
      <c r="V69" s="32">
        <f t="shared" si="9"/>
        <v>0</v>
      </c>
      <c r="W69" s="32">
        <f t="shared" si="9"/>
        <v>145341</v>
      </c>
      <c r="X69" s="32">
        <f t="shared" si="9"/>
        <v>1250</v>
      </c>
      <c r="Y69" s="32">
        <f t="shared" si="9"/>
        <v>9946</v>
      </c>
      <c r="Z69" s="32">
        <f t="shared" si="9"/>
        <v>0</v>
      </c>
      <c r="AA69" s="32">
        <f t="shared" si="9"/>
        <v>9260</v>
      </c>
      <c r="AB69" s="32">
        <f t="shared" si="9"/>
        <v>14457</v>
      </c>
      <c r="AC69" s="32">
        <f t="shared" si="9"/>
        <v>2110</v>
      </c>
      <c r="AD69" s="32">
        <f t="shared" si="9"/>
        <v>0</v>
      </c>
      <c r="AE69" s="32">
        <f t="shared" si="9"/>
        <v>10558</v>
      </c>
      <c r="AF69" s="32">
        <f t="shared" si="9"/>
        <v>0</v>
      </c>
      <c r="AG69" s="32">
        <f t="shared" si="9"/>
        <v>42567</v>
      </c>
      <c r="AH69" s="32">
        <f t="shared" si="9"/>
        <v>257</v>
      </c>
      <c r="AI69" s="32">
        <f t="shared" si="9"/>
        <v>1112</v>
      </c>
      <c r="AJ69" s="32">
        <f t="shared" si="9"/>
        <v>364492</v>
      </c>
      <c r="AK69" s="32">
        <f t="shared" si="9"/>
        <v>25998</v>
      </c>
      <c r="AL69" s="32">
        <f t="shared" si="9"/>
        <v>600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19977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1860</v>
      </c>
      <c r="AW69" s="32">
        <f t="shared" si="9"/>
        <v>0</v>
      </c>
      <c r="AX69" s="32">
        <f t="shared" si="9"/>
        <v>0</v>
      </c>
      <c r="AY69" s="32">
        <f t="shared" si="9"/>
        <v>1709</v>
      </c>
      <c r="AZ69" s="32">
        <f t="shared" si="9"/>
        <v>0</v>
      </c>
      <c r="BA69" s="32">
        <f t="shared" si="9"/>
        <v>0</v>
      </c>
      <c r="BB69" s="32">
        <f t="shared" si="9"/>
        <v>586</v>
      </c>
      <c r="BC69" s="32">
        <f t="shared" si="9"/>
        <v>0</v>
      </c>
      <c r="BD69" s="32">
        <f t="shared" si="9"/>
        <v>34997</v>
      </c>
      <c r="BE69" s="32">
        <f t="shared" si="9"/>
        <v>940161</v>
      </c>
      <c r="BF69" s="32">
        <f t="shared" si="9"/>
        <v>2430</v>
      </c>
      <c r="BG69" s="32">
        <f t="shared" si="9"/>
        <v>0</v>
      </c>
      <c r="BH69" s="32">
        <f t="shared" si="9"/>
        <v>1806655</v>
      </c>
      <c r="BI69" s="32">
        <f t="shared" si="9"/>
        <v>0</v>
      </c>
      <c r="BJ69" s="32">
        <f t="shared" si="9"/>
        <v>1084</v>
      </c>
      <c r="BK69" s="32">
        <f t="shared" si="9"/>
        <v>8242</v>
      </c>
      <c r="BL69" s="32">
        <f t="shared" si="9"/>
        <v>2153</v>
      </c>
      <c r="BM69" s="32">
        <f t="shared" si="9"/>
        <v>16690</v>
      </c>
      <c r="BN69" s="32">
        <f t="shared" si="9"/>
        <v>612526</v>
      </c>
      <c r="BO69" s="32">
        <f t="shared" ref="BO69:CD69" si="10">SUM(BO70:BO83)</f>
        <v>920</v>
      </c>
      <c r="BP69" s="32">
        <f t="shared" si="10"/>
        <v>785010</v>
      </c>
      <c r="BQ69" s="32">
        <f t="shared" si="10"/>
        <v>0</v>
      </c>
      <c r="BR69" s="32">
        <f t="shared" si="10"/>
        <v>188884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-21656</v>
      </c>
      <c r="BW69" s="32">
        <f t="shared" si="10"/>
        <v>8655</v>
      </c>
      <c r="BX69" s="32">
        <f t="shared" si="10"/>
        <v>0</v>
      </c>
      <c r="BY69" s="32">
        <f t="shared" si="10"/>
        <v>1498</v>
      </c>
      <c r="BZ69" s="32">
        <f t="shared" si="10"/>
        <v>110</v>
      </c>
      <c r="CA69" s="32">
        <f t="shared" si="10"/>
        <v>18167</v>
      </c>
      <c r="CB69" s="32">
        <f t="shared" si="10"/>
        <v>1194</v>
      </c>
      <c r="CC69" s="32">
        <f t="shared" si="10"/>
        <v>996264</v>
      </c>
      <c r="CD69" s="32">
        <f t="shared" si="10"/>
        <v>0</v>
      </c>
      <c r="CE69" s="32">
        <f>SUM(CE70:CE84)</f>
        <v>6123506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>
        <v>0</v>
      </c>
      <c r="D71" s="274">
        <v>0</v>
      </c>
      <c r="E71" s="274">
        <v>0</v>
      </c>
      <c r="F71" s="274">
        <v>0</v>
      </c>
      <c r="G71" s="274">
        <v>0</v>
      </c>
      <c r="H71" s="274">
        <v>0</v>
      </c>
      <c r="I71" s="274">
        <v>0</v>
      </c>
      <c r="J71" s="274">
        <v>0</v>
      </c>
      <c r="K71" s="274">
        <v>0</v>
      </c>
      <c r="L71" s="274">
        <v>0</v>
      </c>
      <c r="M71" s="274">
        <v>0</v>
      </c>
      <c r="N71" s="274">
        <v>0</v>
      </c>
      <c r="O71" s="274">
        <v>0</v>
      </c>
      <c r="P71" s="274">
        <v>0</v>
      </c>
      <c r="Q71" s="274">
        <v>0</v>
      </c>
      <c r="R71" s="274">
        <v>0</v>
      </c>
      <c r="S71" s="274">
        <v>0</v>
      </c>
      <c r="T71" s="274">
        <v>0</v>
      </c>
      <c r="U71" s="274">
        <v>0</v>
      </c>
      <c r="V71" s="274">
        <v>0</v>
      </c>
      <c r="W71" s="274">
        <v>0</v>
      </c>
      <c r="X71" s="274">
        <v>0</v>
      </c>
      <c r="Y71" s="274">
        <v>0</v>
      </c>
      <c r="Z71" s="274">
        <v>0</v>
      </c>
      <c r="AA71" s="274">
        <v>0</v>
      </c>
      <c r="AB71" s="274">
        <v>0</v>
      </c>
      <c r="AC71" s="274">
        <v>0</v>
      </c>
      <c r="AD71" s="274">
        <v>0</v>
      </c>
      <c r="AE71" s="274">
        <v>0</v>
      </c>
      <c r="AF71" s="274">
        <v>0</v>
      </c>
      <c r="AG71" s="274">
        <v>0</v>
      </c>
      <c r="AH71" s="274">
        <v>0</v>
      </c>
      <c r="AI71" s="274">
        <v>0</v>
      </c>
      <c r="AJ71" s="274">
        <v>177044</v>
      </c>
      <c r="AK71" s="274">
        <v>0</v>
      </c>
      <c r="AL71" s="274">
        <v>0</v>
      </c>
      <c r="AM71" s="274">
        <v>0</v>
      </c>
      <c r="AN71" s="274">
        <v>0</v>
      </c>
      <c r="AO71" s="274">
        <v>0</v>
      </c>
      <c r="AP71" s="274">
        <v>0</v>
      </c>
      <c r="AQ71" s="274">
        <v>0</v>
      </c>
      <c r="AR71" s="274">
        <v>0</v>
      </c>
      <c r="AS71" s="274">
        <v>0</v>
      </c>
      <c r="AT71" s="274">
        <v>0</v>
      </c>
      <c r="AU71" s="274">
        <v>0</v>
      </c>
      <c r="AV71" s="274">
        <v>0</v>
      </c>
      <c r="AW71" s="274">
        <v>0</v>
      </c>
      <c r="AX71" s="274">
        <v>0</v>
      </c>
      <c r="AY71" s="274">
        <v>0</v>
      </c>
      <c r="AZ71" s="274">
        <v>0</v>
      </c>
      <c r="BA71" s="274">
        <v>0</v>
      </c>
      <c r="BB71" s="274">
        <v>0</v>
      </c>
      <c r="BC71" s="274">
        <v>0</v>
      </c>
      <c r="BD71" s="274">
        <v>0</v>
      </c>
      <c r="BE71" s="274">
        <v>0</v>
      </c>
      <c r="BF71" s="274">
        <v>0</v>
      </c>
      <c r="BG71" s="274">
        <v>0</v>
      </c>
      <c r="BH71" s="274">
        <v>0</v>
      </c>
      <c r="BI71" s="274">
        <v>0</v>
      </c>
      <c r="BJ71" s="274">
        <v>0</v>
      </c>
      <c r="BK71" s="274">
        <v>0</v>
      </c>
      <c r="BL71" s="274">
        <v>0</v>
      </c>
      <c r="BM71" s="274">
        <v>0</v>
      </c>
      <c r="BN71" s="274">
        <v>378079</v>
      </c>
      <c r="BO71" s="274">
        <v>0</v>
      </c>
      <c r="BP71" s="274">
        <v>0</v>
      </c>
      <c r="BQ71" s="274">
        <v>0</v>
      </c>
      <c r="BR71" s="274">
        <v>141865</v>
      </c>
      <c r="BS71" s="274">
        <v>0</v>
      </c>
      <c r="BT71" s="274">
        <v>0</v>
      </c>
      <c r="BU71" s="274">
        <v>0</v>
      </c>
      <c r="BV71" s="274">
        <v>0</v>
      </c>
      <c r="BW71" s="274">
        <v>0</v>
      </c>
      <c r="BX71" s="274">
        <v>0</v>
      </c>
      <c r="BY71" s="274">
        <v>0</v>
      </c>
      <c r="BZ71" s="274">
        <v>0</v>
      </c>
      <c r="CA71" s="274">
        <v>0</v>
      </c>
      <c r="CB71" s="274">
        <v>0</v>
      </c>
      <c r="CC71" s="274">
        <v>0</v>
      </c>
      <c r="CD71" s="274"/>
      <c r="CE71" s="32">
        <f t="shared" ref="CE71:CE85" si="11">SUM(C71:CD71)</f>
        <v>696988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 spans="1:83" x14ac:dyDescent="0.35">
      <c r="A74" s="33" t="s">
        <v>259</v>
      </c>
      <c r="B74" s="34"/>
      <c r="C74" s="274">
        <v>0</v>
      </c>
      <c r="D74" s="274">
        <v>0</v>
      </c>
      <c r="E74" s="274">
        <v>0</v>
      </c>
      <c r="F74" s="274">
        <v>0</v>
      </c>
      <c r="G74" s="274">
        <v>0</v>
      </c>
      <c r="H74" s="274">
        <v>0</v>
      </c>
      <c r="I74" s="274">
        <v>0</v>
      </c>
      <c r="J74" s="274">
        <v>0</v>
      </c>
      <c r="K74" s="274">
        <v>0</v>
      </c>
      <c r="L74" s="274">
        <v>0</v>
      </c>
      <c r="M74" s="274">
        <v>0</v>
      </c>
      <c r="N74" s="274">
        <v>0</v>
      </c>
      <c r="O74" s="274">
        <v>0</v>
      </c>
      <c r="P74" s="274">
        <v>0</v>
      </c>
      <c r="Q74" s="274">
        <v>0</v>
      </c>
      <c r="R74" s="274">
        <v>0</v>
      </c>
      <c r="S74" s="274">
        <v>0</v>
      </c>
      <c r="T74" s="274">
        <v>0</v>
      </c>
      <c r="U74" s="274">
        <v>0</v>
      </c>
      <c r="V74" s="274">
        <v>0</v>
      </c>
      <c r="W74" s="274">
        <v>0</v>
      </c>
      <c r="X74" s="274">
        <v>0</v>
      </c>
      <c r="Y74" s="274">
        <v>0</v>
      </c>
      <c r="Z74" s="274">
        <v>0</v>
      </c>
      <c r="AA74" s="274">
        <v>0</v>
      </c>
      <c r="AB74" s="274">
        <v>0</v>
      </c>
      <c r="AC74" s="274">
        <v>0</v>
      </c>
      <c r="AD74" s="274">
        <v>0</v>
      </c>
      <c r="AE74" s="274">
        <v>0</v>
      </c>
      <c r="AF74" s="274">
        <v>0</v>
      </c>
      <c r="AG74" s="274">
        <v>0</v>
      </c>
      <c r="AH74" s="274">
        <v>0</v>
      </c>
      <c r="AI74" s="274">
        <v>0</v>
      </c>
      <c r="AJ74" s="274">
        <v>0</v>
      </c>
      <c r="AK74" s="274">
        <v>0</v>
      </c>
      <c r="AL74" s="274">
        <v>0</v>
      </c>
      <c r="AM74" s="274">
        <v>0</v>
      </c>
      <c r="AN74" s="274">
        <v>0</v>
      </c>
      <c r="AO74" s="274">
        <v>0</v>
      </c>
      <c r="AP74" s="274">
        <v>0</v>
      </c>
      <c r="AQ74" s="274">
        <v>0</v>
      </c>
      <c r="AR74" s="274">
        <v>0</v>
      </c>
      <c r="AS74" s="274">
        <v>0</v>
      </c>
      <c r="AT74" s="274">
        <v>0</v>
      </c>
      <c r="AU74" s="274">
        <v>0</v>
      </c>
      <c r="AV74" s="274">
        <v>0</v>
      </c>
      <c r="AW74" s="274">
        <v>0</v>
      </c>
      <c r="AX74" s="274">
        <v>0</v>
      </c>
      <c r="AY74" s="274">
        <v>0</v>
      </c>
      <c r="AZ74" s="274">
        <v>0</v>
      </c>
      <c r="BA74" s="274">
        <v>0</v>
      </c>
      <c r="BB74" s="274">
        <v>0</v>
      </c>
      <c r="BC74" s="274">
        <v>0</v>
      </c>
      <c r="BD74" s="274">
        <v>0</v>
      </c>
      <c r="BE74" s="274">
        <v>0</v>
      </c>
      <c r="BF74" s="274">
        <v>-30</v>
      </c>
      <c r="BG74" s="274">
        <v>0</v>
      </c>
      <c r="BH74" s="274">
        <v>0</v>
      </c>
      <c r="BI74" s="274">
        <v>0</v>
      </c>
      <c r="BJ74" s="274">
        <v>0</v>
      </c>
      <c r="BK74" s="274">
        <v>0</v>
      </c>
      <c r="BL74" s="274">
        <v>0</v>
      </c>
      <c r="BM74" s="274">
        <v>0</v>
      </c>
      <c r="BN74" s="274">
        <v>0</v>
      </c>
      <c r="BO74" s="274">
        <v>0</v>
      </c>
      <c r="BP74" s="274">
        <v>0</v>
      </c>
      <c r="BQ74" s="274">
        <v>0</v>
      </c>
      <c r="BR74" s="274">
        <v>0</v>
      </c>
      <c r="BS74" s="274">
        <v>0</v>
      </c>
      <c r="BT74" s="274">
        <v>0</v>
      </c>
      <c r="BU74" s="274">
        <v>0</v>
      </c>
      <c r="BV74" s="274">
        <v>0</v>
      </c>
      <c r="BW74" s="274">
        <v>0</v>
      </c>
      <c r="BX74" s="274">
        <v>0</v>
      </c>
      <c r="BY74" s="274">
        <v>0</v>
      </c>
      <c r="BZ74" s="274">
        <v>0</v>
      </c>
      <c r="CA74" s="274">
        <v>0</v>
      </c>
      <c r="CB74" s="274">
        <v>0</v>
      </c>
      <c r="CC74" s="274">
        <v>0</v>
      </c>
      <c r="CD74" s="274"/>
      <c r="CE74" s="32">
        <f t="shared" si="11"/>
        <v>-30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 spans="1:83" x14ac:dyDescent="0.35">
      <c r="A77" s="33" t="s">
        <v>262</v>
      </c>
      <c r="B77" s="34"/>
      <c r="C77" s="274">
        <v>0</v>
      </c>
      <c r="D77" s="274">
        <v>0</v>
      </c>
      <c r="E77" s="274">
        <v>0</v>
      </c>
      <c r="F77" s="274">
        <v>0</v>
      </c>
      <c r="G77" s="274">
        <v>0</v>
      </c>
      <c r="H77" s="274">
        <v>0</v>
      </c>
      <c r="I77" s="274">
        <v>0</v>
      </c>
      <c r="J77" s="274">
        <v>0</v>
      </c>
      <c r="K77" s="274">
        <v>0</v>
      </c>
      <c r="L77" s="274">
        <v>0</v>
      </c>
      <c r="M77" s="274">
        <v>0</v>
      </c>
      <c r="N77" s="274">
        <v>0</v>
      </c>
      <c r="O77" s="274">
        <v>0</v>
      </c>
      <c r="P77" s="274">
        <v>0</v>
      </c>
      <c r="Q77" s="274">
        <v>0</v>
      </c>
      <c r="R77" s="274">
        <v>0</v>
      </c>
      <c r="S77" s="274">
        <v>0</v>
      </c>
      <c r="T77" s="274">
        <v>0</v>
      </c>
      <c r="U77" s="274">
        <v>0</v>
      </c>
      <c r="V77" s="274">
        <v>0</v>
      </c>
      <c r="W77" s="274">
        <v>145341</v>
      </c>
      <c r="X77" s="274">
        <v>0</v>
      </c>
      <c r="Y77" s="274">
        <v>0</v>
      </c>
      <c r="Z77" s="274">
        <v>0</v>
      </c>
      <c r="AA77" s="274">
        <v>0</v>
      </c>
      <c r="AB77" s="274">
        <v>0</v>
      </c>
      <c r="AC77" s="274">
        <v>0</v>
      </c>
      <c r="AD77" s="274">
        <v>0</v>
      </c>
      <c r="AE77" s="274">
        <v>0</v>
      </c>
      <c r="AF77" s="274">
        <v>0</v>
      </c>
      <c r="AG77" s="274">
        <v>0</v>
      </c>
      <c r="AH77" s="274">
        <v>0</v>
      </c>
      <c r="AI77" s="274">
        <v>0</v>
      </c>
      <c r="AJ77" s="274">
        <v>0</v>
      </c>
      <c r="AK77" s="274">
        <v>0</v>
      </c>
      <c r="AL77" s="274">
        <v>0</v>
      </c>
      <c r="AM77" s="274">
        <v>0</v>
      </c>
      <c r="AN77" s="274">
        <v>0</v>
      </c>
      <c r="AO77" s="274">
        <v>0</v>
      </c>
      <c r="AP77" s="274">
        <v>0</v>
      </c>
      <c r="AQ77" s="274">
        <v>0</v>
      </c>
      <c r="AR77" s="274">
        <v>0</v>
      </c>
      <c r="AS77" s="274">
        <v>0</v>
      </c>
      <c r="AT77" s="274">
        <v>0</v>
      </c>
      <c r="AU77" s="274">
        <v>0</v>
      </c>
      <c r="AV77" s="274">
        <v>0</v>
      </c>
      <c r="AW77" s="274">
        <v>0</v>
      </c>
      <c r="AX77" s="274">
        <v>0</v>
      </c>
      <c r="AY77" s="274">
        <v>0</v>
      </c>
      <c r="AZ77" s="274">
        <v>0</v>
      </c>
      <c r="BA77" s="274">
        <v>0</v>
      </c>
      <c r="BB77" s="274">
        <v>0</v>
      </c>
      <c r="BC77" s="274">
        <v>0</v>
      </c>
      <c r="BD77" s="274">
        <v>0</v>
      </c>
      <c r="BE77" s="274">
        <v>926705</v>
      </c>
      <c r="BF77" s="274">
        <v>0</v>
      </c>
      <c r="BG77" s="274">
        <v>0</v>
      </c>
      <c r="BH77" s="274">
        <v>1806207</v>
      </c>
      <c r="BI77" s="274">
        <v>0</v>
      </c>
      <c r="BJ77" s="274">
        <v>0</v>
      </c>
      <c r="BK77" s="274">
        <v>0</v>
      </c>
      <c r="BL77" s="274">
        <v>0</v>
      </c>
      <c r="BM77" s="274">
        <v>0</v>
      </c>
      <c r="BN77" s="274">
        <v>0</v>
      </c>
      <c r="BO77" s="274">
        <v>0</v>
      </c>
      <c r="BP77" s="274">
        <v>0</v>
      </c>
      <c r="BQ77" s="274">
        <v>0</v>
      </c>
      <c r="BR77" s="274">
        <v>0</v>
      </c>
      <c r="BS77" s="274">
        <v>0</v>
      </c>
      <c r="BT77" s="274">
        <v>0</v>
      </c>
      <c r="BU77" s="274">
        <v>0</v>
      </c>
      <c r="BV77" s="274">
        <v>0</v>
      </c>
      <c r="BW77" s="274">
        <v>0</v>
      </c>
      <c r="BX77" s="274">
        <v>0</v>
      </c>
      <c r="BY77" s="274">
        <v>0</v>
      </c>
      <c r="BZ77" s="274">
        <v>0</v>
      </c>
      <c r="CA77" s="274">
        <v>0</v>
      </c>
      <c r="CB77" s="274">
        <v>0</v>
      </c>
      <c r="CC77" s="274">
        <v>15217</v>
      </c>
      <c r="CD77" s="274"/>
      <c r="CE77" s="32">
        <f t="shared" si="11"/>
        <v>2893470</v>
      </c>
    </row>
    <row r="78" spans="1:83" x14ac:dyDescent="0.35">
      <c r="A78" s="33" t="s">
        <v>263</v>
      </c>
      <c r="B78" s="20"/>
      <c r="C78" s="274">
        <v>229</v>
      </c>
      <c r="D78" s="274">
        <v>0</v>
      </c>
      <c r="E78" s="274">
        <v>2020</v>
      </c>
      <c r="F78" s="274">
        <v>766</v>
      </c>
      <c r="G78" s="274">
        <v>0</v>
      </c>
      <c r="H78" s="274">
        <v>0</v>
      </c>
      <c r="I78" s="274">
        <v>0</v>
      </c>
      <c r="J78" s="274">
        <v>0</v>
      </c>
      <c r="K78" s="274">
        <v>0</v>
      </c>
      <c r="L78" s="274">
        <v>0</v>
      </c>
      <c r="M78" s="274">
        <v>0</v>
      </c>
      <c r="N78" s="274">
        <v>0</v>
      </c>
      <c r="O78" s="274">
        <v>0</v>
      </c>
      <c r="P78" s="274">
        <v>1685</v>
      </c>
      <c r="Q78" s="274">
        <v>0</v>
      </c>
      <c r="R78" s="274">
        <v>7566</v>
      </c>
      <c r="S78" s="274">
        <v>0</v>
      </c>
      <c r="T78" s="274">
        <v>0</v>
      </c>
      <c r="U78" s="274">
        <v>2757</v>
      </c>
      <c r="V78" s="274">
        <v>0</v>
      </c>
      <c r="W78" s="274">
        <v>0</v>
      </c>
      <c r="X78" s="274">
        <v>0</v>
      </c>
      <c r="Y78" s="274">
        <v>2615</v>
      </c>
      <c r="Z78" s="274">
        <v>0</v>
      </c>
      <c r="AA78" s="274">
        <v>7860</v>
      </c>
      <c r="AB78" s="274">
        <v>3400</v>
      </c>
      <c r="AC78" s="274">
        <v>235</v>
      </c>
      <c r="AD78" s="274">
        <v>0</v>
      </c>
      <c r="AE78" s="274">
        <v>1482</v>
      </c>
      <c r="AF78" s="274">
        <v>0</v>
      </c>
      <c r="AG78" s="274">
        <v>380</v>
      </c>
      <c r="AH78" s="274">
        <v>0</v>
      </c>
      <c r="AI78" s="274">
        <v>115</v>
      </c>
      <c r="AJ78" s="274">
        <v>81175</v>
      </c>
      <c r="AK78" s="274">
        <v>9918</v>
      </c>
      <c r="AL78" s="274">
        <v>0</v>
      </c>
      <c r="AM78" s="274">
        <v>0</v>
      </c>
      <c r="AN78" s="274">
        <v>0</v>
      </c>
      <c r="AO78" s="274">
        <v>0</v>
      </c>
      <c r="AP78" s="274">
        <v>7260</v>
      </c>
      <c r="AQ78" s="274">
        <v>0</v>
      </c>
      <c r="AR78" s="274">
        <v>0</v>
      </c>
      <c r="AS78" s="274">
        <v>0</v>
      </c>
      <c r="AT78" s="274">
        <v>0</v>
      </c>
      <c r="AU78" s="274">
        <v>0</v>
      </c>
      <c r="AV78" s="274">
        <v>1026</v>
      </c>
      <c r="AW78" s="274">
        <v>0</v>
      </c>
      <c r="AX78" s="274">
        <v>0</v>
      </c>
      <c r="AY78" s="274">
        <v>339</v>
      </c>
      <c r="AZ78" s="274">
        <v>0</v>
      </c>
      <c r="BA78" s="274">
        <v>0</v>
      </c>
      <c r="BB78" s="274">
        <v>0</v>
      </c>
      <c r="BC78" s="274">
        <v>0</v>
      </c>
      <c r="BD78" s="274">
        <v>0</v>
      </c>
      <c r="BE78" s="274">
        <v>275</v>
      </c>
      <c r="BF78" s="274">
        <v>0</v>
      </c>
      <c r="BG78" s="274">
        <v>0</v>
      </c>
      <c r="BH78" s="274">
        <v>448</v>
      </c>
      <c r="BI78" s="274">
        <v>0</v>
      </c>
      <c r="BJ78" s="274">
        <v>219</v>
      </c>
      <c r="BK78" s="274">
        <v>-6447</v>
      </c>
      <c r="BL78" s="274">
        <v>0</v>
      </c>
      <c r="BM78" s="274">
        <v>0</v>
      </c>
      <c r="BN78" s="274">
        <v>168978</v>
      </c>
      <c r="BO78" s="274">
        <v>0</v>
      </c>
      <c r="BP78" s="274">
        <v>0</v>
      </c>
      <c r="BQ78" s="274">
        <v>0</v>
      </c>
      <c r="BR78" s="274">
        <v>519</v>
      </c>
      <c r="BS78" s="274">
        <v>0</v>
      </c>
      <c r="BT78" s="274">
        <v>0</v>
      </c>
      <c r="BU78" s="274">
        <v>0</v>
      </c>
      <c r="BV78" s="274">
        <v>-27190</v>
      </c>
      <c r="BW78" s="274">
        <v>6203</v>
      </c>
      <c r="BX78" s="274">
        <v>0</v>
      </c>
      <c r="BY78" s="274">
        <v>1129</v>
      </c>
      <c r="BZ78" s="274">
        <v>110</v>
      </c>
      <c r="CA78" s="274">
        <v>0</v>
      </c>
      <c r="CB78" s="274">
        <v>0</v>
      </c>
      <c r="CC78" s="274">
        <v>6299</v>
      </c>
      <c r="CD78" s="274"/>
      <c r="CE78" s="32">
        <f t="shared" si="11"/>
        <v>281371</v>
      </c>
    </row>
    <row r="79" spans="1:83" x14ac:dyDescent="0.35">
      <c r="A79" s="33" t="s">
        <v>264</v>
      </c>
      <c r="B79" s="20"/>
      <c r="C79" s="274">
        <v>0</v>
      </c>
      <c r="D79" s="274">
        <v>0</v>
      </c>
      <c r="E79" s="274">
        <v>0</v>
      </c>
      <c r="F79" s="274">
        <v>0</v>
      </c>
      <c r="G79" s="274">
        <v>0</v>
      </c>
      <c r="H79" s="274">
        <v>0</v>
      </c>
      <c r="I79" s="274">
        <v>0</v>
      </c>
      <c r="J79" s="274">
        <v>0</v>
      </c>
      <c r="K79" s="274">
        <v>0</v>
      </c>
      <c r="L79" s="274">
        <v>0</v>
      </c>
      <c r="M79" s="274">
        <v>0</v>
      </c>
      <c r="N79" s="274">
        <v>0</v>
      </c>
      <c r="O79" s="274">
        <v>0</v>
      </c>
      <c r="P79" s="274">
        <v>0</v>
      </c>
      <c r="Q79" s="274">
        <v>0</v>
      </c>
      <c r="R79" s="274">
        <v>0</v>
      </c>
      <c r="S79" s="274">
        <v>0</v>
      </c>
      <c r="T79" s="274">
        <v>0</v>
      </c>
      <c r="U79" s="274">
        <v>0</v>
      </c>
      <c r="V79" s="274">
        <v>0</v>
      </c>
      <c r="W79" s="274">
        <v>0</v>
      </c>
      <c r="X79" s="274">
        <v>0</v>
      </c>
      <c r="Y79" s="274">
        <v>0</v>
      </c>
      <c r="Z79" s="274">
        <v>0</v>
      </c>
      <c r="AA79" s="274">
        <v>0</v>
      </c>
      <c r="AB79" s="274">
        <v>0</v>
      </c>
      <c r="AC79" s="274">
        <v>0</v>
      </c>
      <c r="AD79" s="274">
        <v>0</v>
      </c>
      <c r="AE79" s="274">
        <v>0</v>
      </c>
      <c r="AF79" s="274">
        <v>0</v>
      </c>
      <c r="AG79" s="274">
        <v>0</v>
      </c>
      <c r="AH79" s="274">
        <v>0</v>
      </c>
      <c r="AI79" s="274">
        <v>0</v>
      </c>
      <c r="AJ79" s="274">
        <v>15880</v>
      </c>
      <c r="AK79" s="274">
        <v>0</v>
      </c>
      <c r="AL79" s="274">
        <v>0</v>
      </c>
      <c r="AM79" s="274">
        <v>0</v>
      </c>
      <c r="AN79" s="274">
        <v>0</v>
      </c>
      <c r="AO79" s="274">
        <v>0</v>
      </c>
      <c r="AP79" s="274">
        <v>0</v>
      </c>
      <c r="AQ79" s="274">
        <v>0</v>
      </c>
      <c r="AR79" s="274">
        <v>0</v>
      </c>
      <c r="AS79" s="274">
        <v>0</v>
      </c>
      <c r="AT79" s="274">
        <v>0</v>
      </c>
      <c r="AU79" s="274">
        <v>0</v>
      </c>
      <c r="AV79" s="274">
        <v>0</v>
      </c>
      <c r="AW79" s="274">
        <v>0</v>
      </c>
      <c r="AX79" s="274">
        <v>0</v>
      </c>
      <c r="AY79" s="274">
        <v>0</v>
      </c>
      <c r="AZ79" s="274">
        <v>0</v>
      </c>
      <c r="BA79" s="274">
        <v>0</v>
      </c>
      <c r="BB79" s="274">
        <v>0</v>
      </c>
      <c r="BC79" s="274">
        <v>0</v>
      </c>
      <c r="BD79" s="274">
        <v>0</v>
      </c>
      <c r="BE79" s="274">
        <v>0</v>
      </c>
      <c r="BF79" s="274">
        <v>0</v>
      </c>
      <c r="BG79" s="274">
        <v>0</v>
      </c>
      <c r="BH79" s="274">
        <v>0</v>
      </c>
      <c r="BI79" s="274">
        <v>0</v>
      </c>
      <c r="BJ79" s="274">
        <v>0</v>
      </c>
      <c r="BK79" s="274">
        <v>0</v>
      </c>
      <c r="BL79" s="274">
        <v>0</v>
      </c>
      <c r="BM79" s="274">
        <v>420</v>
      </c>
      <c r="BN79" s="274">
        <v>6846</v>
      </c>
      <c r="BO79" s="274">
        <v>421</v>
      </c>
      <c r="BP79" s="274">
        <v>727722</v>
      </c>
      <c r="BQ79" s="274">
        <v>0</v>
      </c>
      <c r="BR79" s="274">
        <v>41888</v>
      </c>
      <c r="BS79" s="274">
        <v>0</v>
      </c>
      <c r="BT79" s="274">
        <v>0</v>
      </c>
      <c r="BU79" s="274">
        <v>0</v>
      </c>
      <c r="BV79" s="274">
        <v>0</v>
      </c>
      <c r="BW79" s="274">
        <v>1841</v>
      </c>
      <c r="BX79" s="274">
        <v>0</v>
      </c>
      <c r="BY79" s="274">
        <v>0</v>
      </c>
      <c r="BZ79" s="274">
        <v>0</v>
      </c>
      <c r="CA79" s="274">
        <v>0</v>
      </c>
      <c r="CB79" s="274">
        <v>0</v>
      </c>
      <c r="CC79" s="274">
        <v>279</v>
      </c>
      <c r="CD79" s="274"/>
      <c r="CE79" s="32">
        <f t="shared" si="11"/>
        <v>795297</v>
      </c>
    </row>
    <row r="80" spans="1:83" x14ac:dyDescent="0.35">
      <c r="A80" s="33" t="s">
        <v>265</v>
      </c>
      <c r="B80" s="20"/>
      <c r="C80" s="274">
        <v>100</v>
      </c>
      <c r="D80" s="274">
        <v>0</v>
      </c>
      <c r="E80" s="274">
        <v>0</v>
      </c>
      <c r="F80" s="274">
        <v>5354</v>
      </c>
      <c r="G80" s="274">
        <v>0</v>
      </c>
      <c r="H80" s="274">
        <v>0</v>
      </c>
      <c r="I80" s="274">
        <v>0</v>
      </c>
      <c r="J80" s="274">
        <v>0</v>
      </c>
      <c r="K80" s="274">
        <v>0</v>
      </c>
      <c r="L80" s="274">
        <v>0</v>
      </c>
      <c r="M80" s="274">
        <v>0</v>
      </c>
      <c r="N80" s="274">
        <v>0</v>
      </c>
      <c r="O80" s="274">
        <v>0</v>
      </c>
      <c r="P80" s="274">
        <v>12506</v>
      </c>
      <c r="Q80" s="274">
        <v>0</v>
      </c>
      <c r="R80" s="274">
        <v>16735</v>
      </c>
      <c r="S80" s="274">
        <v>0</v>
      </c>
      <c r="T80" s="274">
        <v>0</v>
      </c>
      <c r="U80" s="274">
        <v>617</v>
      </c>
      <c r="V80" s="274">
        <v>0</v>
      </c>
      <c r="W80" s="274">
        <v>0</v>
      </c>
      <c r="X80" s="274">
        <v>0</v>
      </c>
      <c r="Y80" s="274">
        <v>3272</v>
      </c>
      <c r="Z80" s="274">
        <v>0</v>
      </c>
      <c r="AA80" s="274">
        <v>0</v>
      </c>
      <c r="AB80" s="274">
        <v>7675</v>
      </c>
      <c r="AC80" s="274">
        <v>1805</v>
      </c>
      <c r="AD80" s="274">
        <v>0</v>
      </c>
      <c r="AE80" s="274">
        <v>8716</v>
      </c>
      <c r="AF80" s="274">
        <v>0</v>
      </c>
      <c r="AG80" s="274">
        <v>8350</v>
      </c>
      <c r="AH80" s="274">
        <v>0</v>
      </c>
      <c r="AI80" s="274">
        <v>997</v>
      </c>
      <c r="AJ80" s="274">
        <v>83989</v>
      </c>
      <c r="AK80" s="274">
        <v>13335</v>
      </c>
      <c r="AL80" s="274">
        <v>600</v>
      </c>
      <c r="AM80" s="274">
        <v>0</v>
      </c>
      <c r="AN80" s="274">
        <v>0</v>
      </c>
      <c r="AO80" s="274">
        <v>0</v>
      </c>
      <c r="AP80" s="274">
        <v>8551</v>
      </c>
      <c r="AQ80" s="274">
        <v>0</v>
      </c>
      <c r="AR80" s="274">
        <v>0</v>
      </c>
      <c r="AS80" s="274">
        <v>0</v>
      </c>
      <c r="AT80" s="274">
        <v>0</v>
      </c>
      <c r="AU80" s="274">
        <v>0</v>
      </c>
      <c r="AV80" s="274">
        <v>834</v>
      </c>
      <c r="AW80" s="274">
        <v>0</v>
      </c>
      <c r="AX80" s="274">
        <v>0</v>
      </c>
      <c r="AY80" s="274">
        <v>0</v>
      </c>
      <c r="AZ80" s="274">
        <v>0</v>
      </c>
      <c r="BA80" s="274">
        <v>0</v>
      </c>
      <c r="BB80" s="274">
        <v>586</v>
      </c>
      <c r="BC80" s="274">
        <v>0</v>
      </c>
      <c r="BD80" s="274">
        <v>0</v>
      </c>
      <c r="BE80" s="274">
        <v>13097</v>
      </c>
      <c r="BF80" s="274">
        <v>92</v>
      </c>
      <c r="BG80" s="274">
        <v>0</v>
      </c>
      <c r="BH80" s="274">
        <v>0</v>
      </c>
      <c r="BI80" s="274">
        <v>0</v>
      </c>
      <c r="BJ80" s="274">
        <v>865</v>
      </c>
      <c r="BK80" s="274">
        <v>9146</v>
      </c>
      <c r="BL80" s="274">
        <v>1943</v>
      </c>
      <c r="BM80" s="274">
        <v>7077</v>
      </c>
      <c r="BN80" s="274">
        <v>21628</v>
      </c>
      <c r="BO80" s="274">
        <v>499</v>
      </c>
      <c r="BP80" s="274">
        <v>16603</v>
      </c>
      <c r="BQ80" s="274">
        <v>0</v>
      </c>
      <c r="BR80" s="274">
        <v>2724</v>
      </c>
      <c r="BS80" s="274">
        <v>0</v>
      </c>
      <c r="BT80" s="274">
        <v>0</v>
      </c>
      <c r="BU80" s="274">
        <v>0</v>
      </c>
      <c r="BV80" s="274">
        <v>1943</v>
      </c>
      <c r="BW80" s="274">
        <v>575</v>
      </c>
      <c r="BX80" s="274">
        <v>0</v>
      </c>
      <c r="BY80" s="274">
        <v>136</v>
      </c>
      <c r="BZ80" s="274">
        <v>0</v>
      </c>
      <c r="CA80" s="274">
        <v>18167</v>
      </c>
      <c r="CB80" s="274">
        <v>1194</v>
      </c>
      <c r="CC80" s="274">
        <v>0</v>
      </c>
      <c r="CD80" s="274"/>
      <c r="CE80" s="32">
        <f t="shared" si="11"/>
        <v>269711</v>
      </c>
    </row>
    <row r="81" spans="1:84" x14ac:dyDescent="0.35">
      <c r="A81" s="33" t="s">
        <v>266</v>
      </c>
      <c r="B81" s="20"/>
      <c r="C81" s="274">
        <v>0</v>
      </c>
      <c r="D81" s="274">
        <v>0</v>
      </c>
      <c r="E81" s="274">
        <v>0</v>
      </c>
      <c r="F81" s="274">
        <v>0</v>
      </c>
      <c r="G81" s="274">
        <v>0</v>
      </c>
      <c r="H81" s="274">
        <v>0</v>
      </c>
      <c r="I81" s="274">
        <v>0</v>
      </c>
      <c r="J81" s="274">
        <v>0</v>
      </c>
      <c r="K81" s="274">
        <v>0</v>
      </c>
      <c r="L81" s="274">
        <v>0</v>
      </c>
      <c r="M81" s="274">
        <v>0</v>
      </c>
      <c r="N81" s="274">
        <v>0</v>
      </c>
      <c r="O81" s="274">
        <v>0</v>
      </c>
      <c r="P81" s="274">
        <v>0</v>
      </c>
      <c r="Q81" s="274">
        <v>0</v>
      </c>
      <c r="R81" s="274">
        <v>0</v>
      </c>
      <c r="S81" s="274">
        <v>0</v>
      </c>
      <c r="T81" s="274">
        <v>0</v>
      </c>
      <c r="U81" s="274">
        <v>0</v>
      </c>
      <c r="V81" s="274">
        <v>0</v>
      </c>
      <c r="W81" s="274">
        <v>0</v>
      </c>
      <c r="X81" s="274">
        <v>0</v>
      </c>
      <c r="Y81" s="274">
        <v>0</v>
      </c>
      <c r="Z81" s="274">
        <v>0</v>
      </c>
      <c r="AA81" s="274">
        <v>0</v>
      </c>
      <c r="AB81" s="274">
        <v>0</v>
      </c>
      <c r="AC81" s="274">
        <v>0</v>
      </c>
      <c r="AD81" s="274">
        <v>0</v>
      </c>
      <c r="AE81" s="274">
        <v>0</v>
      </c>
      <c r="AF81" s="274">
        <v>0</v>
      </c>
      <c r="AG81" s="274">
        <v>0</v>
      </c>
      <c r="AH81" s="274">
        <v>0</v>
      </c>
      <c r="AI81" s="274">
        <v>0</v>
      </c>
      <c r="AJ81" s="274">
        <v>0</v>
      </c>
      <c r="AK81" s="274">
        <v>0</v>
      </c>
      <c r="AL81" s="274">
        <v>0</v>
      </c>
      <c r="AM81" s="274">
        <v>0</v>
      </c>
      <c r="AN81" s="274">
        <v>0</v>
      </c>
      <c r="AO81" s="274">
        <v>0</v>
      </c>
      <c r="AP81" s="274">
        <v>0</v>
      </c>
      <c r="AQ81" s="274">
        <v>0</v>
      </c>
      <c r="AR81" s="274">
        <v>0</v>
      </c>
      <c r="AS81" s="274">
        <v>0</v>
      </c>
      <c r="AT81" s="274">
        <v>0</v>
      </c>
      <c r="AU81" s="274">
        <v>0</v>
      </c>
      <c r="AV81" s="274">
        <v>0</v>
      </c>
      <c r="AW81" s="274">
        <v>0</v>
      </c>
      <c r="AX81" s="274">
        <v>0</v>
      </c>
      <c r="AY81" s="274">
        <v>0</v>
      </c>
      <c r="AZ81" s="274">
        <v>0</v>
      </c>
      <c r="BA81" s="274">
        <v>0</v>
      </c>
      <c r="BB81" s="274">
        <v>0</v>
      </c>
      <c r="BC81" s="274">
        <v>0</v>
      </c>
      <c r="BD81" s="274">
        <v>0</v>
      </c>
      <c r="BE81" s="274">
        <v>0</v>
      </c>
      <c r="BF81" s="274">
        <v>0</v>
      </c>
      <c r="BG81" s="274">
        <v>0</v>
      </c>
      <c r="BH81" s="274">
        <v>0</v>
      </c>
      <c r="BI81" s="274">
        <v>0</v>
      </c>
      <c r="BJ81" s="274">
        <v>0</v>
      </c>
      <c r="BK81" s="274">
        <v>0</v>
      </c>
      <c r="BL81" s="274">
        <v>0</v>
      </c>
      <c r="BM81" s="274">
        <v>0</v>
      </c>
      <c r="BN81" s="274">
        <v>0</v>
      </c>
      <c r="BO81" s="274">
        <v>0</v>
      </c>
      <c r="BP81" s="274">
        <v>0</v>
      </c>
      <c r="BQ81" s="274">
        <v>0</v>
      </c>
      <c r="BR81" s="274">
        <v>0</v>
      </c>
      <c r="BS81" s="274">
        <v>0</v>
      </c>
      <c r="BT81" s="274">
        <v>0</v>
      </c>
      <c r="BU81" s="274">
        <v>0</v>
      </c>
      <c r="BV81" s="274">
        <v>0</v>
      </c>
      <c r="BW81" s="274">
        <v>0</v>
      </c>
      <c r="BX81" s="274">
        <v>0</v>
      </c>
      <c r="BY81" s="274">
        <v>0</v>
      </c>
      <c r="BZ81" s="274">
        <v>0</v>
      </c>
      <c r="CA81" s="274">
        <v>0</v>
      </c>
      <c r="CB81" s="274">
        <v>0</v>
      </c>
      <c r="CC81" s="274">
        <v>1045555</v>
      </c>
      <c r="CD81" s="274"/>
      <c r="CE81" s="32">
        <f t="shared" si="11"/>
        <v>1045555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4" x14ac:dyDescent="0.35">
      <c r="A83" s="33" t="s">
        <v>268</v>
      </c>
      <c r="B83" s="20"/>
      <c r="C83" s="24">
        <v>0</v>
      </c>
      <c r="D83" s="24">
        <v>0</v>
      </c>
      <c r="E83" s="24">
        <v>227</v>
      </c>
      <c r="F83" s="24">
        <v>151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1778</v>
      </c>
      <c r="Q83" s="24">
        <v>0</v>
      </c>
      <c r="R83" s="24">
        <v>0</v>
      </c>
      <c r="S83" s="24">
        <v>14861</v>
      </c>
      <c r="T83" s="24">
        <v>0</v>
      </c>
      <c r="U83" s="24">
        <v>90</v>
      </c>
      <c r="V83" s="24">
        <v>0</v>
      </c>
      <c r="W83" s="24">
        <v>0</v>
      </c>
      <c r="X83" s="24">
        <v>1250</v>
      </c>
      <c r="Y83" s="24">
        <v>4059</v>
      </c>
      <c r="Z83" s="24">
        <v>0</v>
      </c>
      <c r="AA83" s="24">
        <v>1400</v>
      </c>
      <c r="AB83" s="24">
        <v>3382</v>
      </c>
      <c r="AC83" s="24">
        <v>70</v>
      </c>
      <c r="AD83" s="24">
        <v>0</v>
      </c>
      <c r="AE83" s="24">
        <v>360</v>
      </c>
      <c r="AF83" s="24">
        <v>0</v>
      </c>
      <c r="AG83" s="24">
        <v>33837</v>
      </c>
      <c r="AH83" s="24">
        <v>257</v>
      </c>
      <c r="AI83" s="24">
        <v>0</v>
      </c>
      <c r="AJ83" s="24">
        <v>6404</v>
      </c>
      <c r="AK83" s="24">
        <v>2745</v>
      </c>
      <c r="AL83" s="24">
        <v>0</v>
      </c>
      <c r="AM83" s="24">
        <v>0</v>
      </c>
      <c r="AN83" s="24">
        <v>0</v>
      </c>
      <c r="AO83" s="24">
        <v>0</v>
      </c>
      <c r="AP83" s="24">
        <v>4166</v>
      </c>
      <c r="AQ83" s="24">
        <v>0</v>
      </c>
      <c r="AR83" s="24">
        <v>0</v>
      </c>
      <c r="AS83" s="24">
        <v>0</v>
      </c>
      <c r="AT83" s="24">
        <v>0</v>
      </c>
      <c r="AU83" s="24">
        <v>0</v>
      </c>
      <c r="AV83" s="24">
        <v>0</v>
      </c>
      <c r="AW83" s="24">
        <v>0</v>
      </c>
      <c r="AX83" s="24">
        <v>0</v>
      </c>
      <c r="AY83" s="24">
        <v>1370</v>
      </c>
      <c r="AZ83" s="24">
        <v>0</v>
      </c>
      <c r="BA83" s="24">
        <v>0</v>
      </c>
      <c r="BB83" s="24">
        <v>0</v>
      </c>
      <c r="BC83" s="24">
        <v>0</v>
      </c>
      <c r="BD83" s="24">
        <v>34997</v>
      </c>
      <c r="BE83" s="24">
        <v>84</v>
      </c>
      <c r="BF83" s="24">
        <v>2368</v>
      </c>
      <c r="BG83" s="24">
        <v>0</v>
      </c>
      <c r="BH83" s="24">
        <v>0</v>
      </c>
      <c r="BI83" s="24">
        <v>0</v>
      </c>
      <c r="BJ83" s="24">
        <v>0</v>
      </c>
      <c r="BK83" s="24">
        <v>5543</v>
      </c>
      <c r="BL83" s="24">
        <v>210</v>
      </c>
      <c r="BM83" s="24">
        <v>9193</v>
      </c>
      <c r="BN83" s="24">
        <v>36995</v>
      </c>
      <c r="BO83" s="24">
        <v>0</v>
      </c>
      <c r="BP83" s="24">
        <v>40685</v>
      </c>
      <c r="BQ83" s="24">
        <v>0</v>
      </c>
      <c r="BR83" s="24">
        <v>1888</v>
      </c>
      <c r="BS83" s="24">
        <v>0</v>
      </c>
      <c r="BT83" s="24">
        <v>0</v>
      </c>
      <c r="BU83" s="24">
        <v>0</v>
      </c>
      <c r="BV83" s="24">
        <v>3591</v>
      </c>
      <c r="BW83" s="24">
        <v>36</v>
      </c>
      <c r="BX83" s="24">
        <v>0</v>
      </c>
      <c r="BY83" s="24">
        <v>233</v>
      </c>
      <c r="BZ83" s="24">
        <v>0</v>
      </c>
      <c r="CA83" s="24">
        <v>0</v>
      </c>
      <c r="CB83" s="24">
        <v>0</v>
      </c>
      <c r="CC83" s="24">
        <v>-71086</v>
      </c>
      <c r="CD83" s="35"/>
      <c r="CE83" s="32">
        <f t="shared" si="11"/>
        <v>141144</v>
      </c>
    </row>
    <row r="84" spans="1:84" x14ac:dyDescent="0.3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 t="shared" si="11"/>
        <v>0</v>
      </c>
    </row>
    <row r="85" spans="1:84" x14ac:dyDescent="0.35">
      <c r="A85" s="39" t="s">
        <v>270</v>
      </c>
      <c r="B85" s="32"/>
      <c r="C85" s="32">
        <f>SUM(C61:C69)-C84</f>
        <v>7640855</v>
      </c>
      <c r="D85" s="32">
        <f t="shared" ref="D85:BO85" si="12">SUM(D61:D69)-D84</f>
        <v>0</v>
      </c>
      <c r="E85" s="32">
        <f t="shared" si="12"/>
        <v>8920679</v>
      </c>
      <c r="F85" s="32">
        <f t="shared" si="12"/>
        <v>5959199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290417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144762</v>
      </c>
      <c r="O85" s="32">
        <f t="shared" si="12"/>
        <v>208729</v>
      </c>
      <c r="P85" s="32">
        <f t="shared" si="12"/>
        <v>6882281</v>
      </c>
      <c r="Q85" s="32">
        <f t="shared" si="12"/>
        <v>790289</v>
      </c>
      <c r="R85" s="32">
        <f t="shared" si="12"/>
        <v>5886135</v>
      </c>
      <c r="S85" s="32">
        <f t="shared" si="12"/>
        <v>3971106</v>
      </c>
      <c r="T85" s="32">
        <f t="shared" si="12"/>
        <v>1051</v>
      </c>
      <c r="U85" s="32">
        <f t="shared" si="12"/>
        <v>7355811</v>
      </c>
      <c r="V85" s="32">
        <f t="shared" si="12"/>
        <v>61983</v>
      </c>
      <c r="W85" s="32">
        <f t="shared" si="12"/>
        <v>527652</v>
      </c>
      <c r="X85" s="32">
        <f t="shared" si="12"/>
        <v>874634</v>
      </c>
      <c r="Y85" s="32">
        <f t="shared" si="12"/>
        <v>4569863</v>
      </c>
      <c r="Z85" s="32">
        <f t="shared" si="12"/>
        <v>0</v>
      </c>
      <c r="AA85" s="32">
        <f t="shared" si="12"/>
        <v>487866</v>
      </c>
      <c r="AB85" s="32">
        <f t="shared" si="12"/>
        <v>6951799</v>
      </c>
      <c r="AC85" s="32">
        <f t="shared" si="12"/>
        <v>2090737</v>
      </c>
      <c r="AD85" s="32">
        <f t="shared" si="12"/>
        <v>0</v>
      </c>
      <c r="AE85" s="32">
        <f t="shared" si="12"/>
        <v>1033855</v>
      </c>
      <c r="AF85" s="32">
        <f t="shared" si="12"/>
        <v>0</v>
      </c>
      <c r="AG85" s="32">
        <f t="shared" si="12"/>
        <v>9812827</v>
      </c>
      <c r="AH85" s="32">
        <f t="shared" si="12"/>
        <v>207018</v>
      </c>
      <c r="AI85" s="32">
        <f t="shared" si="12"/>
        <v>1586737</v>
      </c>
      <c r="AJ85" s="32">
        <f t="shared" si="12"/>
        <v>24429663</v>
      </c>
      <c r="AK85" s="32">
        <f t="shared" si="12"/>
        <v>2665907</v>
      </c>
      <c r="AL85" s="32">
        <f t="shared" si="12"/>
        <v>95207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2005560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220430</v>
      </c>
      <c r="AW85" s="32">
        <f t="shared" si="12"/>
        <v>0</v>
      </c>
      <c r="AX85" s="32">
        <f t="shared" si="12"/>
        <v>0</v>
      </c>
      <c r="AY85" s="32">
        <f t="shared" si="12"/>
        <v>2106433</v>
      </c>
      <c r="AZ85" s="32">
        <f t="shared" si="12"/>
        <v>0</v>
      </c>
      <c r="BA85" s="32">
        <f t="shared" si="12"/>
        <v>21349</v>
      </c>
      <c r="BB85" s="32">
        <f t="shared" si="12"/>
        <v>852792</v>
      </c>
      <c r="BC85" s="32">
        <f t="shared" si="12"/>
        <v>0</v>
      </c>
      <c r="BD85" s="32">
        <f t="shared" si="12"/>
        <v>996494</v>
      </c>
      <c r="BE85" s="32">
        <f t="shared" si="12"/>
        <v>4155514</v>
      </c>
      <c r="BF85" s="32">
        <f t="shared" si="12"/>
        <v>2931603</v>
      </c>
      <c r="BG85" s="32">
        <f t="shared" si="12"/>
        <v>0</v>
      </c>
      <c r="BH85" s="32">
        <f t="shared" si="12"/>
        <v>4012185</v>
      </c>
      <c r="BI85" s="32">
        <f t="shared" si="12"/>
        <v>0</v>
      </c>
      <c r="BJ85" s="32">
        <f t="shared" si="12"/>
        <v>1120528</v>
      </c>
      <c r="BK85" s="32">
        <f t="shared" si="12"/>
        <v>2787513</v>
      </c>
      <c r="BL85" s="32">
        <f t="shared" si="12"/>
        <v>1085560</v>
      </c>
      <c r="BM85" s="32">
        <f t="shared" si="12"/>
        <v>63878</v>
      </c>
      <c r="BN85" s="32">
        <f t="shared" si="12"/>
        <v>4159307</v>
      </c>
      <c r="BO85" s="32">
        <f t="shared" si="12"/>
        <v>204289</v>
      </c>
      <c r="BP85" s="32">
        <f t="shared" ref="BP85:CD85" si="13">SUM(BP61:BP69)-BP84</f>
        <v>1633319</v>
      </c>
      <c r="BQ85" s="32">
        <f t="shared" si="13"/>
        <v>0</v>
      </c>
      <c r="BR85" s="32">
        <f t="shared" si="13"/>
        <v>1828619</v>
      </c>
      <c r="BS85" s="32">
        <f t="shared" si="13"/>
        <v>31573</v>
      </c>
      <c r="BT85" s="32">
        <f t="shared" si="13"/>
        <v>0</v>
      </c>
      <c r="BU85" s="32">
        <f t="shared" si="13"/>
        <v>0</v>
      </c>
      <c r="BV85" s="32">
        <f t="shared" si="13"/>
        <v>2117635</v>
      </c>
      <c r="BW85" s="32">
        <f t="shared" si="13"/>
        <v>331700</v>
      </c>
      <c r="BX85" s="32">
        <f t="shared" si="13"/>
        <v>0</v>
      </c>
      <c r="BY85" s="32">
        <f t="shared" si="13"/>
        <v>1999723</v>
      </c>
      <c r="BZ85" s="32">
        <f t="shared" si="13"/>
        <v>276972</v>
      </c>
      <c r="CA85" s="32">
        <f t="shared" si="13"/>
        <v>888505</v>
      </c>
      <c r="CB85" s="32">
        <f t="shared" si="13"/>
        <v>15102</v>
      </c>
      <c r="CC85" s="32">
        <f t="shared" si="13"/>
        <v>2041297</v>
      </c>
      <c r="CD85" s="32">
        <f t="shared" si="13"/>
        <v>0</v>
      </c>
      <c r="CE85" s="32">
        <f t="shared" si="11"/>
        <v>141334942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>
        <v>18273137</v>
      </c>
      <c r="D87" s="24">
        <v>0</v>
      </c>
      <c r="E87" s="24">
        <v>22107719</v>
      </c>
      <c r="F87" s="24">
        <v>8124455</v>
      </c>
      <c r="G87" s="24">
        <v>0</v>
      </c>
      <c r="H87" s="24">
        <v>0</v>
      </c>
      <c r="I87" s="24">
        <v>0</v>
      </c>
      <c r="J87" s="24">
        <v>563347</v>
      </c>
      <c r="K87" s="24">
        <v>0</v>
      </c>
      <c r="L87" s="24">
        <v>0</v>
      </c>
      <c r="M87" s="24">
        <v>0</v>
      </c>
      <c r="N87" s="24">
        <v>0</v>
      </c>
      <c r="O87" s="24">
        <v>16965464</v>
      </c>
      <c r="P87" s="24">
        <v>7334413</v>
      </c>
      <c r="Q87" s="24">
        <v>1157124</v>
      </c>
      <c r="R87" s="24">
        <v>7523883</v>
      </c>
      <c r="S87" s="24">
        <v>1819359</v>
      </c>
      <c r="T87" s="24">
        <v>2440</v>
      </c>
      <c r="U87" s="24">
        <v>10725773</v>
      </c>
      <c r="V87" s="24">
        <v>32529</v>
      </c>
      <c r="W87" s="24">
        <v>760451</v>
      </c>
      <c r="X87" s="24">
        <v>6583112</v>
      </c>
      <c r="Y87" s="24">
        <v>3003944</v>
      </c>
      <c r="Z87" s="24">
        <v>0</v>
      </c>
      <c r="AA87" s="24">
        <v>80630</v>
      </c>
      <c r="AB87" s="24">
        <v>13875183</v>
      </c>
      <c r="AC87" s="24">
        <v>6326690</v>
      </c>
      <c r="AD87" s="24">
        <v>0</v>
      </c>
      <c r="AE87" s="24">
        <v>964704</v>
      </c>
      <c r="AF87" s="24">
        <v>0</v>
      </c>
      <c r="AG87" s="24">
        <v>7746686</v>
      </c>
      <c r="AH87" s="24">
        <v>0</v>
      </c>
      <c r="AI87" s="24">
        <v>84292</v>
      </c>
      <c r="AJ87" s="24">
        <v>2097935</v>
      </c>
      <c r="AK87" s="24">
        <v>0</v>
      </c>
      <c r="AL87" s="24">
        <v>79984</v>
      </c>
      <c r="AM87" s="24">
        <v>0</v>
      </c>
      <c r="AN87" s="24">
        <v>0</v>
      </c>
      <c r="AO87" s="24">
        <v>0</v>
      </c>
      <c r="AP87" s="24">
        <v>150674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1696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136385624</v>
      </c>
    </row>
    <row r="88" spans="1:84" x14ac:dyDescent="0.35">
      <c r="A88" s="26" t="s">
        <v>273</v>
      </c>
      <c r="B88" s="20"/>
      <c r="C88" s="24">
        <v>1986776</v>
      </c>
      <c r="D88" s="24">
        <v>0</v>
      </c>
      <c r="E88" s="24">
        <v>4222598</v>
      </c>
      <c r="F88" s="24">
        <v>39976</v>
      </c>
      <c r="G88" s="24">
        <v>0</v>
      </c>
      <c r="H88" s="24">
        <v>0</v>
      </c>
      <c r="I88" s="24">
        <v>0</v>
      </c>
      <c r="J88" s="24">
        <v>9310</v>
      </c>
      <c r="K88" s="24">
        <v>0</v>
      </c>
      <c r="L88" s="24">
        <v>0</v>
      </c>
      <c r="M88" s="24">
        <v>0</v>
      </c>
      <c r="N88" s="24">
        <v>0</v>
      </c>
      <c r="O88" s="24">
        <v>668658</v>
      </c>
      <c r="P88" s="24">
        <v>42592517</v>
      </c>
      <c r="Q88" s="24">
        <v>5409977</v>
      </c>
      <c r="R88" s="24">
        <v>16276502</v>
      </c>
      <c r="S88" s="24">
        <v>7608763</v>
      </c>
      <c r="T88" s="24">
        <v>460188</v>
      </c>
      <c r="U88" s="24">
        <v>20700626</v>
      </c>
      <c r="V88" s="24">
        <v>232743</v>
      </c>
      <c r="W88" s="24">
        <v>4782035</v>
      </c>
      <c r="X88" s="24">
        <v>23716737</v>
      </c>
      <c r="Y88" s="24">
        <v>20768533</v>
      </c>
      <c r="Z88" s="24">
        <v>0</v>
      </c>
      <c r="AA88" s="24">
        <v>818686</v>
      </c>
      <c r="AB88" s="24">
        <v>17697143</v>
      </c>
      <c r="AC88" s="24">
        <v>1147209</v>
      </c>
      <c r="AD88" s="24">
        <v>0</v>
      </c>
      <c r="AE88" s="24">
        <v>2336077</v>
      </c>
      <c r="AF88" s="24">
        <v>0</v>
      </c>
      <c r="AG88" s="24">
        <v>48715122</v>
      </c>
      <c r="AH88" s="24">
        <v>0</v>
      </c>
      <c r="AI88" s="24">
        <v>8701135</v>
      </c>
      <c r="AJ88" s="24">
        <v>20982928</v>
      </c>
      <c r="AK88" s="24">
        <v>2643533</v>
      </c>
      <c r="AL88" s="24">
        <v>157513</v>
      </c>
      <c r="AM88" s="24">
        <v>0</v>
      </c>
      <c r="AN88" s="24">
        <v>0</v>
      </c>
      <c r="AO88" s="24">
        <v>0</v>
      </c>
      <c r="AP88" s="24">
        <v>1846503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1845531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256367319</v>
      </c>
    </row>
    <row r="89" spans="1:84" x14ac:dyDescent="0.35">
      <c r="A89" s="26" t="s">
        <v>274</v>
      </c>
      <c r="B89" s="20"/>
      <c r="C89" s="32">
        <f>C87+C88</f>
        <v>20259913</v>
      </c>
      <c r="D89" s="32">
        <f t="shared" ref="D89:AV89" si="15">D87+D88</f>
        <v>0</v>
      </c>
      <c r="E89" s="32">
        <f t="shared" si="15"/>
        <v>26330317</v>
      </c>
      <c r="F89" s="32">
        <f t="shared" si="15"/>
        <v>8164431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572657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17634122</v>
      </c>
      <c r="P89" s="32">
        <f t="shared" si="15"/>
        <v>49926930</v>
      </c>
      <c r="Q89" s="32">
        <f t="shared" si="15"/>
        <v>6567101</v>
      </c>
      <c r="R89" s="32">
        <f t="shared" si="15"/>
        <v>23800385</v>
      </c>
      <c r="S89" s="32">
        <f t="shared" si="15"/>
        <v>9428122</v>
      </c>
      <c r="T89" s="32">
        <f t="shared" si="15"/>
        <v>462628</v>
      </c>
      <c r="U89" s="32">
        <f t="shared" si="15"/>
        <v>31426399</v>
      </c>
      <c r="V89" s="32">
        <f t="shared" si="15"/>
        <v>265272</v>
      </c>
      <c r="W89" s="32">
        <f t="shared" si="15"/>
        <v>5542486</v>
      </c>
      <c r="X89" s="32">
        <f t="shared" si="15"/>
        <v>30299849</v>
      </c>
      <c r="Y89" s="32">
        <f t="shared" si="15"/>
        <v>23772477</v>
      </c>
      <c r="Z89" s="32">
        <f t="shared" si="15"/>
        <v>0</v>
      </c>
      <c r="AA89" s="32">
        <f t="shared" si="15"/>
        <v>899316</v>
      </c>
      <c r="AB89" s="32">
        <f t="shared" si="15"/>
        <v>31572326</v>
      </c>
      <c r="AC89" s="32">
        <f t="shared" si="15"/>
        <v>7473899</v>
      </c>
      <c r="AD89" s="32">
        <f t="shared" si="15"/>
        <v>0</v>
      </c>
      <c r="AE89" s="32">
        <f t="shared" si="15"/>
        <v>3300781</v>
      </c>
      <c r="AF89" s="32">
        <f t="shared" si="15"/>
        <v>0</v>
      </c>
      <c r="AG89" s="32">
        <f t="shared" si="15"/>
        <v>56461808</v>
      </c>
      <c r="AH89" s="32">
        <f t="shared" si="15"/>
        <v>0</v>
      </c>
      <c r="AI89" s="32">
        <f t="shared" si="15"/>
        <v>8785427</v>
      </c>
      <c r="AJ89" s="32">
        <f t="shared" si="15"/>
        <v>23080863</v>
      </c>
      <c r="AK89" s="32">
        <f t="shared" si="15"/>
        <v>2643533</v>
      </c>
      <c r="AL89" s="32">
        <f t="shared" si="15"/>
        <v>237497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1997177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1847227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392752943</v>
      </c>
    </row>
    <row r="90" spans="1:84" x14ac:dyDescent="0.35">
      <c r="A90" s="39" t="s">
        <v>275</v>
      </c>
      <c r="B90" s="32"/>
      <c r="C90" s="24">
        <v>0</v>
      </c>
      <c r="D90" s="24">
        <v>0</v>
      </c>
      <c r="E90" s="24">
        <v>20629.739275922217</v>
      </c>
      <c r="F90" s="24">
        <v>13070.585634754789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10125.24669726924</v>
      </c>
      <c r="Q90" s="24">
        <v>1438.6610065534719</v>
      </c>
      <c r="R90" s="24">
        <v>191.68405961242536</v>
      </c>
      <c r="S90" s="24">
        <v>1400.5303065230435</v>
      </c>
      <c r="T90" s="24">
        <v>0</v>
      </c>
      <c r="U90" s="24">
        <v>3350.3488053763162</v>
      </c>
      <c r="V90" s="24">
        <v>0</v>
      </c>
      <c r="W90" s="24">
        <v>0</v>
      </c>
      <c r="X90" s="24">
        <v>0</v>
      </c>
      <c r="Y90" s="24">
        <v>6854.2509703346286</v>
      </c>
      <c r="Z90" s="24">
        <v>0</v>
      </c>
      <c r="AA90" s="24">
        <v>0</v>
      </c>
      <c r="AB90" s="24">
        <v>1701.4536689253455</v>
      </c>
      <c r="AC90" s="24">
        <v>854.33379257365925</v>
      </c>
      <c r="AD90" s="24">
        <v>0</v>
      </c>
      <c r="AE90" s="24">
        <v>2101.3107395147063</v>
      </c>
      <c r="AF90" s="24">
        <v>0</v>
      </c>
      <c r="AG90" s="24">
        <v>5639.2213666623193</v>
      </c>
      <c r="AH90" s="24">
        <v>0</v>
      </c>
      <c r="AI90" s="24">
        <v>3998.570705893605</v>
      </c>
      <c r="AJ90" s="24">
        <v>69677.155669116619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0</v>
      </c>
      <c r="AW90" s="24">
        <v>0</v>
      </c>
      <c r="AX90" s="24">
        <v>0</v>
      </c>
      <c r="AY90" s="24">
        <v>7598.3149006581289</v>
      </c>
      <c r="AZ90" s="24">
        <v>0</v>
      </c>
      <c r="BA90" s="24">
        <v>677.07756540517983</v>
      </c>
      <c r="BB90" s="24">
        <v>602.87728426488616</v>
      </c>
      <c r="BC90" s="24">
        <v>0</v>
      </c>
      <c r="BD90" s="24">
        <v>4844.6600227850086</v>
      </c>
      <c r="BE90" s="24">
        <v>25253.859574206897</v>
      </c>
      <c r="BF90" s="24">
        <v>3526.574473084514</v>
      </c>
      <c r="BG90" s="24">
        <v>0</v>
      </c>
      <c r="BH90" s="24">
        <v>3662.6083218417189</v>
      </c>
      <c r="BI90" s="24">
        <v>0</v>
      </c>
      <c r="BJ90" s="24">
        <v>1498.4334552498196</v>
      </c>
      <c r="BK90" s="24">
        <v>1925.0850718065078</v>
      </c>
      <c r="BL90" s="24">
        <v>1367.5524037940238</v>
      </c>
      <c r="BM90" s="24">
        <v>0</v>
      </c>
      <c r="BN90" s="24">
        <v>29493.581193806458</v>
      </c>
      <c r="BO90" s="24">
        <v>211.26468935778061</v>
      </c>
      <c r="BP90" s="24">
        <v>1203.6934496092088</v>
      </c>
      <c r="BQ90" s="24">
        <v>0</v>
      </c>
      <c r="BR90" s="24">
        <v>1687.0258364813994</v>
      </c>
      <c r="BS90" s="24">
        <v>920.28959803169801</v>
      </c>
      <c r="BT90" s="24">
        <v>0</v>
      </c>
      <c r="BU90" s="24">
        <v>0</v>
      </c>
      <c r="BV90" s="24">
        <v>1692.1786337828087</v>
      </c>
      <c r="BW90" s="24">
        <v>969.75645212522682</v>
      </c>
      <c r="BX90" s="24">
        <v>0</v>
      </c>
      <c r="BY90" s="24">
        <v>621.42735454995943</v>
      </c>
      <c r="BZ90" s="24">
        <v>0</v>
      </c>
      <c r="CA90" s="24">
        <v>7911.6049765838134</v>
      </c>
      <c r="CB90" s="24">
        <v>103.05594602818567</v>
      </c>
      <c r="CC90" s="24">
        <v>272.06769751441016</v>
      </c>
      <c r="CD90" s="264" t="s">
        <v>233</v>
      </c>
      <c r="CE90" s="32">
        <f t="shared" si="14"/>
        <v>237076.0816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>
        <v>24341.067893123087</v>
      </c>
      <c r="F91" s="24">
        <v>4680.40492529323</v>
      </c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>
        <v>1204.1674697036065</v>
      </c>
      <c r="AH91" s="24"/>
      <c r="AI91" s="24">
        <v>207.35971188007983</v>
      </c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15" t="s">
        <v>233</v>
      </c>
      <c r="AY91" s="315" t="s">
        <v>233</v>
      </c>
      <c r="AZ91" s="24">
        <f>AZ59</f>
        <v>82996</v>
      </c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113429</v>
      </c>
      <c r="CF91" s="32">
        <f>AY59-CE91</f>
        <v>-82996</v>
      </c>
    </row>
    <row r="92" spans="1:84" x14ac:dyDescent="0.35">
      <c r="A92" s="26" t="s">
        <v>277</v>
      </c>
      <c r="B92" s="20"/>
      <c r="C92" s="24">
        <v>0</v>
      </c>
      <c r="D92" s="24">
        <v>0</v>
      </c>
      <c r="E92" s="24">
        <v>24534.993656250004</v>
      </c>
      <c r="F92" s="24">
        <v>15545.109431250003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12042.020418750002</v>
      </c>
      <c r="Q92" s="24">
        <v>1711.4328000000003</v>
      </c>
      <c r="R92" s="24">
        <v>228.51517500000003</v>
      </c>
      <c r="S92" s="24">
        <v>1665.2435625000001</v>
      </c>
      <c r="T92" s="24">
        <v>0</v>
      </c>
      <c r="U92" s="24">
        <v>3984.429487500001</v>
      </c>
      <c r="V92" s="24">
        <v>0</v>
      </c>
      <c r="W92" s="24">
        <v>0</v>
      </c>
      <c r="X92" s="24">
        <v>0</v>
      </c>
      <c r="Y92" s="24">
        <v>8151.1849125000017</v>
      </c>
      <c r="Z92" s="24">
        <v>0</v>
      </c>
      <c r="AA92" s="24">
        <v>0</v>
      </c>
      <c r="AB92" s="24">
        <v>2023.8179062500003</v>
      </c>
      <c r="AC92" s="24">
        <v>1016.1632250000001</v>
      </c>
      <c r="AD92" s="24">
        <v>0</v>
      </c>
      <c r="AE92" s="24">
        <v>2499.0808500000003</v>
      </c>
      <c r="AF92" s="24">
        <v>0</v>
      </c>
      <c r="AG92" s="24">
        <v>6707.1634875000018</v>
      </c>
      <c r="AH92" s="24">
        <v>0</v>
      </c>
      <c r="AI92" s="24">
        <v>4755.0604500000009</v>
      </c>
      <c r="AJ92" s="24">
        <v>82865.923087500021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>
        <v>0</v>
      </c>
      <c r="AX92" s="315" t="s">
        <v>233</v>
      </c>
      <c r="AY92" s="315" t="s">
        <v>233</v>
      </c>
      <c r="AZ92" s="29" t="s">
        <v>233</v>
      </c>
      <c r="BA92" s="24">
        <v>766.34775000000002</v>
      </c>
      <c r="BB92" s="24">
        <v>682.99875000000009</v>
      </c>
      <c r="BC92" s="24">
        <v>0</v>
      </c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4148.9280000000008</v>
      </c>
      <c r="BI92" s="24">
        <v>0</v>
      </c>
      <c r="BJ92" s="29" t="s">
        <v>233</v>
      </c>
      <c r="BK92" s="24">
        <v>2180.9655000000002</v>
      </c>
      <c r="BL92" s="24">
        <v>1548.9022500000003</v>
      </c>
      <c r="BM92" s="24">
        <v>0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>
        <v>1041.8625</v>
      </c>
      <c r="BT92" s="24">
        <v>0</v>
      </c>
      <c r="BU92" s="24">
        <v>0</v>
      </c>
      <c r="BV92" s="24">
        <v>1917.0270000000003</v>
      </c>
      <c r="BW92" s="24">
        <v>1098.586125</v>
      </c>
      <c r="BX92" s="24">
        <v>0</v>
      </c>
      <c r="BY92" s="24">
        <v>703.83600000000013</v>
      </c>
      <c r="BZ92" s="24">
        <v>0</v>
      </c>
      <c r="CA92" s="24">
        <v>8961.1751250000016</v>
      </c>
      <c r="CB92" s="24">
        <v>111.35250000000002</v>
      </c>
      <c r="CC92" s="29" t="s">
        <v>233</v>
      </c>
      <c r="CD92" s="29" t="s">
        <v>233</v>
      </c>
      <c r="CE92" s="32">
        <f t="shared" si="14"/>
        <v>190892.11995000005</v>
      </c>
      <c r="CF92" s="20"/>
    </row>
    <row r="93" spans="1:84" x14ac:dyDescent="0.35">
      <c r="A93" s="26" t="s">
        <v>278</v>
      </c>
      <c r="B93" s="20"/>
      <c r="C93" s="24">
        <v>0</v>
      </c>
      <c r="D93" s="24">
        <v>0</v>
      </c>
      <c r="E93" s="24">
        <v>119889.13991798185</v>
      </c>
      <c r="F93" s="24">
        <v>88433.590300884272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4033.743316200364</v>
      </c>
      <c r="O93" s="24">
        <v>0</v>
      </c>
      <c r="P93" s="24">
        <v>34089.946586245293</v>
      </c>
      <c r="Q93" s="24">
        <v>7830.9574421600473</v>
      </c>
      <c r="R93" s="24">
        <v>0</v>
      </c>
      <c r="S93" s="24">
        <v>1484.3268944445163</v>
      </c>
      <c r="T93" s="24">
        <v>0</v>
      </c>
      <c r="U93" s="24">
        <v>563.70429769934879</v>
      </c>
      <c r="V93" s="24">
        <v>0</v>
      </c>
      <c r="W93" s="24">
        <v>0</v>
      </c>
      <c r="X93" s="24">
        <v>12776.825300366392</v>
      </c>
      <c r="Y93" s="24">
        <v>24715.175866466423</v>
      </c>
      <c r="Z93" s="24">
        <v>0</v>
      </c>
      <c r="AA93" s="24">
        <v>820.06228233146476</v>
      </c>
      <c r="AB93" s="24">
        <v>0</v>
      </c>
      <c r="AC93" s="24">
        <v>0</v>
      </c>
      <c r="AD93" s="24">
        <v>0</v>
      </c>
      <c r="AE93" s="24">
        <v>604.77822893874861</v>
      </c>
      <c r="AF93" s="24">
        <v>0</v>
      </c>
      <c r="AG93" s="24">
        <v>121100.11271831591</v>
      </c>
      <c r="AH93" s="24">
        <v>0</v>
      </c>
      <c r="AI93" s="24">
        <v>21245.136847965401</v>
      </c>
      <c r="AJ93" s="24">
        <v>0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>
        <v>0</v>
      </c>
      <c r="AX93" s="315" t="s">
        <v>233</v>
      </c>
      <c r="AY93" s="315" t="s">
        <v>233</v>
      </c>
      <c r="AZ93" s="29" t="s">
        <v>233</v>
      </c>
      <c r="BA93" s="29" t="s">
        <v>233</v>
      </c>
      <c r="BB93" s="24">
        <v>0</v>
      </c>
      <c r="BC93" s="24">
        <v>0</v>
      </c>
      <c r="BD93" s="29" t="s">
        <v>233</v>
      </c>
      <c r="BE93" s="29" t="s">
        <v>233</v>
      </c>
      <c r="BF93" s="29" t="s">
        <v>233</v>
      </c>
      <c r="BG93" s="29" t="s">
        <v>233</v>
      </c>
      <c r="BH93" s="24">
        <v>0</v>
      </c>
      <c r="BI93" s="24">
        <v>0</v>
      </c>
      <c r="BJ93" s="29" t="s">
        <v>233</v>
      </c>
      <c r="BK93" s="24">
        <v>0</v>
      </c>
      <c r="BL93" s="24">
        <v>0</v>
      </c>
      <c r="BM93" s="24">
        <v>0</v>
      </c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9" t="s">
        <v>233</v>
      </c>
      <c r="CD93" s="29" t="s">
        <v>233</v>
      </c>
      <c r="CE93" s="32">
        <f t="shared" si="14"/>
        <v>437587.50000000012</v>
      </c>
      <c r="CF93" s="32">
        <f>BA59</f>
        <v>0</v>
      </c>
    </row>
    <row r="94" spans="1:84" x14ac:dyDescent="0.35">
      <c r="A94" s="26" t="s">
        <v>279</v>
      </c>
      <c r="B94" s="20"/>
      <c r="C94" s="344">
        <v>15.3880384615385</v>
      </c>
      <c r="D94" s="344">
        <v>0</v>
      </c>
      <c r="E94" s="344">
        <v>17.899192307692303</v>
      </c>
      <c r="F94" s="344">
        <v>21.756942307692309</v>
      </c>
      <c r="G94" s="344">
        <v>0</v>
      </c>
      <c r="H94" s="344">
        <v>0</v>
      </c>
      <c r="I94" s="344">
        <v>0</v>
      </c>
      <c r="J94" s="344">
        <v>0</v>
      </c>
      <c r="K94" s="344">
        <v>0</v>
      </c>
      <c r="L94" s="344">
        <v>0</v>
      </c>
      <c r="M94" s="344">
        <v>0</v>
      </c>
      <c r="N94" s="344">
        <v>0</v>
      </c>
      <c r="O94" s="344">
        <v>0</v>
      </c>
      <c r="P94" s="344">
        <v>6.7102932692307649</v>
      </c>
      <c r="Q94" s="344">
        <v>4.2187403846153861</v>
      </c>
      <c r="R94" s="344">
        <v>0</v>
      </c>
      <c r="S94" s="344">
        <v>0</v>
      </c>
      <c r="T94" s="344">
        <v>0</v>
      </c>
      <c r="U94" s="344">
        <v>0</v>
      </c>
      <c r="V94" s="344">
        <v>0</v>
      </c>
      <c r="W94" s="344">
        <v>0</v>
      </c>
      <c r="X94" s="344">
        <v>0</v>
      </c>
      <c r="Y94" s="344">
        <v>0</v>
      </c>
      <c r="Z94" s="344">
        <v>0</v>
      </c>
      <c r="AA94" s="344">
        <v>0</v>
      </c>
      <c r="AB94" s="344">
        <v>0</v>
      </c>
      <c r="AC94" s="344">
        <v>0</v>
      </c>
      <c r="AD94" s="344">
        <v>0</v>
      </c>
      <c r="AE94" s="344">
        <v>0</v>
      </c>
      <c r="AF94" s="344">
        <v>0</v>
      </c>
      <c r="AG94" s="344">
        <v>19.527028846153854</v>
      </c>
      <c r="AH94" s="344">
        <v>0</v>
      </c>
      <c r="AI94" s="344">
        <v>7.6250144230769239</v>
      </c>
      <c r="AJ94" s="344">
        <v>10.905014423076929</v>
      </c>
      <c r="AK94" s="344">
        <v>0.22846634615384592</v>
      </c>
      <c r="AL94" s="344">
        <v>0</v>
      </c>
      <c r="AM94" s="344">
        <v>0</v>
      </c>
      <c r="AN94" s="344">
        <v>0</v>
      </c>
      <c r="AO94" s="344">
        <v>0</v>
      </c>
      <c r="AP94" s="344">
        <v>0.57626442307692316</v>
      </c>
      <c r="AQ94" s="344">
        <v>0</v>
      </c>
      <c r="AR94" s="344">
        <v>0</v>
      </c>
      <c r="AS94" s="344">
        <v>0</v>
      </c>
      <c r="AT94" s="344">
        <v>0</v>
      </c>
      <c r="AU94" s="344">
        <v>0</v>
      </c>
      <c r="AV94" s="344">
        <v>0</v>
      </c>
      <c r="AW94" s="315" t="s">
        <v>233</v>
      </c>
      <c r="AX94" s="315" t="s">
        <v>233</v>
      </c>
      <c r="AY94" s="315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16"/>
      <c r="BV94" s="316"/>
      <c r="BW94" s="316"/>
      <c r="BX94" s="316"/>
      <c r="BY94" s="316"/>
      <c r="BZ94" s="316"/>
      <c r="CA94" s="316"/>
      <c r="CB94" s="316"/>
      <c r="CC94" s="29" t="s">
        <v>233</v>
      </c>
      <c r="CD94" s="29" t="s">
        <v>233</v>
      </c>
      <c r="CE94" s="267">
        <f t="shared" si="14"/>
        <v>104.83499519230774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17" t="s">
        <v>1375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18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338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19">
        <v>98837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1369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0" t="s">
        <v>1370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0" t="s">
        <v>1371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1372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37" t="s">
        <v>1373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37" t="s">
        <v>1374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1376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39" t="s">
        <v>1377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>
        <v>1</v>
      </c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3002</v>
      </c>
      <c r="D127" s="50">
        <v>10969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985</v>
      </c>
      <c r="D130" s="50">
        <v>1431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/>
      <c r="D132" s="20"/>
      <c r="E132" s="20"/>
    </row>
    <row r="133" spans="1:5" x14ac:dyDescent="0.35">
      <c r="A133" s="20" t="s">
        <v>316</v>
      </c>
      <c r="B133" s="46" t="s">
        <v>284</v>
      </c>
      <c r="C133" s="47">
        <v>12</v>
      </c>
      <c r="D133" s="20"/>
      <c r="E133" s="20"/>
    </row>
    <row r="134" spans="1:5" x14ac:dyDescent="0.35">
      <c r="A134" s="20" t="s">
        <v>317</v>
      </c>
      <c r="B134" s="46" t="s">
        <v>284</v>
      </c>
      <c r="C134" s="47"/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11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>
        <v>23</v>
      </c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46</v>
      </c>
    </row>
    <row r="144" spans="1:5" x14ac:dyDescent="0.35">
      <c r="A144" s="20" t="s">
        <v>325</v>
      </c>
      <c r="B144" s="46" t="s">
        <v>284</v>
      </c>
      <c r="C144" s="47">
        <v>50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>
        <v>11</v>
      </c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1004.6839076820689</v>
      </c>
      <c r="C154" s="50">
        <v>1055.5655845661322</v>
      </c>
      <c r="D154" s="50">
        <v>941.75050775179909</v>
      </c>
      <c r="E154" s="32">
        <f>SUM(B154:D154)</f>
        <v>3002</v>
      </c>
    </row>
    <row r="155" spans="1:6" x14ac:dyDescent="0.35">
      <c r="A155" s="20" t="s">
        <v>227</v>
      </c>
      <c r="B155" s="50">
        <v>5079.772042028324</v>
      </c>
      <c r="C155" s="50">
        <v>2397.3687280472195</v>
      </c>
      <c r="D155" s="50">
        <v>3267.8592299244569</v>
      </c>
      <c r="E155" s="32">
        <f>SUM(B155:D155)</f>
        <v>10745</v>
      </c>
    </row>
    <row r="156" spans="1:6" x14ac:dyDescent="0.35">
      <c r="A156" s="20" t="s">
        <v>332</v>
      </c>
      <c r="B156" s="50"/>
      <c r="C156" s="50"/>
      <c r="D156" s="50"/>
      <c r="E156" s="32">
        <f>SUM(B156:D156)</f>
        <v>0</v>
      </c>
    </row>
    <row r="157" spans="1:6" x14ac:dyDescent="0.35">
      <c r="A157" s="20" t="s">
        <v>272</v>
      </c>
      <c r="B157" s="50">
        <v>60547711.75</v>
      </c>
      <c r="C157" s="50">
        <v>40130924.270000003</v>
      </c>
      <c r="D157" s="50">
        <v>35732763.529999979</v>
      </c>
      <c r="E157" s="32">
        <f>SUM(B157:D157)</f>
        <v>136411399.54999998</v>
      </c>
      <c r="F157" s="18"/>
    </row>
    <row r="158" spans="1:6" x14ac:dyDescent="0.35">
      <c r="A158" s="20" t="s">
        <v>273</v>
      </c>
      <c r="B158" s="50">
        <v>80703382.660000011</v>
      </c>
      <c r="C158" s="50">
        <v>78082902.489999995</v>
      </c>
      <c r="D158" s="50">
        <v>97578625.909999982</v>
      </c>
      <c r="E158" s="32">
        <f>SUM(B158:D158)</f>
        <v>256364911.06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3926071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112721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549343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10239705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198802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3580996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1503091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20110729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105492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430659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536151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1105986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287763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1393749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/>
      <c r="D199" s="20"/>
      <c r="E199" s="20"/>
    </row>
    <row r="200" spans="1:5" x14ac:dyDescent="0.35">
      <c r="A200" s="20" t="s">
        <v>356</v>
      </c>
      <c r="B200" s="46" t="s">
        <v>284</v>
      </c>
      <c r="C200" s="47"/>
      <c r="D200" s="20"/>
      <c r="E200" s="20"/>
    </row>
    <row r="201" spans="1:5" x14ac:dyDescent="0.35">
      <c r="A201" s="20" t="s">
        <v>144</v>
      </c>
      <c r="B201" s="46" t="s">
        <v>284</v>
      </c>
      <c r="C201" s="47"/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0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/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314822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314822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9" x14ac:dyDescent="0.35">
      <c r="A209" s="49" t="s">
        <v>361</v>
      </c>
      <c r="B209" s="38"/>
      <c r="C209" s="38"/>
      <c r="D209" s="38"/>
      <c r="E209" s="38"/>
    </row>
    <row r="210" spans="1:9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  <c r="F210" s="342" t="s">
        <v>1383</v>
      </c>
      <c r="G210" s="340"/>
      <c r="H210" s="340"/>
      <c r="I210" s="340"/>
    </row>
    <row r="211" spans="1:9" x14ac:dyDescent="0.35">
      <c r="A211" s="20" t="s">
        <v>366</v>
      </c>
      <c r="B211" s="50">
        <v>10642078.460000001</v>
      </c>
      <c r="C211" s="47"/>
      <c r="D211" s="50"/>
      <c r="E211" s="32">
        <f t="shared" ref="E211:E219" si="16">SUM(B211:C211)-D211</f>
        <v>10642078.460000001</v>
      </c>
    </row>
    <row r="212" spans="1:9" x14ac:dyDescent="0.35">
      <c r="A212" s="20" t="s">
        <v>367</v>
      </c>
      <c r="B212" s="50">
        <v>555844.31000000006</v>
      </c>
      <c r="C212" s="47"/>
      <c r="D212" s="50"/>
      <c r="E212" s="32">
        <f t="shared" si="16"/>
        <v>555844.31000000006</v>
      </c>
    </row>
    <row r="213" spans="1:9" x14ac:dyDescent="0.35">
      <c r="A213" s="20" t="s">
        <v>368</v>
      </c>
      <c r="B213" s="50">
        <v>66316453.049999997</v>
      </c>
      <c r="C213" s="47">
        <f>238207+G213</f>
        <v>2783546</v>
      </c>
      <c r="D213" s="50"/>
      <c r="E213" s="32">
        <f t="shared" si="16"/>
        <v>69099999.049999997</v>
      </c>
      <c r="F213" s="341" t="s">
        <v>1381</v>
      </c>
      <c r="G213" s="12">
        <v>2545339</v>
      </c>
      <c r="H213" s="12" t="s">
        <v>1382</v>
      </c>
    </row>
    <row r="214" spans="1:9" x14ac:dyDescent="0.35">
      <c r="A214" s="20" t="s">
        <v>369</v>
      </c>
      <c r="B214" s="50">
        <v>3857273.35</v>
      </c>
      <c r="C214" s="47"/>
      <c r="D214" s="50"/>
      <c r="E214" s="32">
        <f t="shared" si="16"/>
        <v>3857273.35</v>
      </c>
    </row>
    <row r="215" spans="1:9" x14ac:dyDescent="0.35">
      <c r="A215" s="20" t="s">
        <v>370</v>
      </c>
      <c r="B215" s="50">
        <v>314675.14</v>
      </c>
      <c r="C215" s="47"/>
      <c r="D215" s="50"/>
      <c r="E215" s="32">
        <f t="shared" si="16"/>
        <v>314675.14</v>
      </c>
    </row>
    <row r="216" spans="1:9" x14ac:dyDescent="0.35">
      <c r="A216" s="20" t="s">
        <v>371</v>
      </c>
      <c r="B216" s="50">
        <v>47445314.770000003</v>
      </c>
      <c r="C216" s="47">
        <v>1509198.89</v>
      </c>
      <c r="D216" s="50">
        <v>243416.96000000002</v>
      </c>
      <c r="E216" s="32">
        <f t="shared" si="16"/>
        <v>48711096.700000003</v>
      </c>
    </row>
    <row r="217" spans="1:9" x14ac:dyDescent="0.35">
      <c r="A217" s="20" t="s">
        <v>372</v>
      </c>
      <c r="B217" s="50"/>
      <c r="C217" s="47"/>
      <c r="D217" s="50"/>
      <c r="E217" s="32">
        <f t="shared" si="16"/>
        <v>0</v>
      </c>
    </row>
    <row r="218" spans="1:9" x14ac:dyDescent="0.35">
      <c r="A218" s="20" t="s">
        <v>373</v>
      </c>
      <c r="B218" s="50"/>
      <c r="C218" s="47"/>
      <c r="D218" s="50"/>
      <c r="E218" s="32">
        <f t="shared" si="16"/>
        <v>0</v>
      </c>
    </row>
    <row r="219" spans="1:9" x14ac:dyDescent="0.35">
      <c r="A219" s="20" t="s">
        <v>374</v>
      </c>
      <c r="B219" s="50">
        <v>7398317.1000000006</v>
      </c>
      <c r="C219" s="47">
        <f>8516318</f>
        <v>8516318</v>
      </c>
      <c r="D219" s="50">
        <f>2783220</f>
        <v>2783220</v>
      </c>
      <c r="E219" s="32">
        <f t="shared" si="16"/>
        <v>13131415.100000001</v>
      </c>
      <c r="F219" s="341" t="s">
        <v>1380</v>
      </c>
      <c r="G219" s="341" t="s">
        <v>1381</v>
      </c>
    </row>
    <row r="220" spans="1:9" x14ac:dyDescent="0.35">
      <c r="A220" s="20" t="s">
        <v>215</v>
      </c>
      <c r="B220" s="32">
        <f>SUM(B211:B219)</f>
        <v>136529956.17999998</v>
      </c>
      <c r="C220" s="266">
        <f>SUM(C211:C219)</f>
        <v>12809062.890000001</v>
      </c>
      <c r="D220" s="32">
        <f>SUM(D211:D219)</f>
        <v>3026636.96</v>
      </c>
      <c r="E220" s="32">
        <f>SUM(E211:E219)</f>
        <v>146312382.10999998</v>
      </c>
    </row>
    <row r="221" spans="1:9" x14ac:dyDescent="0.35">
      <c r="A221" s="20"/>
      <c r="B221" s="20"/>
      <c r="C221" s="27"/>
      <c r="D221" s="20"/>
      <c r="E221" s="20"/>
    </row>
    <row r="222" spans="1:9" x14ac:dyDescent="0.35">
      <c r="A222" s="49" t="s">
        <v>375</v>
      </c>
      <c r="B222" s="49"/>
      <c r="C222" s="49"/>
      <c r="D222" s="49"/>
      <c r="E222" s="49"/>
    </row>
    <row r="223" spans="1:9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9" x14ac:dyDescent="0.35">
      <c r="A224" s="20" t="s">
        <v>366</v>
      </c>
      <c r="B224" s="55"/>
      <c r="C224" s="54"/>
      <c r="D224" s="55"/>
      <c r="E224" s="20"/>
      <c r="F224" s="342" t="s">
        <v>1383</v>
      </c>
      <c r="G224" s="340"/>
      <c r="H224" s="340"/>
      <c r="I224" s="340"/>
    </row>
    <row r="225" spans="1:7" x14ac:dyDescent="0.35">
      <c r="A225" s="20" t="s">
        <v>367</v>
      </c>
      <c r="B225" s="50">
        <v>442872.82</v>
      </c>
      <c r="C225" s="47">
        <v>43733.48</v>
      </c>
      <c r="D225" s="50"/>
      <c r="E225" s="32">
        <f t="shared" ref="E225:E232" si="17">SUM(B225:C225)-D225</f>
        <v>486606.3</v>
      </c>
    </row>
    <row r="226" spans="1:7" x14ac:dyDescent="0.35">
      <c r="A226" s="20" t="s">
        <v>368</v>
      </c>
      <c r="B226" s="50">
        <v>43265395.32</v>
      </c>
      <c r="C226" s="47">
        <v>2739930.78</v>
      </c>
      <c r="D226" s="50"/>
      <c r="E226" s="32">
        <f>SUM(B226:C226)-D226</f>
        <v>46005326.100000001</v>
      </c>
    </row>
    <row r="227" spans="1:7" x14ac:dyDescent="0.35">
      <c r="A227" s="20" t="s">
        <v>369</v>
      </c>
      <c r="B227" s="50">
        <v>2494524.06</v>
      </c>
      <c r="C227" s="47">
        <v>274904.01</v>
      </c>
      <c r="D227" s="50"/>
      <c r="E227" s="32">
        <f t="shared" si="17"/>
        <v>2769428.0700000003</v>
      </c>
    </row>
    <row r="228" spans="1:7" x14ac:dyDescent="0.35">
      <c r="A228" s="20" t="s">
        <v>370</v>
      </c>
      <c r="B228" s="50"/>
      <c r="C228" s="47"/>
      <c r="D228" s="50"/>
      <c r="E228" s="32">
        <f t="shared" si="17"/>
        <v>0</v>
      </c>
    </row>
    <row r="229" spans="1:7" x14ac:dyDescent="0.35">
      <c r="A229" s="20" t="s">
        <v>371</v>
      </c>
      <c r="B229" s="50">
        <v>32266094.100000001</v>
      </c>
      <c r="C229" s="47">
        <v>3226991.82</v>
      </c>
      <c r="D229" s="50">
        <v>240669.19</v>
      </c>
      <c r="E229" s="32">
        <f t="shared" si="17"/>
        <v>35252416.730000004</v>
      </c>
    </row>
    <row r="230" spans="1:7" x14ac:dyDescent="0.35">
      <c r="A230" s="20" t="s">
        <v>372</v>
      </c>
      <c r="B230" s="50"/>
      <c r="C230" s="47"/>
      <c r="D230" s="50"/>
      <c r="E230" s="32">
        <f t="shared" si="17"/>
        <v>0</v>
      </c>
    </row>
    <row r="231" spans="1:7" x14ac:dyDescent="0.35">
      <c r="A231" s="20" t="s">
        <v>373</v>
      </c>
      <c r="B231" s="50"/>
      <c r="C231" s="47"/>
      <c r="D231" s="50"/>
      <c r="E231" s="32">
        <f t="shared" si="17"/>
        <v>0</v>
      </c>
    </row>
    <row r="232" spans="1:7" x14ac:dyDescent="0.35">
      <c r="A232" s="20" t="s">
        <v>374</v>
      </c>
      <c r="B232" s="50"/>
      <c r="C232" s="47"/>
      <c r="D232" s="50"/>
      <c r="E232" s="32">
        <f t="shared" si="17"/>
        <v>0</v>
      </c>
    </row>
    <row r="233" spans="1:7" x14ac:dyDescent="0.35">
      <c r="A233" s="20" t="s">
        <v>215</v>
      </c>
      <c r="B233" s="32">
        <f>SUM(B224:B232)</f>
        <v>78468886.300000012</v>
      </c>
      <c r="C233" s="266">
        <f>SUM(C224:C232)</f>
        <v>6285560.0899999999</v>
      </c>
      <c r="D233" s="32">
        <f>SUM(D224:D232)</f>
        <v>240669.19</v>
      </c>
      <c r="E233" s="32">
        <f>SUM(E224:E232)</f>
        <v>84513777.200000003</v>
      </c>
    </row>
    <row r="234" spans="1:7" x14ac:dyDescent="0.35">
      <c r="A234" s="20"/>
      <c r="B234" s="20"/>
      <c r="C234" s="27"/>
      <c r="D234" s="20"/>
      <c r="E234" s="20"/>
      <c r="F234" s="343">
        <f>E220-E233</f>
        <v>61798604.909999982</v>
      </c>
      <c r="G234" s="12" t="s">
        <v>1384</v>
      </c>
    </row>
    <row r="235" spans="1:7" x14ac:dyDescent="0.35">
      <c r="A235" s="38" t="s">
        <v>376</v>
      </c>
      <c r="B235" s="38"/>
      <c r="C235" s="38"/>
      <c r="D235" s="38"/>
      <c r="E235" s="38"/>
    </row>
    <row r="236" spans="1:7" x14ac:dyDescent="0.35">
      <c r="A236" s="38"/>
      <c r="B236" s="345" t="s">
        <v>377</v>
      </c>
      <c r="C236" s="345"/>
      <c r="D236" s="38"/>
      <c r="E236" s="38"/>
    </row>
    <row r="237" spans="1:7" x14ac:dyDescent="0.35">
      <c r="A237" s="56" t="s">
        <v>377</v>
      </c>
      <c r="B237" s="38"/>
      <c r="C237" s="47">
        <v>4331658</v>
      </c>
      <c r="D237" s="40">
        <f>C237</f>
        <v>4331658</v>
      </c>
      <c r="E237" s="38"/>
    </row>
    <row r="238" spans="1:7" x14ac:dyDescent="0.35">
      <c r="A238" s="45" t="s">
        <v>378</v>
      </c>
      <c r="B238" s="45"/>
      <c r="C238" s="45"/>
      <c r="D238" s="45"/>
      <c r="E238" s="45"/>
    </row>
    <row r="239" spans="1:7" x14ac:dyDescent="0.35">
      <c r="A239" s="20" t="s">
        <v>379</v>
      </c>
      <c r="B239" s="46" t="s">
        <v>284</v>
      </c>
      <c r="C239" s="47">
        <v>98606290.299999997</v>
      </c>
      <c r="D239" s="20"/>
      <c r="E239" s="20"/>
    </row>
    <row r="240" spans="1:7" x14ac:dyDescent="0.35">
      <c r="A240" s="20" t="s">
        <v>380</v>
      </c>
      <c r="B240" s="46" t="s">
        <v>284</v>
      </c>
      <c r="C240" s="47">
        <v>95748664.870000005</v>
      </c>
      <c r="D240" s="20"/>
      <c r="E240" s="20"/>
    </row>
    <row r="241" spans="1:6" x14ac:dyDescent="0.35">
      <c r="A241" s="20" t="s">
        <v>381</v>
      </c>
      <c r="B241" s="46" t="s">
        <v>284</v>
      </c>
      <c r="C241" s="47">
        <v>3975198.66</v>
      </c>
      <c r="D241" s="20"/>
      <c r="E241" s="20"/>
    </row>
    <row r="242" spans="1:6" x14ac:dyDescent="0.35">
      <c r="A242" s="20" t="s">
        <v>382</v>
      </c>
      <c r="B242" s="46" t="s">
        <v>284</v>
      </c>
      <c r="C242" s="47">
        <v>11406677.33</v>
      </c>
      <c r="D242" s="20"/>
      <c r="E242" s="20"/>
    </row>
    <row r="243" spans="1:6" x14ac:dyDescent="0.35">
      <c r="A243" s="20" t="s">
        <v>383</v>
      </c>
      <c r="B243" s="46" t="s">
        <v>284</v>
      </c>
      <c r="C243" s="47"/>
      <c r="D243" s="20"/>
      <c r="E243" s="20"/>
    </row>
    <row r="244" spans="1:6" x14ac:dyDescent="0.35">
      <c r="A244" s="20" t="s">
        <v>384</v>
      </c>
      <c r="B244" s="46" t="s">
        <v>284</v>
      </c>
      <c r="C244" s="47">
        <v>44464626.829999983</v>
      </c>
      <c r="D244" s="20"/>
      <c r="E244" s="20"/>
      <c r="F244" s="340" t="s">
        <v>1378</v>
      </c>
    </row>
    <row r="245" spans="1:6" x14ac:dyDescent="0.35">
      <c r="A245" s="20" t="s">
        <v>385</v>
      </c>
      <c r="B245" s="20"/>
      <c r="C245" s="27"/>
      <c r="D245" s="32">
        <f>SUM(C239:C244)</f>
        <v>254201457.99000001</v>
      </c>
      <c r="E245" s="20"/>
    </row>
    <row r="246" spans="1:6" x14ac:dyDescent="0.35">
      <c r="A246" s="45" t="s">
        <v>386</v>
      </c>
      <c r="B246" s="45"/>
      <c r="C246" s="45"/>
      <c r="D246" s="45"/>
      <c r="E246" s="45"/>
    </row>
    <row r="247" spans="1:6" x14ac:dyDescent="0.35">
      <c r="A247" s="26" t="s">
        <v>387</v>
      </c>
      <c r="B247" s="46" t="s">
        <v>284</v>
      </c>
      <c r="C247" s="47"/>
      <c r="D247" s="20"/>
      <c r="E247" s="20"/>
    </row>
    <row r="248" spans="1:6" x14ac:dyDescent="0.35">
      <c r="A248" s="26"/>
      <c r="B248" s="46"/>
      <c r="C248" s="27"/>
      <c r="D248" s="20"/>
      <c r="E248" s="20"/>
    </row>
    <row r="249" spans="1:6" x14ac:dyDescent="0.35">
      <c r="A249" s="26" t="s">
        <v>388</v>
      </c>
      <c r="B249" s="46" t="s">
        <v>284</v>
      </c>
      <c r="C249" s="47">
        <v>2994726.69</v>
      </c>
      <c r="D249" s="20"/>
      <c r="E249" s="20"/>
    </row>
    <row r="250" spans="1:6" x14ac:dyDescent="0.35">
      <c r="A250" s="26" t="s">
        <v>389</v>
      </c>
      <c r="B250" s="46" t="s">
        <v>284</v>
      </c>
      <c r="C250" s="47"/>
      <c r="D250" s="20"/>
      <c r="E250" s="20"/>
    </row>
    <row r="251" spans="1:6" x14ac:dyDescent="0.35">
      <c r="A251" s="20"/>
      <c r="B251" s="20"/>
      <c r="C251" s="27"/>
      <c r="D251" s="20"/>
      <c r="E251" s="20"/>
    </row>
    <row r="252" spans="1:6" x14ac:dyDescent="0.35">
      <c r="A252" s="26" t="s">
        <v>390</v>
      </c>
      <c r="B252" s="20"/>
      <c r="C252" s="27"/>
      <c r="D252" s="32">
        <f>SUM(C249:C251)</f>
        <v>2994726.69</v>
      </c>
      <c r="E252" s="20"/>
    </row>
    <row r="253" spans="1:6" x14ac:dyDescent="0.35">
      <c r="A253" s="45" t="s">
        <v>391</v>
      </c>
      <c r="B253" s="45"/>
      <c r="C253" s="45"/>
      <c r="D253" s="45"/>
      <c r="E253" s="45"/>
    </row>
    <row r="254" spans="1:6" x14ac:dyDescent="0.35">
      <c r="A254" s="20" t="s">
        <v>392</v>
      </c>
      <c r="B254" s="46" t="s">
        <v>284</v>
      </c>
      <c r="C254" s="47"/>
      <c r="D254" s="20"/>
      <c r="E254" s="20"/>
    </row>
    <row r="255" spans="1:6" x14ac:dyDescent="0.35">
      <c r="A255" s="20" t="s">
        <v>391</v>
      </c>
      <c r="B255" s="46" t="s">
        <v>284</v>
      </c>
      <c r="C255" s="47">
        <v>-2170305.2000000002</v>
      </c>
      <c r="D255" s="20"/>
      <c r="E255" s="20"/>
    </row>
    <row r="256" spans="1:6" x14ac:dyDescent="0.35">
      <c r="A256" s="20" t="s">
        <v>393</v>
      </c>
      <c r="B256" s="20"/>
      <c r="C256" s="27"/>
      <c r="D256" s="32">
        <f>SUM(C254:C255)</f>
        <v>-2170305.2000000002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259357537.48000002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3057239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>
        <v>120285</v>
      </c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48556920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31166546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241891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2361476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1048129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24219394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>
        <v>31643791</v>
      </c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>
        <v>293000</v>
      </c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31936791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10642078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555844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69099999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3857273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314675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48711097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/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13131416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146312382</v>
      </c>
      <c r="E291" s="20"/>
    </row>
    <row r="292" spans="1:5" x14ac:dyDescent="0.35">
      <c r="A292" s="20" t="s">
        <v>416</v>
      </c>
      <c r="B292" s="46" t="s">
        <v>284</v>
      </c>
      <c r="C292" s="47">
        <v>84513777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61798605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>
        <v>27783</v>
      </c>
      <c r="D297" s="20"/>
      <c r="E297" s="20"/>
    </row>
    <row r="298" spans="1:5" x14ac:dyDescent="0.35">
      <c r="A298" s="20" t="s">
        <v>409</v>
      </c>
      <c r="B298" s="46" t="s">
        <v>284</v>
      </c>
      <c r="C298" s="47"/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27783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6" x14ac:dyDescent="0.35">
      <c r="A305" s="20" t="s">
        <v>427</v>
      </c>
      <c r="B305" s="46" t="s">
        <v>284</v>
      </c>
      <c r="C305" s="47"/>
      <c r="D305" s="20"/>
      <c r="E305" s="20"/>
    </row>
    <row r="306" spans="1:6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6" x14ac:dyDescent="0.35">
      <c r="A307" s="20"/>
      <c r="B307" s="20"/>
      <c r="C307" s="27"/>
      <c r="D307" s="20"/>
      <c r="E307" s="20"/>
    </row>
    <row r="308" spans="1:6" x14ac:dyDescent="0.35">
      <c r="A308" s="20" t="s">
        <v>429</v>
      </c>
      <c r="B308" s="20"/>
      <c r="C308" s="27"/>
      <c r="D308" s="32">
        <f>D276+D281+D293+D299+D306</f>
        <v>117982573</v>
      </c>
      <c r="E308" s="20"/>
      <c r="F308" s="12">
        <v>117982573</v>
      </c>
    </row>
    <row r="309" spans="1:6" x14ac:dyDescent="0.35">
      <c r="A309" s="20"/>
      <c r="B309" s="20"/>
      <c r="C309" s="27"/>
      <c r="D309" s="20"/>
      <c r="E309" s="20"/>
      <c r="F309" s="12">
        <f>D308-F308</f>
        <v>0</v>
      </c>
    </row>
    <row r="310" spans="1:6" x14ac:dyDescent="0.35">
      <c r="A310" s="20"/>
      <c r="B310" s="20"/>
      <c r="C310" s="27"/>
      <c r="D310" s="20"/>
      <c r="E310" s="20"/>
    </row>
    <row r="311" spans="1:6" x14ac:dyDescent="0.35">
      <c r="A311" s="20"/>
      <c r="B311" s="20"/>
      <c r="C311" s="27"/>
      <c r="D311" s="20"/>
      <c r="E311" s="20"/>
    </row>
    <row r="312" spans="1:6" x14ac:dyDescent="0.35">
      <c r="A312" s="38" t="s">
        <v>430</v>
      </c>
      <c r="B312" s="38"/>
      <c r="C312" s="38"/>
      <c r="D312" s="38"/>
      <c r="E312" s="38"/>
    </row>
    <row r="313" spans="1:6" x14ac:dyDescent="0.35">
      <c r="A313" s="45" t="s">
        <v>431</v>
      </c>
      <c r="B313" s="45"/>
      <c r="C313" s="45"/>
      <c r="D313" s="45"/>
      <c r="E313" s="45"/>
    </row>
    <row r="314" spans="1:6" x14ac:dyDescent="0.35">
      <c r="A314" s="20" t="s">
        <v>432</v>
      </c>
      <c r="B314" s="46" t="s">
        <v>284</v>
      </c>
      <c r="C314" s="47"/>
      <c r="D314" s="20"/>
      <c r="E314" s="20"/>
      <c r="F314" s="341"/>
    </row>
    <row r="315" spans="1:6" x14ac:dyDescent="0.35">
      <c r="A315" s="20" t="s">
        <v>433</v>
      </c>
      <c r="B315" s="46" t="s">
        <v>284</v>
      </c>
      <c r="C315" s="47">
        <v>7549212</v>
      </c>
      <c r="D315" s="20"/>
      <c r="E315" s="20"/>
      <c r="F315" s="341" t="s">
        <v>1379</v>
      </c>
    </row>
    <row r="316" spans="1:6" x14ac:dyDescent="0.35">
      <c r="A316" s="20" t="s">
        <v>434</v>
      </c>
      <c r="B316" s="46" t="s">
        <v>284</v>
      </c>
      <c r="C316" s="47">
        <f>1407984</f>
        <v>1407984</v>
      </c>
      <c r="D316" s="20"/>
      <c r="E316" s="20"/>
      <c r="F316" s="341" t="s">
        <v>1379</v>
      </c>
    </row>
    <row r="317" spans="1:6" x14ac:dyDescent="0.35">
      <c r="A317" s="20" t="s">
        <v>435</v>
      </c>
      <c r="B317" s="46" t="s">
        <v>284</v>
      </c>
      <c r="C317" s="47">
        <f>3567803+29231</f>
        <v>3597034</v>
      </c>
      <c r="D317" s="20"/>
      <c r="E317" s="20"/>
      <c r="F317" s="341" t="s">
        <v>1379</v>
      </c>
    </row>
    <row r="318" spans="1:6" x14ac:dyDescent="0.35">
      <c r="A318" s="20" t="s">
        <v>436</v>
      </c>
      <c r="B318" s="46" t="s">
        <v>284</v>
      </c>
      <c r="C318" s="47">
        <f>0</f>
        <v>0</v>
      </c>
      <c r="D318" s="20"/>
      <c r="E318" s="20"/>
    </row>
    <row r="319" spans="1:6" x14ac:dyDescent="0.35">
      <c r="A319" s="20" t="s">
        <v>437</v>
      </c>
      <c r="B319" s="46" t="s">
        <v>284</v>
      </c>
      <c r="C319" s="47">
        <f>344669</f>
        <v>344669</v>
      </c>
      <c r="D319" s="20"/>
      <c r="E319" s="20"/>
      <c r="F319" s="341" t="s">
        <v>1379</v>
      </c>
    </row>
    <row r="320" spans="1:6" x14ac:dyDescent="0.35">
      <c r="A320" s="20" t="s">
        <v>438</v>
      </c>
      <c r="B320" s="46" t="s">
        <v>284</v>
      </c>
      <c r="C320" s="47"/>
      <c r="D320" s="20"/>
      <c r="E320" s="20"/>
    </row>
    <row r="321" spans="1:6" x14ac:dyDescent="0.35">
      <c r="A321" s="20" t="s">
        <v>439</v>
      </c>
      <c r="B321" s="46" t="s">
        <v>284</v>
      </c>
      <c r="C321" s="47"/>
      <c r="D321" s="20"/>
      <c r="E321" s="20"/>
    </row>
    <row r="322" spans="1:6" x14ac:dyDescent="0.35">
      <c r="A322" s="20" t="s">
        <v>440</v>
      </c>
      <c r="B322" s="46" t="s">
        <v>284</v>
      </c>
      <c r="C322" s="47">
        <v>24889</v>
      </c>
      <c r="D322" s="20"/>
      <c r="E322" s="20"/>
    </row>
    <row r="323" spans="1:6" x14ac:dyDescent="0.35">
      <c r="A323" s="20" t="s">
        <v>441</v>
      </c>
      <c r="B323" s="46" t="s">
        <v>284</v>
      </c>
      <c r="C323" s="47">
        <v>2323110</v>
      </c>
      <c r="D323" s="20"/>
      <c r="E323" s="20"/>
    </row>
    <row r="324" spans="1:6" x14ac:dyDescent="0.35">
      <c r="A324" s="20" t="s">
        <v>442</v>
      </c>
      <c r="B324" s="20"/>
      <c r="C324" s="27"/>
      <c r="D324" s="32">
        <f>SUM(C314:C323)</f>
        <v>15246898</v>
      </c>
      <c r="E324" s="20"/>
    </row>
    <row r="325" spans="1:6" x14ac:dyDescent="0.35">
      <c r="A325" s="45" t="s">
        <v>443</v>
      </c>
      <c r="B325" s="45"/>
      <c r="C325" s="45"/>
      <c r="D325" s="45"/>
      <c r="E325" s="45"/>
    </row>
    <row r="326" spans="1:6" x14ac:dyDescent="0.35">
      <c r="A326" s="20" t="s">
        <v>444</v>
      </c>
      <c r="B326" s="46" t="s">
        <v>284</v>
      </c>
      <c r="C326" s="47">
        <v>240697</v>
      </c>
      <c r="D326" s="20"/>
      <c r="E326" s="20"/>
    </row>
    <row r="327" spans="1:6" x14ac:dyDescent="0.35">
      <c r="A327" s="20" t="s">
        <v>445</v>
      </c>
      <c r="B327" s="46" t="s">
        <v>284</v>
      </c>
      <c r="C327" s="47"/>
      <c r="D327" s="20"/>
      <c r="E327" s="20"/>
    </row>
    <row r="328" spans="1:6" x14ac:dyDescent="0.35">
      <c r="A328" s="20" t="s">
        <v>446</v>
      </c>
      <c r="B328" s="46" t="s">
        <v>284</v>
      </c>
      <c r="C328" s="47">
        <v>3000101</v>
      </c>
      <c r="D328" s="20"/>
      <c r="E328" s="20"/>
    </row>
    <row r="329" spans="1:6" x14ac:dyDescent="0.35">
      <c r="A329" s="20" t="s">
        <v>447</v>
      </c>
      <c r="B329" s="20"/>
      <c r="C329" s="27"/>
      <c r="D329" s="32">
        <f>SUM(C326:C328)</f>
        <v>3240798</v>
      </c>
      <c r="E329" s="20"/>
    </row>
    <row r="330" spans="1:6" x14ac:dyDescent="0.35">
      <c r="A330" s="45" t="s">
        <v>448</v>
      </c>
      <c r="B330" s="45"/>
      <c r="C330" s="45"/>
      <c r="D330" s="45"/>
      <c r="E330" s="45"/>
    </row>
    <row r="331" spans="1:6" x14ac:dyDescent="0.35">
      <c r="A331" s="20" t="s">
        <v>449</v>
      </c>
      <c r="B331" s="46" t="s">
        <v>284</v>
      </c>
      <c r="C331" s="47"/>
      <c r="D331" s="20"/>
      <c r="E331" s="20"/>
    </row>
    <row r="332" spans="1:6" x14ac:dyDescent="0.35">
      <c r="A332" s="20" t="s">
        <v>450</v>
      </c>
      <c r="B332" s="46" t="s">
        <v>284</v>
      </c>
      <c r="C332" s="47"/>
      <c r="D332" s="20"/>
      <c r="E332" s="20"/>
    </row>
    <row r="333" spans="1:6" x14ac:dyDescent="0.35">
      <c r="A333" s="20" t="s">
        <v>451</v>
      </c>
      <c r="B333" s="46" t="s">
        <v>284</v>
      </c>
      <c r="C333" s="47"/>
      <c r="D333" s="20"/>
      <c r="E333" s="20"/>
    </row>
    <row r="334" spans="1:6" x14ac:dyDescent="0.35">
      <c r="A334" s="26" t="s">
        <v>452</v>
      </c>
      <c r="B334" s="46" t="s">
        <v>284</v>
      </c>
      <c r="C334" s="47">
        <f>3559333+1179757</f>
        <v>4739090</v>
      </c>
      <c r="D334" s="20"/>
      <c r="E334" s="20"/>
      <c r="F334" s="341" t="s">
        <v>1379</v>
      </c>
    </row>
    <row r="335" spans="1:6" x14ac:dyDescent="0.35">
      <c r="A335" s="20" t="s">
        <v>453</v>
      </c>
      <c r="B335" s="46" t="s">
        <v>284</v>
      </c>
      <c r="C335" s="47">
        <f>100926+1143353</f>
        <v>1244279</v>
      </c>
      <c r="D335" s="20"/>
      <c r="E335" s="20"/>
      <c r="F335" s="341" t="s">
        <v>1379</v>
      </c>
    </row>
    <row r="336" spans="1:6" x14ac:dyDescent="0.35">
      <c r="A336" s="26" t="s">
        <v>454</v>
      </c>
      <c r="B336" s="46" t="s">
        <v>284</v>
      </c>
      <c r="C336" s="47"/>
      <c r="D336" s="20"/>
      <c r="E336" s="20"/>
    </row>
    <row r="337" spans="1:6" x14ac:dyDescent="0.35">
      <c r="A337" s="26" t="s">
        <v>455</v>
      </c>
      <c r="B337" s="46" t="s">
        <v>284</v>
      </c>
      <c r="C337" s="272"/>
      <c r="D337" s="20"/>
      <c r="E337" s="20"/>
    </row>
    <row r="338" spans="1:6" x14ac:dyDescent="0.35">
      <c r="A338" s="20" t="s">
        <v>456</v>
      </c>
      <c r="B338" s="46" t="s">
        <v>284</v>
      </c>
      <c r="C338" s="47">
        <f>1340361+469328</f>
        <v>1809689</v>
      </c>
      <c r="D338" s="20"/>
      <c r="E338" s="20"/>
      <c r="F338" s="341" t="s">
        <v>1379</v>
      </c>
    </row>
    <row r="339" spans="1:6" x14ac:dyDescent="0.35">
      <c r="A339" s="20" t="s">
        <v>215</v>
      </c>
      <c r="B339" s="20"/>
      <c r="C339" s="27"/>
      <c r="D339" s="32">
        <f>SUM(C331:C338)</f>
        <v>7793058</v>
      </c>
      <c r="E339" s="20"/>
    </row>
    <row r="340" spans="1:6" x14ac:dyDescent="0.35">
      <c r="A340" s="20" t="s">
        <v>457</v>
      </c>
      <c r="B340" s="20"/>
      <c r="C340" s="27"/>
      <c r="D340" s="32">
        <f>C323</f>
        <v>2323110</v>
      </c>
      <c r="E340" s="20"/>
    </row>
    <row r="341" spans="1:6" x14ac:dyDescent="0.35">
      <c r="A341" s="20" t="s">
        <v>458</v>
      </c>
      <c r="B341" s="20"/>
      <c r="C341" s="27"/>
      <c r="D341" s="32">
        <f>D339-D340</f>
        <v>5469948</v>
      </c>
      <c r="E341" s="20"/>
    </row>
    <row r="342" spans="1:6" x14ac:dyDescent="0.35">
      <c r="A342" s="20"/>
      <c r="B342" s="20"/>
      <c r="C342" s="27"/>
      <c r="D342" s="20"/>
      <c r="E342" s="20"/>
    </row>
    <row r="343" spans="1:6" x14ac:dyDescent="0.35">
      <c r="A343" s="20" t="s">
        <v>459</v>
      </c>
      <c r="B343" s="46" t="s">
        <v>284</v>
      </c>
      <c r="C343" s="321">
        <v>94024929</v>
      </c>
      <c r="D343" s="20"/>
      <c r="E343" s="20"/>
      <c r="F343" s="341" t="s">
        <v>1379</v>
      </c>
    </row>
    <row r="344" spans="1:6" x14ac:dyDescent="0.35">
      <c r="A344" s="20"/>
      <c r="B344" s="46"/>
      <c r="C344" s="57"/>
      <c r="D344" s="20"/>
      <c r="E344" s="20"/>
    </row>
    <row r="345" spans="1:6" x14ac:dyDescent="0.35">
      <c r="A345" s="20" t="s">
        <v>460</v>
      </c>
      <c r="B345" s="46" t="s">
        <v>284</v>
      </c>
      <c r="C345" s="234"/>
      <c r="D345" s="20"/>
      <c r="E345" s="20"/>
    </row>
    <row r="346" spans="1:6" x14ac:dyDescent="0.35">
      <c r="A346" s="20" t="s">
        <v>461</v>
      </c>
      <c r="B346" s="46" t="s">
        <v>284</v>
      </c>
      <c r="C346" s="234"/>
      <c r="D346" s="20"/>
      <c r="E346" s="20"/>
    </row>
    <row r="347" spans="1:6" x14ac:dyDescent="0.35">
      <c r="A347" s="20" t="s">
        <v>462</v>
      </c>
      <c r="B347" s="46" t="s">
        <v>284</v>
      </c>
      <c r="C347" s="234"/>
      <c r="D347" s="20"/>
      <c r="E347" s="20"/>
    </row>
    <row r="348" spans="1:6" x14ac:dyDescent="0.35">
      <c r="A348" s="20" t="s">
        <v>463</v>
      </c>
      <c r="B348" s="46" t="s">
        <v>284</v>
      </c>
      <c r="C348" s="234"/>
      <c r="D348" s="20"/>
      <c r="E348" s="20"/>
    </row>
    <row r="349" spans="1:6" x14ac:dyDescent="0.35">
      <c r="A349" s="20" t="s">
        <v>464</v>
      </c>
      <c r="B349" s="46" t="s">
        <v>284</v>
      </c>
      <c r="C349" s="234"/>
      <c r="D349" s="20"/>
      <c r="E349" s="20"/>
    </row>
    <row r="350" spans="1:6" x14ac:dyDescent="0.35">
      <c r="A350" s="20" t="s">
        <v>465</v>
      </c>
      <c r="B350" s="20"/>
      <c r="C350" s="27"/>
      <c r="D350" s="32">
        <f>D324+D329+D341+C343+C347+C348</f>
        <v>117982573</v>
      </c>
      <c r="E350" s="20"/>
    </row>
    <row r="351" spans="1:6" x14ac:dyDescent="0.35">
      <c r="A351" s="20"/>
      <c r="B351" s="20"/>
      <c r="C351" s="27"/>
      <c r="D351" s="20"/>
      <c r="E351" s="20"/>
    </row>
    <row r="352" spans="1:6" x14ac:dyDescent="0.35">
      <c r="A352" s="20" t="s">
        <v>466</v>
      </c>
      <c r="B352" s="20"/>
      <c r="C352" s="27"/>
      <c r="D352" s="32">
        <f>D308</f>
        <v>117982573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136385624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256367319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392752943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4331658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f>D245</f>
        <v>254201457.99000001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2994726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>
        <f>D256</f>
        <v>-2170305.2000000002</v>
      </c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259357536.79000002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133395406.20999998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10" x14ac:dyDescent="0.35">
      <c r="A369" s="32" t="s">
        <v>478</v>
      </c>
      <c r="B369" s="20"/>
      <c r="C369" s="20"/>
      <c r="D369" s="20"/>
      <c r="E369" s="20"/>
    </row>
    <row r="370" spans="1:10" x14ac:dyDescent="0.35">
      <c r="A370" s="59" t="s">
        <v>479</v>
      </c>
      <c r="B370" s="40" t="s">
        <v>284</v>
      </c>
      <c r="C370" s="236"/>
      <c r="D370" s="32"/>
      <c r="E370" s="32"/>
    </row>
    <row r="371" spans="1:10" x14ac:dyDescent="0.35">
      <c r="A371" s="59" t="s">
        <v>480</v>
      </c>
      <c r="B371" s="40" t="s">
        <v>284</v>
      </c>
      <c r="C371" s="236">
        <v>111751</v>
      </c>
      <c r="D371" s="32"/>
      <c r="E371" s="32"/>
    </row>
    <row r="372" spans="1:10" x14ac:dyDescent="0.35">
      <c r="A372" s="59" t="s">
        <v>481</v>
      </c>
      <c r="B372" s="40" t="s">
        <v>284</v>
      </c>
      <c r="C372" s="236"/>
      <c r="D372" s="32"/>
      <c r="E372" s="32"/>
    </row>
    <row r="373" spans="1:10" x14ac:dyDescent="0.35">
      <c r="A373" s="59" t="s">
        <v>482</v>
      </c>
      <c r="B373" s="40" t="s">
        <v>284</v>
      </c>
      <c r="C373" s="236"/>
      <c r="D373" s="32"/>
      <c r="E373" s="32"/>
    </row>
    <row r="374" spans="1:10" x14ac:dyDescent="0.35">
      <c r="A374" s="59" t="s">
        <v>483</v>
      </c>
      <c r="B374" s="40" t="s">
        <v>284</v>
      </c>
      <c r="C374" s="236">
        <v>2692064</v>
      </c>
      <c r="D374" s="32"/>
      <c r="E374" s="32"/>
    </row>
    <row r="375" spans="1:10" x14ac:dyDescent="0.35">
      <c r="A375" s="59" t="s">
        <v>484</v>
      </c>
      <c r="B375" s="40" t="s">
        <v>284</v>
      </c>
      <c r="C375" s="236"/>
      <c r="D375" s="32"/>
      <c r="E375" s="32"/>
    </row>
    <row r="376" spans="1:10" x14ac:dyDescent="0.35">
      <c r="A376" s="59" t="s">
        <v>485</v>
      </c>
      <c r="B376" s="40" t="s">
        <v>284</v>
      </c>
      <c r="C376" s="236"/>
      <c r="D376" s="32"/>
      <c r="E376" s="32"/>
    </row>
    <row r="377" spans="1:10" x14ac:dyDescent="0.35">
      <c r="A377" s="59" t="s">
        <v>486</v>
      </c>
      <c r="B377" s="40" t="s">
        <v>284</v>
      </c>
      <c r="C377" s="236">
        <v>537</v>
      </c>
      <c r="D377" s="32"/>
      <c r="E377" s="32"/>
    </row>
    <row r="378" spans="1:10" x14ac:dyDescent="0.35">
      <c r="A378" s="59" t="s">
        <v>487</v>
      </c>
      <c r="B378" s="40" t="s">
        <v>284</v>
      </c>
      <c r="C378" s="236"/>
      <c r="D378" s="32"/>
      <c r="E378" s="32"/>
    </row>
    <row r="379" spans="1:10" x14ac:dyDescent="0.35">
      <c r="A379" s="59" t="s">
        <v>488</v>
      </c>
      <c r="B379" s="40" t="s">
        <v>284</v>
      </c>
      <c r="C379" s="236">
        <v>292516</v>
      </c>
      <c r="D379" s="32"/>
      <c r="E379" s="32"/>
    </row>
    <row r="380" spans="1:10" x14ac:dyDescent="0.35">
      <c r="A380" s="59" t="s">
        <v>489</v>
      </c>
      <c r="B380" s="40" t="s">
        <v>284</v>
      </c>
      <c r="C380" s="236">
        <v>1400414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10" x14ac:dyDescent="0.35">
      <c r="A381" s="61" t="s">
        <v>490</v>
      </c>
      <c r="B381" s="46"/>
      <c r="C381" s="46"/>
      <c r="D381" s="32">
        <f>SUM(C370:C380)</f>
        <v>4497282</v>
      </c>
      <c r="E381" s="32"/>
      <c r="F381" s="346" t="s">
        <v>1348</v>
      </c>
      <c r="G381" s="346"/>
      <c r="H381" s="346"/>
      <c r="I381" s="346"/>
      <c r="J381" s="346"/>
    </row>
    <row r="382" spans="1:10" x14ac:dyDescent="0.35">
      <c r="A382" s="56" t="s">
        <v>491</v>
      </c>
      <c r="B382" s="46" t="s">
        <v>284</v>
      </c>
      <c r="C382" s="47"/>
      <c r="D382" s="32"/>
      <c r="E382" s="20"/>
      <c r="F382" s="346"/>
      <c r="G382" s="346"/>
      <c r="H382" s="346"/>
      <c r="I382" s="346"/>
      <c r="J382" s="346"/>
    </row>
    <row r="383" spans="1:10" x14ac:dyDescent="0.35">
      <c r="A383" s="20" t="s">
        <v>492</v>
      </c>
      <c r="B383" s="20"/>
      <c r="C383" s="27"/>
      <c r="D383" s="32">
        <f>D381+C382</f>
        <v>4497282</v>
      </c>
      <c r="E383" s="20"/>
      <c r="F383" s="346"/>
      <c r="G383" s="346"/>
      <c r="H383" s="346"/>
      <c r="I383" s="346"/>
      <c r="J383" s="346"/>
    </row>
    <row r="384" spans="1:10" x14ac:dyDescent="0.35">
      <c r="A384" s="20" t="s">
        <v>493</v>
      </c>
      <c r="B384" s="20"/>
      <c r="C384" s="27"/>
      <c r="D384" s="32">
        <f>D367+D383</f>
        <v>137892688.20999998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69685697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20110729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10404415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18794873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627470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7576701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7475398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536151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1393749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/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314822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>
        <v>0</v>
      </c>
      <c r="D401" s="32"/>
      <c r="E401" s="32"/>
    </row>
    <row r="402" spans="1:9" x14ac:dyDescent="0.35">
      <c r="A402" s="33" t="s">
        <v>256</v>
      </c>
      <c r="B402" s="40" t="s">
        <v>284</v>
      </c>
      <c r="C402" s="273">
        <v>696988</v>
      </c>
      <c r="D402" s="32"/>
      <c r="E402" s="32"/>
    </row>
    <row r="403" spans="1:9" x14ac:dyDescent="0.35">
      <c r="A403" s="33" t="s">
        <v>504</v>
      </c>
      <c r="B403" s="40" t="s">
        <v>284</v>
      </c>
      <c r="C403" s="273">
        <v>0</v>
      </c>
      <c r="D403" s="32"/>
      <c r="E403" s="32"/>
    </row>
    <row r="404" spans="1:9" x14ac:dyDescent="0.35">
      <c r="A404" s="33" t="s">
        <v>258</v>
      </c>
      <c r="B404" s="40" t="s">
        <v>284</v>
      </c>
      <c r="C404" s="273">
        <v>0</v>
      </c>
      <c r="D404" s="32"/>
      <c r="E404" s="32"/>
    </row>
    <row r="405" spans="1:9" x14ac:dyDescent="0.35">
      <c r="A405" s="33" t="s">
        <v>259</v>
      </c>
      <c r="B405" s="40" t="s">
        <v>284</v>
      </c>
      <c r="C405" s="273">
        <v>-30</v>
      </c>
      <c r="D405" s="32"/>
      <c r="E405" s="32"/>
    </row>
    <row r="406" spans="1:9" x14ac:dyDescent="0.35">
      <c r="A406" s="33" t="s">
        <v>260</v>
      </c>
      <c r="B406" s="40" t="s">
        <v>284</v>
      </c>
      <c r="C406" s="273">
        <v>0</v>
      </c>
      <c r="D406" s="32"/>
      <c r="E406" s="32"/>
    </row>
    <row r="407" spans="1:9" x14ac:dyDescent="0.35">
      <c r="A407" s="33" t="s">
        <v>261</v>
      </c>
      <c r="B407" s="40" t="s">
        <v>284</v>
      </c>
      <c r="C407" s="273">
        <v>0</v>
      </c>
      <c r="D407" s="32"/>
      <c r="E407" s="32"/>
    </row>
    <row r="408" spans="1:9" x14ac:dyDescent="0.35">
      <c r="A408" s="33" t="s">
        <v>262</v>
      </c>
      <c r="B408" s="40" t="s">
        <v>284</v>
      </c>
      <c r="C408" s="273">
        <v>2893470</v>
      </c>
      <c r="D408" s="32"/>
      <c r="E408" s="32"/>
    </row>
    <row r="409" spans="1:9" x14ac:dyDescent="0.35">
      <c r="A409" s="33" t="s">
        <v>263</v>
      </c>
      <c r="B409" s="40" t="s">
        <v>284</v>
      </c>
      <c r="C409" s="273">
        <v>281371</v>
      </c>
      <c r="D409" s="32"/>
      <c r="E409" s="32"/>
    </row>
    <row r="410" spans="1:9" x14ac:dyDescent="0.35">
      <c r="A410" s="33" t="s">
        <v>264</v>
      </c>
      <c r="B410" s="40" t="s">
        <v>284</v>
      </c>
      <c r="C410" s="273">
        <v>795297</v>
      </c>
      <c r="D410" s="32"/>
      <c r="E410" s="32"/>
    </row>
    <row r="411" spans="1:9" x14ac:dyDescent="0.35">
      <c r="A411" s="33" t="s">
        <v>265</v>
      </c>
      <c r="B411" s="40" t="s">
        <v>284</v>
      </c>
      <c r="C411" s="273">
        <v>269711</v>
      </c>
      <c r="D411" s="32"/>
      <c r="E411" s="32"/>
    </row>
    <row r="412" spans="1:9" x14ac:dyDescent="0.35">
      <c r="A412" s="33" t="s">
        <v>266</v>
      </c>
      <c r="B412" s="40" t="s">
        <v>284</v>
      </c>
      <c r="C412" s="273">
        <v>1045555</v>
      </c>
      <c r="D412" s="32"/>
      <c r="E412" s="32"/>
    </row>
    <row r="413" spans="1:9" x14ac:dyDescent="0.35">
      <c r="A413" s="33" t="s">
        <v>267</v>
      </c>
      <c r="B413" s="40" t="s">
        <v>284</v>
      </c>
      <c r="C413" s="273">
        <v>0</v>
      </c>
      <c r="D413" s="32"/>
      <c r="E413" s="32"/>
    </row>
    <row r="414" spans="1:9" x14ac:dyDescent="0.35">
      <c r="A414" s="33" t="s">
        <v>268</v>
      </c>
      <c r="B414" s="40" t="s">
        <v>284</v>
      </c>
      <c r="C414" s="273">
        <v>141144</v>
      </c>
      <c r="D414" s="32"/>
      <c r="E414" s="237" t="str">
        <f>IF(OR(C414&gt;999999,C414/(D416)&gt;0.01),"Additional Classification Necessary - See Responses-2 Tab","")</f>
        <v/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6123506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143043511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-5150822.7900000215</v>
      </c>
      <c r="E417" s="32"/>
    </row>
    <row r="418" spans="1:13" x14ac:dyDescent="0.35">
      <c r="A418" s="32" t="s">
        <v>508</v>
      </c>
      <c r="B418" s="20"/>
      <c r="C418" s="236">
        <v>1745248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>
        <v>4500683</v>
      </c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6245931</v>
      </c>
      <c r="E420" s="32"/>
      <c r="F420" s="12">
        <f>D420-C399</f>
        <v>5931109</v>
      </c>
    </row>
    <row r="421" spans="1:13" x14ac:dyDescent="0.35">
      <c r="A421" s="32" t="s">
        <v>511</v>
      </c>
      <c r="B421" s="20"/>
      <c r="C421" s="27"/>
      <c r="D421" s="32">
        <f>D417+D420</f>
        <v>1095108.2099999785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1095108.2099999785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211822.2220257931</v>
      </c>
      <c r="E612" s="258">
        <f>SUM(C624:D647)+SUM(C668:D713)</f>
        <v>131726416.62966999</v>
      </c>
      <c r="F612" s="258">
        <f>CE64-(AX64+BD64+BE64+BG64+BJ64+BN64+BP64+BQ64+CB64+CC64+CD64)</f>
        <v>18600800</v>
      </c>
      <c r="G612" s="256">
        <f>CE91-(AX91+AY91+BD91+BE91+BG91+BJ91+BN91+BP91+BQ91+CB91+CC91+CD91)</f>
        <v>113429</v>
      </c>
      <c r="H612" s="261">
        <f>CE60-(AX60+AY60+AZ60+BD60+BE60+BG60+BJ60+BN60+BO60+BP60+BQ60+BR60+CB60+CC60+CD60)</f>
        <v>530.09371153846143</v>
      </c>
      <c r="I612" s="256">
        <f>CE92-(AX92+AY92+AZ92+BD92+BE92+BF92+BG92+BJ92+BN92+BO92+BP92+BQ92+BR92+CB92+CC92+CD92)</f>
        <v>190780.76745000004</v>
      </c>
      <c r="J612" s="256">
        <f>CE93-(AX93+AY93+AZ93+BA93+BD93+BE93+BF93+BG93+BJ93+BN93+BO93+BP93+BQ93+BR93+CB93+CC93+CD93)</f>
        <v>437587.50000000012</v>
      </c>
      <c r="K612" s="256">
        <f>CE89-(AW89+AX89+AY89+AZ89+BA89+BB89+BC89+BD89+BE89+BF89+BG89+BH89+BI89+BJ89+BK89+BL89+BM89+BN89+BO89+BP89+BQ89+BR89+BS89+BT89+BU89+BV89+BW89+BX89+CB89+CC89+CD89)</f>
        <v>392752943</v>
      </c>
      <c r="L612" s="262">
        <f>CE94-(AW94+AX94+AY94+AZ94+BA94+BB94+BC94+BD94+BE94+BF94+BG94+BH94+BI94+BJ94+BK94+BL94+BM94+BN94+BO94+BP94+BQ94+BR94+BS94+BT94+BU94+BV94+BW94+BX94+BY94+BZ94+CA94+CB94+CC94+CD94)</f>
        <v>104.83499519230774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4155514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0</v>
      </c>
      <c r="D615" s="256">
        <f>SUM(C614:C615)</f>
        <v>4155514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1120528</v>
      </c>
      <c r="D617" s="256">
        <f>(D615/D612)*BJ90</f>
        <v>29396.166000943849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4159307</v>
      </c>
      <c r="D619" s="256">
        <f>(D615/D612)*BN90</f>
        <v>578603.077566033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2041297</v>
      </c>
      <c r="D620" s="256">
        <f>(D615/D612)*CC90</f>
        <v>5337.4056562924179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1633319</v>
      </c>
      <c r="D621" s="256">
        <f>(D615/D612)*BP90</f>
        <v>23613.9765399604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15102</v>
      </c>
      <c r="D622" s="256">
        <f>(D615/D612)*CB90</f>
        <v>2021.7445667774311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9608525.3703300059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996494</v>
      </c>
      <c r="D624" s="256">
        <f>(D615/D612)*BD90</f>
        <v>95042.212084207044</v>
      </c>
      <c r="E624" s="258">
        <f>(E623/E612)*SUM(C624:D624)</f>
        <v>79619.970350599309</v>
      </c>
      <c r="F624" s="258">
        <f>SUM(C624:E624)</f>
        <v>1171156.1824348064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2106433</v>
      </c>
      <c r="D625" s="256">
        <f>(D615/D612)*AY90</f>
        <v>149063.22690849999</v>
      </c>
      <c r="E625" s="258">
        <f>(E623/E612)*SUM(C625:D625)</f>
        <v>164522.75309258307</v>
      </c>
      <c r="F625" s="258">
        <f>(F624/F612)*AY64</f>
        <v>35795.982480920888</v>
      </c>
      <c r="G625" s="256">
        <f>SUM(C625:F625)</f>
        <v>2455814.962482004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1828619</v>
      </c>
      <c r="D626" s="256">
        <f>(D615/D612)*BR90</f>
        <v>33095.958558146551</v>
      </c>
      <c r="E626" s="258">
        <f>(E623/E612)*SUM(C626:D626)</f>
        <v>135799.15000587414</v>
      </c>
      <c r="F626" s="258">
        <f>(F624/F612)*BR64</f>
        <v>498.5384850392885</v>
      </c>
      <c r="G626" s="256">
        <f>(G625/G612)*BR91</f>
        <v>0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204289</v>
      </c>
      <c r="D627" s="256">
        <f>(D615/D612)*BO90</f>
        <v>4144.5763618937335</v>
      </c>
      <c r="E627" s="258">
        <f>(E623/E612)*SUM(C627:D627)</f>
        <v>15203.778845152132</v>
      </c>
      <c r="F627" s="258">
        <f>(F624/F612)*BO64</f>
        <v>933.48466521754119</v>
      </c>
      <c r="G627" s="256">
        <f>(G625/G612)*BO91</f>
        <v>0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1796919.8232035583</v>
      </c>
      <c r="H628" s="258">
        <f>SUM(C626:G628)</f>
        <v>4019503.3101248816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2931603</v>
      </c>
      <c r="D629" s="256">
        <f>(D615/D612)*BF90</f>
        <v>69184.099075123697</v>
      </c>
      <c r="E629" s="258">
        <f>(E623/E612)*SUM(C629:D629)</f>
        <v>218886.53551916286</v>
      </c>
      <c r="F629" s="258">
        <f>(F624/F612)*BF64</f>
        <v>16754.368637150121</v>
      </c>
      <c r="G629" s="256">
        <f>(G625/G612)*BF91</f>
        <v>0</v>
      </c>
      <c r="H629" s="258">
        <f>(H628/H612)*BF60</f>
        <v>219284.23690366931</v>
      </c>
      <c r="I629" s="256">
        <f>SUM(C629:H629)</f>
        <v>3455712.2401351058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21349</v>
      </c>
      <c r="D630" s="256">
        <f>(D615/D612)*BA90</f>
        <v>13282.861803727723</v>
      </c>
      <c r="E630" s="258">
        <f>(E623/E612)*SUM(C630:D630)</f>
        <v>2526.1533052887244</v>
      </c>
      <c r="F630" s="258">
        <f>(F624/F612)*BA64</f>
        <v>0</v>
      </c>
      <c r="G630" s="256">
        <f>(G625/G612)*BA91</f>
        <v>0</v>
      </c>
      <c r="H630" s="258">
        <f>(H628/H612)*BA60</f>
        <v>0</v>
      </c>
      <c r="I630" s="256">
        <f>(I629/I612)*BA92</f>
        <v>13881.25928662626</v>
      </c>
      <c r="J630" s="256">
        <f>SUM(C630:I630)</f>
        <v>51039.2743956427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852792</v>
      </c>
      <c r="D632" s="256">
        <f>(D615/D612)*BB90</f>
        <v>11827.205715647971</v>
      </c>
      <c r="E632" s="258">
        <f>(E623/E612)*SUM(C632:D632)</f>
        <v>63067.953918076571</v>
      </c>
      <c r="F632" s="258">
        <f>(F624/F612)*BB64</f>
        <v>135.8734592971438</v>
      </c>
      <c r="G632" s="256">
        <f>(G625/G612)*BB91</f>
        <v>0</v>
      </c>
      <c r="H632" s="258">
        <f>(H628/H612)*BB60</f>
        <v>40052.387832284105</v>
      </c>
      <c r="I632" s="256">
        <f>(I629/I612)*BB92</f>
        <v>12371.515074183526</v>
      </c>
      <c r="J632" s="256">
        <f>(J630/J612)*BB93</f>
        <v>0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>
        <f>(G625/G612)*BI91</f>
        <v>0</v>
      </c>
      <c r="H634" s="258">
        <f>(H628/H612)*BI60</f>
        <v>0</v>
      </c>
      <c r="I634" s="256">
        <f>(I629/I612)*BI92</f>
        <v>0</v>
      </c>
      <c r="J634" s="256">
        <f>(J630/J612)*BI93</f>
        <v>0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2787513</v>
      </c>
      <c r="D635" s="256">
        <f>(D615/D612)*BK90</f>
        <v>37766.188507402403</v>
      </c>
      <c r="E635" s="258">
        <f>(E623/E612)*SUM(C635:D635)</f>
        <v>206084.45485432132</v>
      </c>
      <c r="F635" s="258">
        <f>(F624/F612)*BK64</f>
        <v>732.69668481967665</v>
      </c>
      <c r="G635" s="256">
        <f>(G625/G612)*BK91</f>
        <v>0</v>
      </c>
      <c r="H635" s="258">
        <f>(H628/H612)*BK60</f>
        <v>220013.11700029293</v>
      </c>
      <c r="I635" s="256">
        <f>(I629/I612)*BK92</f>
        <v>39504.973558918238</v>
      </c>
      <c r="J635" s="256">
        <f>(J630/J612)*BK93</f>
        <v>0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4012185</v>
      </c>
      <c r="D636" s="256">
        <f>(D615/D612)*BH90</f>
        <v>71852.801903269909</v>
      </c>
      <c r="E636" s="258">
        <f>(E623/E612)*SUM(C636:D636)</f>
        <v>297902.13563082385</v>
      </c>
      <c r="F636" s="258">
        <f>(F624/F612)*BH64</f>
        <v>885.6330298765638</v>
      </c>
      <c r="G636" s="256">
        <f>(G625/G612)*BH91</f>
        <v>0</v>
      </c>
      <c r="H636" s="258">
        <f>(H628/H612)*BH60</f>
        <v>51781.473560397135</v>
      </c>
      <c r="I636" s="256">
        <f>(I629/I612)*BH92</f>
        <v>75151.711908260608</v>
      </c>
      <c r="J636" s="256">
        <f>(J630/J612)*BH93</f>
        <v>0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1085560</v>
      </c>
      <c r="D637" s="256">
        <f>(D615/D612)*BL90</f>
        <v>26828.550401136512</v>
      </c>
      <c r="E637" s="258">
        <f>(E623/E612)*SUM(C637:D637)</f>
        <v>81141.003313275316</v>
      </c>
      <c r="F637" s="258">
        <f>(F624/F612)*BL64</f>
        <v>932.099486299776</v>
      </c>
      <c r="G637" s="256">
        <f>(G625/G612)*BL91</f>
        <v>0</v>
      </c>
      <c r="H637" s="258">
        <f>(H628/H612)*BL60</f>
        <v>134152.54356160652</v>
      </c>
      <c r="I637" s="256">
        <f>(I629/I612)*BL92</f>
        <v>28056.079947894166</v>
      </c>
      <c r="J637" s="256">
        <f>(J630/J612)*BL93</f>
        <v>0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63878</v>
      </c>
      <c r="D638" s="256">
        <f>(D615/D612)*BM90</f>
        <v>0</v>
      </c>
      <c r="E638" s="258">
        <f>(E623/E612)*SUM(C638:D638)</f>
        <v>4659.4555542452526</v>
      </c>
      <c r="F638" s="258">
        <f>(F624/F612)*BM64</f>
        <v>217.03235134256471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31573</v>
      </c>
      <c r="D639" s="256">
        <f>(D615/D612)*BS90</f>
        <v>18054.17898132246</v>
      </c>
      <c r="E639" s="258">
        <f>(E623/E612)*SUM(C639:D639)</f>
        <v>3619.9573365798274</v>
      </c>
      <c r="F639" s="258">
        <f>(F624/F612)*BS64</f>
        <v>160.86964249499647</v>
      </c>
      <c r="G639" s="256">
        <f>(G625/G612)*BS91</f>
        <v>0</v>
      </c>
      <c r="H639" s="258">
        <f>(H628/H612)*BS60</f>
        <v>0</v>
      </c>
      <c r="I639" s="256">
        <f>(I629/I612)*BS92</f>
        <v>18871.802655534189</v>
      </c>
      <c r="J639" s="256">
        <f>(J630/J612)*BS93</f>
        <v>0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2117635</v>
      </c>
      <c r="D642" s="256">
        <f>(D615/D612)*BV90</f>
        <v>33197.045786485418</v>
      </c>
      <c r="E642" s="258">
        <f>(E623/E612)*SUM(C642:D642)</f>
        <v>156888.22946849494</v>
      </c>
      <c r="F642" s="258">
        <f>(F624/F612)*BV64</f>
        <v>131.34014647536699</v>
      </c>
      <c r="G642" s="256">
        <f>(G625/G612)*BV91</f>
        <v>0</v>
      </c>
      <c r="H642" s="258">
        <f>(H628/H612)*BV60</f>
        <v>159219.21639341177</v>
      </c>
      <c r="I642" s="256">
        <f>(I629/I612)*BV92</f>
        <v>34724.116886182914</v>
      </c>
      <c r="J642" s="256">
        <f>(J630/J612)*BV93</f>
        <v>0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331700</v>
      </c>
      <c r="D643" s="256">
        <f>(D615/D612)*BW90</f>
        <v>19024.616373375622</v>
      </c>
      <c r="E643" s="258">
        <f>(E623/E612)*SUM(C643:D643)</f>
        <v>25582.919968869734</v>
      </c>
      <c r="F643" s="258">
        <f>(F624/F612)*BW64</f>
        <v>608.66020900161675</v>
      </c>
      <c r="G643" s="256">
        <f>(G625/G612)*BW91</f>
        <v>0</v>
      </c>
      <c r="H643" s="258">
        <f>(H628/H612)*BW60</f>
        <v>15582.664664488762</v>
      </c>
      <c r="I643" s="256">
        <f>(I629/I612)*BW92</f>
        <v>19899.26746677994</v>
      </c>
      <c r="J643" s="256">
        <f>(J630/J612)*BW93</f>
        <v>0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>
        <f>(G625/G612)*BX91</f>
        <v>0</v>
      </c>
      <c r="H644" s="258">
        <f>(H628/H612)*BX60</f>
        <v>0</v>
      </c>
      <c r="I644" s="256">
        <f>(I629/I612)*BX92</f>
        <v>0</v>
      </c>
      <c r="J644" s="256">
        <f>(J630/J612)*BX93</f>
        <v>0</v>
      </c>
      <c r="K644" s="258">
        <f>SUM(C631:J644)</f>
        <v>13193517.773233166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1999723</v>
      </c>
      <c r="D645" s="256">
        <f>(D615/D612)*BY90</f>
        <v>12191.119737667907</v>
      </c>
      <c r="E645" s="258">
        <f>(E623/E612)*SUM(C645:D645)</f>
        <v>146755.13353386341</v>
      </c>
      <c r="F645" s="258">
        <f>(F624/F612)*BY64</f>
        <v>836.01843954933975</v>
      </c>
      <c r="G645" s="256">
        <f>(G625/G612)*BY91</f>
        <v>0</v>
      </c>
      <c r="H645" s="258">
        <f>(H628/H612)*BY60</f>
        <v>68772.830067125265</v>
      </c>
      <c r="I645" s="256">
        <f>(I629/I612)*BY92</f>
        <v>12748.951127294211</v>
      </c>
      <c r="J645" s="256">
        <f>(J630/J612)*BY93</f>
        <v>0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276972</v>
      </c>
      <c r="D646" s="256">
        <f>(D615/D612)*BZ90</f>
        <v>0</v>
      </c>
      <c r="E646" s="258">
        <f>(E623/E612)*SUM(C646:D646)</f>
        <v>20203.179870540971</v>
      </c>
      <c r="F646" s="258">
        <f>(F624/F612)*BZ64</f>
        <v>0</v>
      </c>
      <c r="G646" s="256">
        <f>(G625/G612)*BZ91</f>
        <v>0</v>
      </c>
      <c r="H646" s="258">
        <f>(H628/H612)*BZ60</f>
        <v>21463.138337899338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888505</v>
      </c>
      <c r="D647" s="256">
        <f>(D615/D612)*CA90</f>
        <v>155209.33039150338</v>
      </c>
      <c r="E647" s="258">
        <f>(E623/E612)*SUM(C647:D647)</f>
        <v>76131.696887630416</v>
      </c>
      <c r="F647" s="258">
        <f>(F624/F612)*CA64</f>
        <v>9340.765143914954</v>
      </c>
      <c r="G647" s="256">
        <f>(G625/G612)*CA91</f>
        <v>0</v>
      </c>
      <c r="H647" s="258">
        <f>(H628/H612)*CA60</f>
        <v>19745.381503203553</v>
      </c>
      <c r="I647" s="256">
        <f>(I629/I612)*CA92</f>
        <v>162318.4715072113</v>
      </c>
      <c r="J647" s="256">
        <f>(J630/J612)*CA93</f>
        <v>0</v>
      </c>
      <c r="K647" s="258">
        <v>0</v>
      </c>
      <c r="L647" s="258">
        <f>SUM(C645:K647)</f>
        <v>3870916.0165474038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35661890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7640855</v>
      </c>
      <c r="D668" s="256">
        <f>(D615/D612)*C90</f>
        <v>0</v>
      </c>
      <c r="E668" s="258">
        <f>(E623/E612)*SUM(C668:D668)</f>
        <v>557347.1972969193</v>
      </c>
      <c r="F668" s="258">
        <f>(F624/F612)*C64</f>
        <v>18721.448625732777</v>
      </c>
      <c r="G668" s="256">
        <f>(G625/G612)*C91</f>
        <v>0</v>
      </c>
      <c r="H668" s="258">
        <f>(H628/H612)*C60</f>
        <v>218285.15278202941</v>
      </c>
      <c r="I668" s="256">
        <f>(I629/I612)*C92</f>
        <v>0</v>
      </c>
      <c r="J668" s="256">
        <f>(J630/J612)*C93</f>
        <v>0</v>
      </c>
      <c r="K668" s="256">
        <f>(K644/K612)*C89</f>
        <v>680579.29803891422</v>
      </c>
      <c r="L668" s="256">
        <f>(L647/L612)*C94</f>
        <v>568186.26675901713</v>
      </c>
      <c r="M668" s="231">
        <f t="shared" ref="M668:M713" si="18">ROUND(SUM(D668:L668),0)</f>
        <v>2043119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8920679</v>
      </c>
      <c r="D670" s="256">
        <f>(D615/D612)*E90</f>
        <v>404712.82737750636</v>
      </c>
      <c r="E670" s="258">
        <f>(E623/E612)*SUM(C670:D670)</f>
        <v>680222.43566779501</v>
      </c>
      <c r="F670" s="258">
        <f>(F624/F612)*E64</f>
        <v>26417.061954089309</v>
      </c>
      <c r="G670" s="256">
        <f>(G625/G612)*E91</f>
        <v>527000.66768394317</v>
      </c>
      <c r="H670" s="258">
        <f>(H628/H612)*E60</f>
        <v>280215.7549140093</v>
      </c>
      <c r="I670" s="256">
        <f>(I629/I612)*E92</f>
        <v>444415.22603561729</v>
      </c>
      <c r="J670" s="256">
        <f>(J630/J612)*E93</f>
        <v>13983.614041377952</v>
      </c>
      <c r="K670" s="256">
        <f>(K644/K612)*E89</f>
        <v>884498.79626837932</v>
      </c>
      <c r="L670" s="256">
        <f>(L647/L612)*E94</f>
        <v>660907.83960079856</v>
      </c>
      <c r="M670" s="231">
        <f t="shared" si="18"/>
        <v>3922374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5959199</v>
      </c>
      <c r="D671" s="256">
        <f>(D615/D612)*F90</f>
        <v>256417.86340438161</v>
      </c>
      <c r="E671" s="258">
        <f>(E623/E612)*SUM(C671:D671)</f>
        <v>453385.99388287053</v>
      </c>
      <c r="F671" s="258">
        <f>(F624/F612)*F64</f>
        <v>17355.977026206754</v>
      </c>
      <c r="G671" s="256">
        <f>(G625/G612)*F91</f>
        <v>101333.94851413291</v>
      </c>
      <c r="H671" s="258">
        <f>(H628/H612)*F60</f>
        <v>233680.84005252074</v>
      </c>
      <c r="I671" s="256">
        <f>(I629/I612)*F92</f>
        <v>281576.73152189789</v>
      </c>
      <c r="J671" s="256">
        <f>(J630/J612)*F93</f>
        <v>10314.705701508105</v>
      </c>
      <c r="K671" s="256">
        <f>(K644/K612)*F89</f>
        <v>274262.91114217276</v>
      </c>
      <c r="L671" s="256">
        <f>(L647/L612)*F94</f>
        <v>803350.98308969603</v>
      </c>
      <c r="M671" s="231">
        <f t="shared" si="18"/>
        <v>2431680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0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>
        <f>(J630/J612)*H93</f>
        <v>0</v>
      </c>
      <c r="K673" s="256">
        <f>(K644/K612)*H89</f>
        <v>0</v>
      </c>
      <c r="L673" s="256">
        <f>(L647/L612)*H94</f>
        <v>0</v>
      </c>
      <c r="M673" s="231">
        <f t="shared" si="18"/>
        <v>0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290417</v>
      </c>
      <c r="D675" s="256">
        <f>(D615/D612)*J90</f>
        <v>0</v>
      </c>
      <c r="E675" s="258">
        <f>(E623/E612)*SUM(C675:D675)</f>
        <v>21183.899052838908</v>
      </c>
      <c r="F675" s="258">
        <f>(F624/F612)*J64</f>
        <v>3553.6135508483762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19236.928563171547</v>
      </c>
      <c r="L675" s="256">
        <f>(L647/L612)*J94</f>
        <v>0</v>
      </c>
      <c r="M675" s="231">
        <f t="shared" si="18"/>
        <v>43974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144762</v>
      </c>
      <c r="D679" s="256">
        <f>(D615/D612)*N90</f>
        <v>0</v>
      </c>
      <c r="E679" s="258">
        <f>(E623/E612)*SUM(C679:D679)</f>
        <v>10559.380458744032</v>
      </c>
      <c r="F679" s="258">
        <f>(F624/F612)*N64</f>
        <v>0</v>
      </c>
      <c r="G679" s="256">
        <f>(G625/G612)*N91</f>
        <v>0</v>
      </c>
      <c r="H679" s="258">
        <f>(H628/H612)*N60</f>
        <v>14436.120305235427</v>
      </c>
      <c r="I679" s="256">
        <f>(I629/I612)*N92</f>
        <v>0</v>
      </c>
      <c r="J679" s="256">
        <f>(J630/J612)*N93</f>
        <v>470.48723274120044</v>
      </c>
      <c r="K679" s="256">
        <f>(K644/K612)*N89</f>
        <v>0</v>
      </c>
      <c r="L679" s="256">
        <f>(L647/L612)*N94</f>
        <v>0</v>
      </c>
      <c r="M679" s="231">
        <f t="shared" si="18"/>
        <v>25466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208729</v>
      </c>
      <c r="D680" s="256">
        <f>(D615/D612)*O90</f>
        <v>0</v>
      </c>
      <c r="E680" s="258">
        <f>(E623/E612)*SUM(C680:D680)</f>
        <v>15225.327943612157</v>
      </c>
      <c r="F680" s="258">
        <f>(F624/F612)*O64</f>
        <v>13142.136833009048</v>
      </c>
      <c r="G680" s="256">
        <f>(G625/G612)*O91</f>
        <v>0</v>
      </c>
      <c r="H680" s="258">
        <f>(H628/H612)*O60</f>
        <v>0</v>
      </c>
      <c r="I680" s="256">
        <f>(I629/I612)*O92</f>
        <v>0</v>
      </c>
      <c r="J680" s="256">
        <f>(J630/J612)*O93</f>
        <v>0</v>
      </c>
      <c r="K680" s="256">
        <f>(K644/K612)*O89</f>
        <v>592372.65097301127</v>
      </c>
      <c r="L680" s="256">
        <f>(L647/L612)*O94</f>
        <v>0</v>
      </c>
      <c r="M680" s="231">
        <f t="shared" si="18"/>
        <v>620740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6882281</v>
      </c>
      <c r="D681" s="256">
        <f>(D615/D612)*P90</f>
        <v>198636.40368588257</v>
      </c>
      <c r="E681" s="258">
        <f>(E623/E612)*SUM(C681:D681)</f>
        <v>516503.64641591883</v>
      </c>
      <c r="F681" s="258">
        <f>(F624/F612)*P64</f>
        <v>194195.5361521517</v>
      </c>
      <c r="G681" s="256">
        <f>(G625/G612)*P91</f>
        <v>0</v>
      </c>
      <c r="H681" s="258">
        <f>(H628/H612)*P60</f>
        <v>137530.67715337058</v>
      </c>
      <c r="I681" s="256">
        <f>(I629/I612)*P92</f>
        <v>218123.44039310678</v>
      </c>
      <c r="J681" s="256">
        <f>(J630/J612)*P93</f>
        <v>3976.1787938370639</v>
      </c>
      <c r="K681" s="256">
        <f>(K644/K612)*P89</f>
        <v>1677165.8877625985</v>
      </c>
      <c r="L681" s="256">
        <f>(L647/L612)*P94</f>
        <v>247770.14244096153</v>
      </c>
      <c r="M681" s="231">
        <f t="shared" si="18"/>
        <v>3193902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790289</v>
      </c>
      <c r="D682" s="256">
        <f>(D615/D612)*Q90</f>
        <v>28223.554152212939</v>
      </c>
      <c r="E682" s="258">
        <f>(E623/E612)*SUM(C682:D682)</f>
        <v>59704.794556247798</v>
      </c>
      <c r="F682" s="258">
        <f>(F624/F612)*Q64</f>
        <v>3270.4703875215664</v>
      </c>
      <c r="G682" s="256">
        <f>(G625/G612)*Q91</f>
        <v>0</v>
      </c>
      <c r="H682" s="258">
        <f>(H628/H612)*Q60</f>
        <v>32026.504407628167</v>
      </c>
      <c r="I682" s="256">
        <f>(I629/I612)*Q92</f>
        <v>31000.081162157501</v>
      </c>
      <c r="J682" s="256">
        <f>(J630/J612)*Q93</f>
        <v>913.3862042928713</v>
      </c>
      <c r="K682" s="256">
        <f>(K644/K612)*Q89</f>
        <v>220604.7473516126</v>
      </c>
      <c r="L682" s="256">
        <f>(L647/L612)*Q94</f>
        <v>155772.31338167973</v>
      </c>
      <c r="M682" s="231">
        <f t="shared" si="18"/>
        <v>531516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5886135</v>
      </c>
      <c r="D683" s="256">
        <f>(D615/D612)*R90</f>
        <v>3760.4448942060221</v>
      </c>
      <c r="E683" s="258">
        <f>(E623/E612)*SUM(C683:D683)</f>
        <v>429626.88319352706</v>
      </c>
      <c r="F683" s="258">
        <f>(F624/F612)*R64</f>
        <v>19432.23429858053</v>
      </c>
      <c r="G683" s="256">
        <f>(G625/G612)*R91</f>
        <v>0</v>
      </c>
      <c r="H683" s="258">
        <f>(H628/H612)*R60</f>
        <v>98350.473792013785</v>
      </c>
      <c r="I683" s="256">
        <f>(I629/I612)*R92</f>
        <v>4139.2153824471661</v>
      </c>
      <c r="J683" s="256">
        <f>(J630/J612)*R93</f>
        <v>0</v>
      </c>
      <c r="K683" s="256">
        <f>(K644/K612)*R89</f>
        <v>799512.28400417627</v>
      </c>
      <c r="L683" s="256">
        <f>(L647/L612)*R94</f>
        <v>0</v>
      </c>
      <c r="M683" s="231">
        <f t="shared" si="18"/>
        <v>1354822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3971106</v>
      </c>
      <c r="D684" s="256">
        <f>(D615/D612)*S90</f>
        <v>27475.508662505294</v>
      </c>
      <c r="E684" s="258">
        <f>(E623/E612)*SUM(C684:D684)</f>
        <v>291668.69375434221</v>
      </c>
      <c r="F684" s="258">
        <f>(F624/F612)*S64</f>
        <v>220497.75418142267</v>
      </c>
      <c r="G684" s="256">
        <f>(G625/G612)*S91</f>
        <v>0</v>
      </c>
      <c r="H684" s="258">
        <f>(H628/H612)*S60</f>
        <v>44487.751177083097</v>
      </c>
      <c r="I684" s="256">
        <f>(I629/I612)*S92</f>
        <v>30163.431244428812</v>
      </c>
      <c r="J684" s="256">
        <f>(J630/J612)*S93</f>
        <v>173.12872890195862</v>
      </c>
      <c r="K684" s="256">
        <f>(K644/K612)*S89</f>
        <v>316713.33695190318</v>
      </c>
      <c r="L684" s="256">
        <f>(L647/L612)*S94</f>
        <v>0</v>
      </c>
      <c r="M684" s="231">
        <f t="shared" si="18"/>
        <v>931180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1051</v>
      </c>
      <c r="D685" s="256">
        <f>(D615/D612)*T90</f>
        <v>0</v>
      </c>
      <c r="E685" s="258">
        <f>(E623/E612)*SUM(C685:D685)</f>
        <v>76.663135782456578</v>
      </c>
      <c r="F685" s="258">
        <f>(F624/F612)*T64</f>
        <v>0</v>
      </c>
      <c r="G685" s="256">
        <f>(G625/G612)*T91</f>
        <v>0</v>
      </c>
      <c r="H685" s="258">
        <f>(H628/H612)*T60</f>
        <v>0</v>
      </c>
      <c r="I685" s="256">
        <f>(I629/I612)*T92</f>
        <v>0</v>
      </c>
      <c r="J685" s="256">
        <f>(J630/J612)*T93</f>
        <v>0</v>
      </c>
      <c r="K685" s="256">
        <f>(K644/K612)*T89</f>
        <v>15540.789315983086</v>
      </c>
      <c r="L685" s="256">
        <f>(L647/L612)*T94</f>
        <v>0</v>
      </c>
      <c r="M685" s="231">
        <f t="shared" si="18"/>
        <v>15617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7355811</v>
      </c>
      <c r="D686" s="256">
        <f>(D615/D612)*U90</f>
        <v>65726.915865934294</v>
      </c>
      <c r="E686" s="258">
        <f>(E623/E612)*SUM(C686:D686)</f>
        <v>541349.5423013129</v>
      </c>
      <c r="F686" s="258">
        <f>(F624/F612)*U64</f>
        <v>127511.19713327374</v>
      </c>
      <c r="G686" s="256">
        <f>(G625/G612)*U91</f>
        <v>0</v>
      </c>
      <c r="H686" s="258">
        <f>(H628/H612)*U60</f>
        <v>176166.79051562218</v>
      </c>
      <c r="I686" s="256">
        <f>(I629/I612)*U92</f>
        <v>72172.063955647929</v>
      </c>
      <c r="J686" s="256">
        <f>(J630/J612)*U93</f>
        <v>65.749269182232382</v>
      </c>
      <c r="K686" s="256">
        <f>(K644/K612)*U89</f>
        <v>1055688.470691401</v>
      </c>
      <c r="L686" s="256">
        <f>(L647/L612)*U94</f>
        <v>0</v>
      </c>
      <c r="M686" s="231">
        <f t="shared" si="18"/>
        <v>2038681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61983</v>
      </c>
      <c r="D687" s="256">
        <f>(D615/D612)*V90</f>
        <v>0</v>
      </c>
      <c r="E687" s="258">
        <f>(E623/E612)*SUM(C687:D687)</f>
        <v>4521.2284921065702</v>
      </c>
      <c r="F687" s="258">
        <f>(F624/F612)*V64</f>
        <v>470.07935454702294</v>
      </c>
      <c r="G687" s="256">
        <f>(G625/G612)*V91</f>
        <v>0</v>
      </c>
      <c r="H687" s="258">
        <f>(H628/H612)*V60</f>
        <v>1671.459059227532</v>
      </c>
      <c r="I687" s="256">
        <f>(I629/I612)*V92</f>
        <v>0</v>
      </c>
      <c r="J687" s="256">
        <f>(J630/J612)*V93</f>
        <v>0</v>
      </c>
      <c r="K687" s="256">
        <f>(K644/K612)*V89</f>
        <v>8911.1257066789403</v>
      </c>
      <c r="L687" s="256">
        <f>(L647/L612)*V94</f>
        <v>0</v>
      </c>
      <c r="M687" s="231">
        <f t="shared" si="18"/>
        <v>15574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527652</v>
      </c>
      <c r="D688" s="256">
        <f>(D615/D612)*W90</f>
        <v>0</v>
      </c>
      <c r="E688" s="258">
        <f>(E623/E612)*SUM(C688:D688)</f>
        <v>38488.541314828522</v>
      </c>
      <c r="F688" s="258">
        <f>(F624/F612)*W64</f>
        <v>1714.0329853781952</v>
      </c>
      <c r="G688" s="256">
        <f>(G625/G612)*W91</f>
        <v>0</v>
      </c>
      <c r="H688" s="258">
        <f>(H628/H612)*W60</f>
        <v>16399.984448739138</v>
      </c>
      <c r="I688" s="256">
        <f>(I629/I612)*W92</f>
        <v>0</v>
      </c>
      <c r="J688" s="256">
        <f>(J630/J612)*W93</f>
        <v>0</v>
      </c>
      <c r="K688" s="256">
        <f>(K644/K612)*W89</f>
        <v>186185.46048398677</v>
      </c>
      <c r="L688" s="256">
        <f>(L647/L612)*W94</f>
        <v>0</v>
      </c>
      <c r="M688" s="231">
        <f t="shared" si="18"/>
        <v>242788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874634</v>
      </c>
      <c r="D689" s="256">
        <f>(D615/D612)*X90</f>
        <v>0</v>
      </c>
      <c r="E689" s="258">
        <f>(E623/E612)*SUM(C689:D689)</f>
        <v>63798.463465226567</v>
      </c>
      <c r="F689" s="258">
        <f>(F624/F612)*X64</f>
        <v>12522.710006055711</v>
      </c>
      <c r="G689" s="256">
        <f>(G625/G612)*X91</f>
        <v>0</v>
      </c>
      <c r="H689" s="258">
        <f>(H628/H612)*X60</f>
        <v>32066.058018953365</v>
      </c>
      <c r="I689" s="256">
        <f>(I629/I612)*X92</f>
        <v>0</v>
      </c>
      <c r="J689" s="256">
        <f>(J630/J612)*X93</f>
        <v>1490.2617017410005</v>
      </c>
      <c r="K689" s="256">
        <f>(K644/K612)*X89</f>
        <v>1017844.9415407212</v>
      </c>
      <c r="L689" s="256">
        <f>(L647/L612)*X94</f>
        <v>0</v>
      </c>
      <c r="M689" s="231">
        <f t="shared" si="18"/>
        <v>1127722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4569863</v>
      </c>
      <c r="D690" s="256">
        <f>(D615/D612)*Y90</f>
        <v>134466.23113636693</v>
      </c>
      <c r="E690" s="258">
        <f>(E623/E612)*SUM(C690:D690)</f>
        <v>343148.07860322244</v>
      </c>
      <c r="F690" s="258">
        <f>(F624/F612)*Y64</f>
        <v>10220.101905983494</v>
      </c>
      <c r="G690" s="256">
        <f>(G625/G612)*Y91</f>
        <v>0</v>
      </c>
      <c r="H690" s="258">
        <f>(H628/H612)*Y60</f>
        <v>185768.11068408564</v>
      </c>
      <c r="I690" s="256">
        <f>(I629/I612)*Y92</f>
        <v>147646.69337601436</v>
      </c>
      <c r="J690" s="256">
        <f>(J630/J612)*Y93</f>
        <v>2882.725495552651</v>
      </c>
      <c r="K690" s="256">
        <f>(K644/K612)*Y89</f>
        <v>798574.78703419084</v>
      </c>
      <c r="L690" s="256">
        <f>(L647/L612)*Y94</f>
        <v>0</v>
      </c>
      <c r="M690" s="231">
        <f t="shared" si="18"/>
        <v>1622707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>
        <f>(G625/G612)*Z91</f>
        <v>0</v>
      </c>
      <c r="H691" s="258">
        <f>(H628/H612)*Z60</f>
        <v>0</v>
      </c>
      <c r="I691" s="256">
        <f>(I629/I612)*Z92</f>
        <v>0</v>
      </c>
      <c r="J691" s="256">
        <f>(J630/J612)*Z93</f>
        <v>0</v>
      </c>
      <c r="K691" s="256">
        <f>(K644/K612)*Z89</f>
        <v>0</v>
      </c>
      <c r="L691" s="256">
        <f>(L647/L612)*Z94</f>
        <v>0</v>
      </c>
      <c r="M691" s="231">
        <f t="shared" si="18"/>
        <v>0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487866</v>
      </c>
      <c r="D692" s="256">
        <f>(D615/D612)*AA90</f>
        <v>0</v>
      </c>
      <c r="E692" s="258">
        <f>(E623/E612)*SUM(C692:D692)</f>
        <v>35586.429497282545</v>
      </c>
      <c r="F692" s="258">
        <f>(F624/F612)*AA64</f>
        <v>11768.039346586034</v>
      </c>
      <c r="G692" s="256">
        <f>(G625/G612)*AA91</f>
        <v>0</v>
      </c>
      <c r="H692" s="258">
        <f>(H628/H612)*AA60</f>
        <v>9213.9499620653951</v>
      </c>
      <c r="I692" s="256">
        <f>(I629/I612)*AA92</f>
        <v>0</v>
      </c>
      <c r="J692" s="256">
        <f>(J630/J612)*AA93</f>
        <v>95.650318734956173</v>
      </c>
      <c r="K692" s="256">
        <f>(K644/K612)*AA89</f>
        <v>30210.191524275753</v>
      </c>
      <c r="L692" s="256">
        <f>(L647/L612)*AA94</f>
        <v>0</v>
      </c>
      <c r="M692" s="231">
        <f t="shared" si="18"/>
        <v>86874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6951799</v>
      </c>
      <c r="D693" s="256">
        <f>(D615/D612)*AB90</f>
        <v>33379.002797495392</v>
      </c>
      <c r="E693" s="258">
        <f>(E623/E612)*SUM(C693:D693)</f>
        <v>509520.12339970813</v>
      </c>
      <c r="F693" s="258">
        <f>(F624/F612)*AB64</f>
        <v>279747.20832187438</v>
      </c>
      <c r="G693" s="256">
        <f>(G625/G612)*AB91</f>
        <v>0</v>
      </c>
      <c r="H693" s="258">
        <f>(H628/H612)*AB60</f>
        <v>89485.397618319446</v>
      </c>
      <c r="I693" s="256">
        <f>(I629/I612)*AB92</f>
        <v>36658.47665837517</v>
      </c>
      <c r="J693" s="256">
        <f>(J630/J612)*AB93</f>
        <v>0</v>
      </c>
      <c r="K693" s="256">
        <f>(K644/K612)*AB89</f>
        <v>1060590.5102621003</v>
      </c>
      <c r="L693" s="256">
        <f>(L647/L612)*AB94</f>
        <v>0</v>
      </c>
      <c r="M693" s="231">
        <f t="shared" si="18"/>
        <v>2009381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2090737</v>
      </c>
      <c r="D694" s="256">
        <f>(D615/D612)*AC90</f>
        <v>16760.262458584904</v>
      </c>
      <c r="E694" s="258">
        <f>(E623/E612)*SUM(C694:D694)</f>
        <v>153727.25860420361</v>
      </c>
      <c r="F694" s="258">
        <f>(F624/F612)*AC64</f>
        <v>5478.4455824391925</v>
      </c>
      <c r="G694" s="256">
        <f>(G625/G612)*AC91</f>
        <v>0</v>
      </c>
      <c r="H694" s="258">
        <f>(H628/H612)*AC60</f>
        <v>41689.579246676869</v>
      </c>
      <c r="I694" s="256">
        <f>(I629/I612)*AC92</f>
        <v>18406.298190031015</v>
      </c>
      <c r="J694" s="256">
        <f>(J630/J612)*AC93</f>
        <v>0</v>
      </c>
      <c r="K694" s="256">
        <f>(K644/K612)*AC89</f>
        <v>251066.27728528465</v>
      </c>
      <c r="L694" s="256">
        <f>(L647/L612)*AC94</f>
        <v>0</v>
      </c>
      <c r="M694" s="231">
        <f t="shared" si="18"/>
        <v>487128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0</v>
      </c>
      <c r="L695" s="256">
        <f>(L647/L612)*AD94</f>
        <v>0</v>
      </c>
      <c r="M695" s="231">
        <f t="shared" si="18"/>
        <v>0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1033855</v>
      </c>
      <c r="D696" s="256">
        <f>(D615/D612)*AE90</f>
        <v>41223.371716591828</v>
      </c>
      <c r="E696" s="258">
        <f>(E623/E612)*SUM(C696:D696)</f>
        <v>78419.485430724453</v>
      </c>
      <c r="F696" s="258">
        <f>(F624/F612)*AE64</f>
        <v>1627.3333776617137</v>
      </c>
      <c r="G696" s="256">
        <f>(G625/G612)*AE91</f>
        <v>0</v>
      </c>
      <c r="H696" s="258">
        <f>(H628/H612)*AE60</f>
        <v>42888.144807184683</v>
      </c>
      <c r="I696" s="256">
        <f>(I629/I612)*AE92</f>
        <v>45267.163969741348</v>
      </c>
      <c r="J696" s="256">
        <f>(J630/J612)*AE93</f>
        <v>70.540045077420174</v>
      </c>
      <c r="K696" s="256">
        <f>(K644/K612)*AE89</f>
        <v>110881.18769119025</v>
      </c>
      <c r="L696" s="256">
        <f>(L647/L612)*AE94</f>
        <v>0</v>
      </c>
      <c r="M696" s="231">
        <f t="shared" si="18"/>
        <v>320377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8"/>
        <v>0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9812827</v>
      </c>
      <c r="D698" s="256">
        <f>(D615/D612)*AG90</f>
        <v>110629.86269406103</v>
      </c>
      <c r="E698" s="258">
        <f>(E623/E612)*SUM(C698:D698)</f>
        <v>723847.11788398214</v>
      </c>
      <c r="F698" s="258">
        <f>(F624/F612)*AG64</f>
        <v>45917.484833030736</v>
      </c>
      <c r="G698" s="256" t="e">
        <f>(G625/G612)*#REF!</f>
        <v>#REF!</v>
      </c>
      <c r="H698" s="258">
        <f>(H628/H612)*AG60</f>
        <v>225369.18634290778</v>
      </c>
      <c r="I698" s="256">
        <f>(I629/I612)*AG91</f>
        <v>21811.717815412692</v>
      </c>
      <c r="J698" s="256">
        <f>(J630/J612)*AG93</f>
        <v>14124.859330701596</v>
      </c>
      <c r="K698" s="256">
        <f>(K644/K612)*AG89</f>
        <v>1896688.1868963579</v>
      </c>
      <c r="L698" s="256">
        <f>(L647/L612)*AG94</f>
        <v>721013.89977176569</v>
      </c>
      <c r="M698" s="231" t="e">
        <f t="shared" si="18"/>
        <v>#REF!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207018</v>
      </c>
      <c r="D699" s="256">
        <f>(D615/D612)*AH90</f>
        <v>0</v>
      </c>
      <c r="E699" s="258">
        <f>(E623/E612)*SUM(C699:D699)</f>
        <v>15100.522400963458</v>
      </c>
      <c r="F699" s="258">
        <f>(F624/F612)*AH64</f>
        <v>3360.3810918201398</v>
      </c>
      <c r="G699" s="256">
        <f>(G625/G612)*AH91</f>
        <v>0</v>
      </c>
      <c r="H699" s="258">
        <f>(H628/H612)*AH60</f>
        <v>17774.372191202368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36235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1586737</v>
      </c>
      <c r="D700" s="256">
        <f>(D615/D612)*AI90</f>
        <v>78443.689190964345</v>
      </c>
      <c r="E700" s="258">
        <f>(E623/E612)*SUM(C700:D700)</f>
        <v>121463.34279521553</v>
      </c>
      <c r="F700" s="258">
        <f>(F624/F612)*AI64</f>
        <v>13678.830700964958</v>
      </c>
      <c r="G700" s="256" t="e">
        <f>(G625/G612)*#REF!</f>
        <v>#REF!</v>
      </c>
      <c r="H700" s="258">
        <f>(H628/H612)*AI60</f>
        <v>71482.926859317929</v>
      </c>
      <c r="I700" s="256">
        <f>(I629/I612)*AI91</f>
        <v>3756.0153679677451</v>
      </c>
      <c r="J700" s="256">
        <f>(J630/J612)*AI93</f>
        <v>2477.9875319936823</v>
      </c>
      <c r="K700" s="256">
        <f>(K644/K612)*AI89</f>
        <v>295123.66319796751</v>
      </c>
      <c r="L700" s="256">
        <f>(L647/L612)*AI94</f>
        <v>281545.20732843172</v>
      </c>
      <c r="M700" s="231" t="e">
        <f t="shared" si="18"/>
        <v>#REF!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24429663</v>
      </c>
      <c r="D701" s="256">
        <f>(D615/D612)*AJ90</f>
        <v>1366921.7190438891</v>
      </c>
      <c r="E701" s="258">
        <f>(E623/E612)*SUM(C701:D701)</f>
        <v>1881681.3292480551</v>
      </c>
      <c r="F701" s="258">
        <f>(F624/F612)*AJ64</f>
        <v>68793.588734565797</v>
      </c>
      <c r="G701" s="256">
        <f>(G625/G612)*AJ91</f>
        <v>0</v>
      </c>
      <c r="H701" s="258">
        <f>(H628/H612)*AJ60</f>
        <v>889146.59057113959</v>
      </c>
      <c r="I701" s="256">
        <f>(I629/I612)*AJ92</f>
        <v>1500993.9866114529</v>
      </c>
      <c r="J701" s="256">
        <f>(J630/J612)*AJ93</f>
        <v>0</v>
      </c>
      <c r="K701" s="256">
        <f>(K644/K612)*AJ89</f>
        <v>775341.80619000422</v>
      </c>
      <c r="L701" s="256">
        <f>(L647/L612)*AJ94</f>
        <v>402655.57234523783</v>
      </c>
      <c r="M701" s="231">
        <f t="shared" si="18"/>
        <v>6885535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2665907</v>
      </c>
      <c r="D702" s="256">
        <f>(D615/D612)*AK90</f>
        <v>0</v>
      </c>
      <c r="E702" s="258">
        <f>(E623/E612)*SUM(C702:D702)</f>
        <v>194459.36282055324</v>
      </c>
      <c r="F702" s="258">
        <f>(F624/F612)*AK64</f>
        <v>602.67875458399465</v>
      </c>
      <c r="G702" s="256">
        <f>(G625/G612)*AK91</f>
        <v>0</v>
      </c>
      <c r="H702" s="258">
        <f>(H628/H612)*AK60</f>
        <v>107631.31857138965</v>
      </c>
      <c r="I702" s="256">
        <f>(I629/I612)*AK92</f>
        <v>0</v>
      </c>
      <c r="J702" s="256">
        <f>(J630/J612)*AK93</f>
        <v>0</v>
      </c>
      <c r="K702" s="256">
        <f>(K644/K612)*AK89</f>
        <v>88802.643598849856</v>
      </c>
      <c r="L702" s="256">
        <f>(L647/L612)*AK94</f>
        <v>8435.8666392525029</v>
      </c>
      <c r="M702" s="231">
        <f t="shared" si="18"/>
        <v>399932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95207</v>
      </c>
      <c r="D703" s="256">
        <f>(D615/D612)*AL90</f>
        <v>0</v>
      </c>
      <c r="E703" s="258">
        <f>(E623/E612)*SUM(C703:D703)</f>
        <v>6944.6880765369579</v>
      </c>
      <c r="F703" s="258">
        <f>(F624/F612)*AL64</f>
        <v>21.973974650001477</v>
      </c>
      <c r="G703" s="256">
        <f>(G625/G612)*AL91</f>
        <v>0</v>
      </c>
      <c r="H703" s="258">
        <f>(H628/H612)*AL60</f>
        <v>4706.4422884068108</v>
      </c>
      <c r="I703" s="256">
        <f>(I629/I612)*AL92</f>
        <v>0</v>
      </c>
      <c r="J703" s="256">
        <f>(J630/J612)*AL93</f>
        <v>0</v>
      </c>
      <c r="K703" s="256">
        <f>(K644/K612)*AL89</f>
        <v>7978.0965271839032</v>
      </c>
      <c r="L703" s="256">
        <f>(L647/L612)*AL94</f>
        <v>0</v>
      </c>
      <c r="M703" s="231">
        <f t="shared" si="18"/>
        <v>19651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0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2005560</v>
      </c>
      <c r="D707" s="256">
        <f>(D615/D612)*AP90</f>
        <v>0</v>
      </c>
      <c r="E707" s="258">
        <f>(E623/E612)*SUM(C707:D707)</f>
        <v>146291.64471918516</v>
      </c>
      <c r="F707" s="258">
        <f>(F624/F612)*AP64</f>
        <v>2749.2653383733937</v>
      </c>
      <c r="G707" s="256">
        <f>(G625/G612)*AP91</f>
        <v>0</v>
      </c>
      <c r="H707" s="258">
        <f>(H628/H612)*AP60</f>
        <v>75646.372796858966</v>
      </c>
      <c r="I707" s="256">
        <f>(I629/I612)*AP92</f>
        <v>0</v>
      </c>
      <c r="J707" s="256">
        <f>(J630/J612)*AP93</f>
        <v>0</v>
      </c>
      <c r="K707" s="256">
        <f>(K644/K612)*AP89</f>
        <v>67089.988032992274</v>
      </c>
      <c r="L707" s="256">
        <f>(L647/L612)*AP94</f>
        <v>21277.925190562572</v>
      </c>
      <c r="M707" s="231">
        <f t="shared" si="18"/>
        <v>313055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0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220430</v>
      </c>
      <c r="D713" s="256">
        <f>(D615/D612)*AV90</f>
        <v>0</v>
      </c>
      <c r="E713" s="258">
        <f>(E623/E612)*SUM(C713:D713)</f>
        <v>16078.834462918079</v>
      </c>
      <c r="F713" s="258">
        <f>(F624/F612)*AV64</f>
        <v>423.23512205532927</v>
      </c>
      <c r="G713" s="256">
        <f>(G625/G612)*AV91</f>
        <v>0</v>
      </c>
      <c r="H713" s="258">
        <f>(H628/H612)*AV60</f>
        <v>23316.361734516366</v>
      </c>
      <c r="I713" s="256">
        <f>(I629/I612)*AV92</f>
        <v>0</v>
      </c>
      <c r="J713" s="256">
        <f>(J630/J612)*AV93</f>
        <v>0</v>
      </c>
      <c r="K713" s="256">
        <f>(K644/K612)*AV89</f>
        <v>62052.806198058672</v>
      </c>
      <c r="L713" s="256">
        <f>(L647/L612)*AV94</f>
        <v>0</v>
      </c>
      <c r="M713" s="231">
        <f t="shared" si="18"/>
        <v>101871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141334942</v>
      </c>
      <c r="D715" s="231">
        <f>SUM(D616:D647)+SUM(D668:D713)</f>
        <v>4155514</v>
      </c>
      <c r="E715" s="231">
        <f>SUM(E624:E647)+SUM(E668:E713)</f>
        <v>9608525.3703300059</v>
      </c>
      <c r="F715" s="231">
        <f>SUM(F625:F648)+SUM(F668:F713)</f>
        <v>1171156.1824348061</v>
      </c>
      <c r="G715" s="231" t="e">
        <f>SUM(G626:G647)+SUM(G668:G713)</f>
        <v>#REF!</v>
      </c>
      <c r="H715" s="231">
        <f>SUM(H629:H647)+SUM(H668:H713)</f>
        <v>4019503.3101248825</v>
      </c>
      <c r="I715" s="231">
        <f>SUM(I630:I647)+SUM(I668:I713)</f>
        <v>3273658.6911031841</v>
      </c>
      <c r="J715" s="231">
        <f>SUM(J631:J647)+SUM(J668:J713)</f>
        <v>51039.2743956427</v>
      </c>
      <c r="K715" s="231">
        <f>SUM(K668:K713)</f>
        <v>13193517.773233168</v>
      </c>
      <c r="L715" s="231">
        <f>SUM(L668:L713)</f>
        <v>3870916.0165474033</v>
      </c>
      <c r="M715" s="231" t="e">
        <f>SUM(M668:M713)</f>
        <v>#REF!</v>
      </c>
      <c r="N715" s="250" t="s">
        <v>669</v>
      </c>
    </row>
    <row r="716" spans="1:14" s="231" customFormat="1" ht="12.65" customHeight="1" x14ac:dyDescent="0.3">
      <c r="C716" s="253">
        <f>CE85</f>
        <v>141334942</v>
      </c>
      <c r="D716" s="231">
        <f>D615</f>
        <v>4155514</v>
      </c>
      <c r="E716" s="231">
        <f>E623</f>
        <v>9608525.3703300059</v>
      </c>
      <c r="F716" s="231">
        <f>F624</f>
        <v>1171156.1824348064</v>
      </c>
      <c r="G716" s="231">
        <f>G625</f>
        <v>2455814.962482004</v>
      </c>
      <c r="H716" s="231">
        <f>H628</f>
        <v>4019503.3101248816</v>
      </c>
      <c r="I716" s="231">
        <f>I629</f>
        <v>3455712.2401351058</v>
      </c>
      <c r="J716" s="231">
        <f>J630</f>
        <v>51039.2743956427</v>
      </c>
      <c r="K716" s="231">
        <f>K644</f>
        <v>13193517.773233166</v>
      </c>
      <c r="L716" s="231">
        <f>L647</f>
        <v>3870916.0165474038</v>
      </c>
      <c r="M716" s="231">
        <f>C648</f>
        <v>35661890</v>
      </c>
      <c r="N716" s="250" t="s">
        <v>670</v>
      </c>
    </row>
  </sheetData>
  <mergeCells count="2">
    <mergeCell ref="B236:C236"/>
    <mergeCell ref="F381:J383"/>
  </mergeCells>
  <hyperlinks>
    <hyperlink ref="F42" r:id="rId1" xr:uid="{00000000-0004-0000-0000-000000000000}"/>
    <hyperlink ref="A43" r:id="rId2" xr:uid="{00000000-0004-0000-0000-000001000000}"/>
    <hyperlink ref="C30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Samaritan Hospital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3057239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120285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48556920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31166546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241891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2361476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1048129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24219394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31643791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293000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31936791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10642078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555844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69099999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3857273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314675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48711097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13131416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84513777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61798605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27783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0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27783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117982573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Samaritan Hospital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7549212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1407984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3597034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344669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24889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2323110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15246898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240697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3000101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3240798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4739090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1244279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1809689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7793058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2323110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5469948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94024929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94024929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117982573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Samaritan Hospital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136385624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256367319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392752943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4331658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254201457.99000001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2994726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-2170305.2000000002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259357536.79000002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133395406.20999998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111751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2692064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537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292516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1400414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4497282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137892688.20999998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69685697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20110729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10404415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18794873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627470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7576701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7475398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536151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1393749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0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314822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696988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-30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2893470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281371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795297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269711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1045555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141144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143043511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-5150822.7900000215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6245931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1095108.2099999785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1095108.2099999785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 r:id="rId1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Samaritan Hospital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3091</v>
      </c>
      <c r="D9" s="287">
        <f>data!D59</f>
        <v>0</v>
      </c>
      <c r="E9" s="287">
        <f>data!E59</f>
        <v>6001</v>
      </c>
      <c r="F9" s="287">
        <f>data!F59</f>
        <v>1653</v>
      </c>
      <c r="G9" s="287">
        <f>data!G59</f>
        <v>0</v>
      </c>
      <c r="H9" s="287">
        <f>data!H59</f>
        <v>0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28.787533653846165</v>
      </c>
      <c r="D10" s="294">
        <f>data!D60</f>
        <v>0</v>
      </c>
      <c r="E10" s="294">
        <f>data!E60</f>
        <v>36.954966346153867</v>
      </c>
      <c r="F10" s="294">
        <f>data!F60</f>
        <v>30.817923076923076</v>
      </c>
      <c r="G10" s="294">
        <f>data!G60</f>
        <v>0</v>
      </c>
      <c r="H10" s="294">
        <f>data!H60</f>
        <v>0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3444321</v>
      </c>
      <c r="D11" s="287">
        <f>data!D61</f>
        <v>0</v>
      </c>
      <c r="E11" s="287">
        <f>data!E61</f>
        <v>6060533</v>
      </c>
      <c r="F11" s="287">
        <f>data!F61</f>
        <v>4040120</v>
      </c>
      <c r="G11" s="287">
        <f>data!G61</f>
        <v>0</v>
      </c>
      <c r="H11" s="287">
        <f>data!H61</f>
        <v>0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994003</v>
      </c>
      <c r="D12" s="287">
        <f>data!D62</f>
        <v>0</v>
      </c>
      <c r="E12" s="287">
        <f>data!E62</f>
        <v>1749021</v>
      </c>
      <c r="F12" s="287">
        <f>data!F62</f>
        <v>1165946</v>
      </c>
      <c r="G12" s="287">
        <f>data!G62</f>
        <v>0</v>
      </c>
      <c r="H12" s="287">
        <f>data!H62</f>
        <v>0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2890888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297342</v>
      </c>
      <c r="D14" s="287">
        <f>data!D64</f>
        <v>0</v>
      </c>
      <c r="E14" s="287">
        <f>data!E64</f>
        <v>419567</v>
      </c>
      <c r="F14" s="287">
        <f>data!F64</f>
        <v>275655</v>
      </c>
      <c r="G14" s="287">
        <f>data!G64</f>
        <v>0</v>
      </c>
      <c r="H14" s="287">
        <f>data!H64</f>
        <v>0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4315</v>
      </c>
      <c r="D16" s="287">
        <f>data!D66</f>
        <v>0</v>
      </c>
      <c r="E16" s="287">
        <f>data!E66</f>
        <v>9505</v>
      </c>
      <c r="F16" s="287">
        <f>data!F66</f>
        <v>59070</v>
      </c>
      <c r="G16" s="287">
        <f>data!G66</f>
        <v>0</v>
      </c>
      <c r="H16" s="287">
        <f>data!H66</f>
        <v>0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0</v>
      </c>
      <c r="D17" s="287">
        <f>data!D67</f>
        <v>0</v>
      </c>
      <c r="E17" s="287">
        <f>data!E67</f>
        <v>650490</v>
      </c>
      <c r="F17" s="287">
        <f>data!F67</f>
        <v>412137</v>
      </c>
      <c r="G17" s="287">
        <f>data!G67</f>
        <v>0</v>
      </c>
      <c r="H17" s="287">
        <f>data!H67</f>
        <v>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9657</v>
      </c>
      <c r="D18" s="287">
        <f>data!D68</f>
        <v>0</v>
      </c>
      <c r="E18" s="287">
        <f>data!E68</f>
        <v>29316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329</v>
      </c>
      <c r="D19" s="287">
        <f>data!D69</f>
        <v>0</v>
      </c>
      <c r="E19" s="287">
        <f>data!E69</f>
        <v>2247</v>
      </c>
      <c r="F19" s="287">
        <f>data!F69</f>
        <v>6271</v>
      </c>
      <c r="G19" s="287">
        <f>data!G69</f>
        <v>0</v>
      </c>
      <c r="H19" s="287">
        <f>data!H69</f>
        <v>0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7640855</v>
      </c>
      <c r="D21" s="287">
        <f>data!D85</f>
        <v>0</v>
      </c>
      <c r="E21" s="287">
        <f>data!E85</f>
        <v>8920679</v>
      </c>
      <c r="F21" s="287">
        <f>data!F85</f>
        <v>5959199</v>
      </c>
      <c r="G21" s="287">
        <f>data!G85</f>
        <v>0</v>
      </c>
      <c r="H21" s="287">
        <f>data!H85</f>
        <v>0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>
        <f>+data!M668</f>
        <v>2043119</v>
      </c>
      <c r="D23" s="295">
        <f>+data!M669</f>
        <v>0</v>
      </c>
      <c r="E23" s="295">
        <f>+data!M670</f>
        <v>3922374</v>
      </c>
      <c r="F23" s="295">
        <f>+data!M671</f>
        <v>2431680</v>
      </c>
      <c r="G23" s="295">
        <f>+data!M672</f>
        <v>0</v>
      </c>
      <c r="H23" s="295">
        <f>+data!M673</f>
        <v>0</v>
      </c>
      <c r="I23" s="295">
        <f>+data!M674</f>
        <v>0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18273137</v>
      </c>
      <c r="D24" s="287">
        <f>data!D87</f>
        <v>0</v>
      </c>
      <c r="E24" s="287">
        <f>data!E87</f>
        <v>22107719</v>
      </c>
      <c r="F24" s="287">
        <f>data!F87</f>
        <v>8124455</v>
      </c>
      <c r="G24" s="287">
        <f>data!G87</f>
        <v>0</v>
      </c>
      <c r="H24" s="287">
        <f>data!H87</f>
        <v>0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1986776</v>
      </c>
      <c r="D25" s="287">
        <f>data!D88</f>
        <v>0</v>
      </c>
      <c r="E25" s="287">
        <f>data!E88</f>
        <v>4222598</v>
      </c>
      <c r="F25" s="287">
        <f>data!F88</f>
        <v>39976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20259913</v>
      </c>
      <c r="D26" s="287">
        <f>data!D89</f>
        <v>0</v>
      </c>
      <c r="E26" s="287">
        <f>data!E89</f>
        <v>26330317</v>
      </c>
      <c r="F26" s="287">
        <f>data!F89</f>
        <v>8164431</v>
      </c>
      <c r="G26" s="287">
        <f>data!G89</f>
        <v>0</v>
      </c>
      <c r="H26" s="287">
        <f>data!H89</f>
        <v>0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0</v>
      </c>
      <c r="D28" s="287">
        <f>data!D90</f>
        <v>0</v>
      </c>
      <c r="E28" s="287">
        <f>data!E90</f>
        <v>20629.739275922217</v>
      </c>
      <c r="F28" s="287">
        <f>data!F90</f>
        <v>13070.585634754789</v>
      </c>
      <c r="G28" s="287">
        <f>data!G90</f>
        <v>0</v>
      </c>
      <c r="H28" s="287">
        <f>data!H90</f>
        <v>0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24341.067893123087</v>
      </c>
      <c r="F29" s="287">
        <f>data!F91</f>
        <v>4680.40492529323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0</v>
      </c>
      <c r="D30" s="287">
        <f>data!D92</f>
        <v>0</v>
      </c>
      <c r="E30" s="287">
        <f>data!E92</f>
        <v>24534.993656250004</v>
      </c>
      <c r="F30" s="287">
        <f>data!F92</f>
        <v>15545.109431250003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0</v>
      </c>
      <c r="E31" s="287">
        <f>data!E93</f>
        <v>119889.13991798185</v>
      </c>
      <c r="F31" s="287">
        <f>data!F93</f>
        <v>88433.590300884272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15.3880384615385</v>
      </c>
      <c r="D32" s="294">
        <f>data!D94</f>
        <v>0</v>
      </c>
      <c r="E32" s="294">
        <f>data!E94</f>
        <v>17.899192307692303</v>
      </c>
      <c r="F32" s="294">
        <f>data!F94</f>
        <v>21.756942307692309</v>
      </c>
      <c r="G32" s="294">
        <f>data!G94</f>
        <v>0</v>
      </c>
      <c r="H32" s="294">
        <f>data!H94</f>
        <v>0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Samaritan Hospital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1431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985</v>
      </c>
      <c r="I41" s="287">
        <f>data!P59</f>
        <v>318948.00000000006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1.9038413461538459</v>
      </c>
      <c r="H42" s="294">
        <f>data!O60</f>
        <v>0</v>
      </c>
      <c r="I42" s="294">
        <f>data!P60</f>
        <v>18.137600961538464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112341</v>
      </c>
      <c r="H43" s="287">
        <f>data!O61</f>
        <v>0</v>
      </c>
      <c r="I43" s="287">
        <f>data!P61</f>
        <v>2537305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32421</v>
      </c>
      <c r="H44" s="287">
        <f>data!O62</f>
        <v>0</v>
      </c>
      <c r="I44" s="287">
        <f>data!P62</f>
        <v>732246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233977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0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56440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208729</v>
      </c>
      <c r="I46" s="287">
        <f>data!P64</f>
        <v>3084296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53164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319266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140035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15969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290417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144762</v>
      </c>
      <c r="H53" s="287">
        <f>data!O85</f>
        <v>208729</v>
      </c>
      <c r="I53" s="287">
        <f>data!P85</f>
        <v>6882281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>
        <f>+data!M675</f>
        <v>43974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25466</v>
      </c>
      <c r="H55" s="295">
        <f>+data!M680</f>
        <v>620740</v>
      </c>
      <c r="I55" s="295">
        <f>+data!M681</f>
        <v>3193902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563347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16965464</v>
      </c>
      <c r="I56" s="287">
        <f>data!P87</f>
        <v>7334413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9310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668658</v>
      </c>
      <c r="I57" s="287">
        <f>data!P88</f>
        <v>42592517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572657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17634122</v>
      </c>
      <c r="I58" s="287">
        <f>data!P89</f>
        <v>49926930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10125.24669726924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12042.020418750002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4033.743316200364</v>
      </c>
      <c r="H63" s="287">
        <f>data!O93</f>
        <v>0</v>
      </c>
      <c r="I63" s="287">
        <f>data!P93</f>
        <v>34089.946586245293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6.7102932692307649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Samaritan Hospital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116382.09999999999</v>
      </c>
      <c r="D73" s="295">
        <f>data!R59</f>
        <v>365574.99999999994</v>
      </c>
      <c r="E73" s="299"/>
      <c r="F73" s="299"/>
      <c r="G73" s="287">
        <f>data!U59</f>
        <v>287034</v>
      </c>
      <c r="H73" s="287">
        <f>data!V59</f>
        <v>1330</v>
      </c>
      <c r="I73" s="287">
        <f>data!W59</f>
        <v>2405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4.2236682692307701</v>
      </c>
      <c r="D74" s="294">
        <f>data!R60</f>
        <v>12.970499999999998</v>
      </c>
      <c r="E74" s="294">
        <f>data!S60</f>
        <v>5.8670624999999932</v>
      </c>
      <c r="F74" s="294">
        <f>data!T60</f>
        <v>0</v>
      </c>
      <c r="G74" s="294">
        <f>data!U60</f>
        <v>23.232947115384619</v>
      </c>
      <c r="H74" s="294">
        <f>data!V60</f>
        <v>0.220432692307692</v>
      </c>
      <c r="I74" s="294">
        <f>data!W60</f>
        <v>2.1628365384615345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536870</v>
      </c>
      <c r="D75" s="287">
        <f>data!R61</f>
        <v>3627011</v>
      </c>
      <c r="E75" s="287">
        <f>data!S61</f>
        <v>326124</v>
      </c>
      <c r="F75" s="287">
        <f>data!T61</f>
        <v>816</v>
      </c>
      <c r="G75" s="287">
        <f>data!U61</f>
        <v>2822452</v>
      </c>
      <c r="H75" s="287">
        <f>data!V61</f>
        <v>13639</v>
      </c>
      <c r="I75" s="287">
        <f>data!W61</f>
        <v>253102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154936</v>
      </c>
      <c r="D76" s="287">
        <f>data!R62</f>
        <v>1046726</v>
      </c>
      <c r="E76" s="287">
        <f>data!S62</f>
        <v>94117</v>
      </c>
      <c r="F76" s="287">
        <f>data!T62</f>
        <v>235</v>
      </c>
      <c r="G76" s="287">
        <f>data!U62</f>
        <v>814537</v>
      </c>
      <c r="H76" s="287">
        <f>data!V62</f>
        <v>3936</v>
      </c>
      <c r="I76" s="287">
        <f>data!W62</f>
        <v>73043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857860</v>
      </c>
      <c r="E77" s="287">
        <f>data!S63</f>
        <v>0</v>
      </c>
      <c r="F77" s="287">
        <f>data!T63</f>
        <v>0</v>
      </c>
      <c r="G77" s="287">
        <f>data!U63</f>
        <v>10926</v>
      </c>
      <c r="H77" s="287">
        <f>data!V63</f>
        <v>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51943</v>
      </c>
      <c r="D78" s="287">
        <f>data!R64</f>
        <v>308631</v>
      </c>
      <c r="E78" s="287">
        <f>data!S64</f>
        <v>3502039</v>
      </c>
      <c r="F78" s="287">
        <f>data!T64</f>
        <v>0</v>
      </c>
      <c r="G78" s="287">
        <f>data!U64</f>
        <v>2025187</v>
      </c>
      <c r="H78" s="287">
        <f>data!V64</f>
        <v>7466</v>
      </c>
      <c r="I78" s="287">
        <f>data!W64</f>
        <v>27223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1177</v>
      </c>
      <c r="D80" s="287">
        <f>data!R66</f>
        <v>15562</v>
      </c>
      <c r="E80" s="287">
        <f>data!S66</f>
        <v>98731</v>
      </c>
      <c r="F80" s="287">
        <f>data!T66</f>
        <v>0</v>
      </c>
      <c r="G80" s="287">
        <f>data!U66</f>
        <v>1473123</v>
      </c>
      <c r="H80" s="287">
        <f>data!V66</f>
        <v>36942</v>
      </c>
      <c r="I80" s="287">
        <f>data!W66</f>
        <v>28943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45363</v>
      </c>
      <c r="D81" s="287">
        <f>data!R67</f>
        <v>6044</v>
      </c>
      <c r="E81" s="287">
        <f>data!S67</f>
        <v>44161</v>
      </c>
      <c r="F81" s="287">
        <f>data!T67</f>
        <v>0</v>
      </c>
      <c r="G81" s="287">
        <f>data!U67</f>
        <v>105642</v>
      </c>
      <c r="H81" s="287">
        <f>data!V67</f>
        <v>0</v>
      </c>
      <c r="I81" s="287">
        <f>data!W67</f>
        <v>0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-108927</v>
      </c>
      <c r="F82" s="287">
        <f>data!T68</f>
        <v>0</v>
      </c>
      <c r="G82" s="287">
        <f>data!U68</f>
        <v>100480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0</v>
      </c>
      <c r="D83" s="287">
        <f>data!R69</f>
        <v>24301</v>
      </c>
      <c r="E83" s="287">
        <f>data!S69</f>
        <v>14861</v>
      </c>
      <c r="F83" s="287">
        <f>data!T69</f>
        <v>0</v>
      </c>
      <c r="G83" s="287">
        <f>data!U69</f>
        <v>3464</v>
      </c>
      <c r="H83" s="287">
        <f>data!V69</f>
        <v>0</v>
      </c>
      <c r="I83" s="287">
        <f>data!W69</f>
        <v>145341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790289</v>
      </c>
      <c r="D85" s="287">
        <f>data!R85</f>
        <v>5886135</v>
      </c>
      <c r="E85" s="287">
        <f>data!S85</f>
        <v>3971106</v>
      </c>
      <c r="F85" s="287">
        <f>data!T85</f>
        <v>1051</v>
      </c>
      <c r="G85" s="287">
        <f>data!U85</f>
        <v>7355811</v>
      </c>
      <c r="H85" s="287">
        <f>data!V85</f>
        <v>61983</v>
      </c>
      <c r="I85" s="287">
        <f>data!W85</f>
        <v>527652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>
        <f>+data!M682</f>
        <v>531516</v>
      </c>
      <c r="D87" s="295">
        <f>+data!M683</f>
        <v>1354822</v>
      </c>
      <c r="E87" s="295">
        <f>+data!M684</f>
        <v>931180</v>
      </c>
      <c r="F87" s="295">
        <f>+data!M685</f>
        <v>15617</v>
      </c>
      <c r="G87" s="295">
        <f>+data!M686</f>
        <v>2038681</v>
      </c>
      <c r="H87" s="295">
        <f>+data!M687</f>
        <v>15574</v>
      </c>
      <c r="I87" s="295">
        <f>+data!M688</f>
        <v>242788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1157124</v>
      </c>
      <c r="D88" s="287">
        <f>data!R87</f>
        <v>7523883</v>
      </c>
      <c r="E88" s="287">
        <f>data!S87</f>
        <v>1819359</v>
      </c>
      <c r="F88" s="287">
        <f>data!T87</f>
        <v>2440</v>
      </c>
      <c r="G88" s="287">
        <f>data!U87</f>
        <v>10725773</v>
      </c>
      <c r="H88" s="287">
        <f>data!V87</f>
        <v>32529</v>
      </c>
      <c r="I88" s="287">
        <f>data!W87</f>
        <v>760451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5409977</v>
      </c>
      <c r="D89" s="287">
        <f>data!R88</f>
        <v>16276502</v>
      </c>
      <c r="E89" s="287">
        <f>data!S88</f>
        <v>7608763</v>
      </c>
      <c r="F89" s="287">
        <f>data!T88</f>
        <v>460188</v>
      </c>
      <c r="G89" s="287">
        <f>data!U88</f>
        <v>20700626</v>
      </c>
      <c r="H89" s="287">
        <f>data!V88</f>
        <v>232743</v>
      </c>
      <c r="I89" s="287">
        <f>data!W88</f>
        <v>4782035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6567101</v>
      </c>
      <c r="D90" s="287">
        <f>data!R89</f>
        <v>23800385</v>
      </c>
      <c r="E90" s="287">
        <f>data!S89</f>
        <v>9428122</v>
      </c>
      <c r="F90" s="287">
        <f>data!T89</f>
        <v>462628</v>
      </c>
      <c r="G90" s="287">
        <f>data!U89</f>
        <v>31426399</v>
      </c>
      <c r="H90" s="287">
        <f>data!V89</f>
        <v>265272</v>
      </c>
      <c r="I90" s="287">
        <f>data!W89</f>
        <v>5542486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1438.6610065534719</v>
      </c>
      <c r="D92" s="287">
        <f>data!R90</f>
        <v>191.68405961242536</v>
      </c>
      <c r="E92" s="287">
        <f>data!S90</f>
        <v>1400.5303065230435</v>
      </c>
      <c r="F92" s="287">
        <f>data!T90</f>
        <v>0</v>
      </c>
      <c r="G92" s="287">
        <f>data!U90</f>
        <v>3350.3488053763162</v>
      </c>
      <c r="H92" s="287">
        <f>data!V90</f>
        <v>0</v>
      </c>
      <c r="I92" s="287">
        <f>data!W90</f>
        <v>0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1711.4328000000003</v>
      </c>
      <c r="D94" s="287">
        <f>data!R92</f>
        <v>228.51517500000003</v>
      </c>
      <c r="E94" s="287">
        <f>data!S92</f>
        <v>1665.2435625000001</v>
      </c>
      <c r="F94" s="287">
        <f>data!T92</f>
        <v>0</v>
      </c>
      <c r="G94" s="287">
        <f>data!U92</f>
        <v>3984.429487500001</v>
      </c>
      <c r="H94" s="287">
        <f>data!V92</f>
        <v>0</v>
      </c>
      <c r="I94" s="287">
        <f>data!W92</f>
        <v>0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7830.9574421600473</v>
      </c>
      <c r="D95" s="287">
        <f>data!R93</f>
        <v>0</v>
      </c>
      <c r="E95" s="287">
        <f>data!S93</f>
        <v>1484.3268944445163</v>
      </c>
      <c r="F95" s="287">
        <f>data!T93</f>
        <v>0</v>
      </c>
      <c r="G95" s="287">
        <f>data!U93</f>
        <v>563.70429769934879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4.2187403846153861</v>
      </c>
      <c r="D96" s="294">
        <f>data!R94</f>
        <v>0</v>
      </c>
      <c r="E96" s="294">
        <f>data!S94</f>
        <v>0</v>
      </c>
      <c r="F96" s="294">
        <f>data!T94</f>
        <v>0</v>
      </c>
      <c r="G96" s="294">
        <f>data!U94</f>
        <v>0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Samaritan Hospital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10550</v>
      </c>
      <c r="D105" s="287">
        <f>data!Y59</f>
        <v>36898</v>
      </c>
      <c r="E105" s="287">
        <f>data!Z59</f>
        <v>0</v>
      </c>
      <c r="F105" s="287">
        <f>data!AA59</f>
        <v>386</v>
      </c>
      <c r="G105" s="299"/>
      <c r="H105" s="287">
        <f>data!AC59</f>
        <v>14825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4.2288846153846116</v>
      </c>
      <c r="D106" s="294">
        <f>data!Y60</f>
        <v>24.499173076923071</v>
      </c>
      <c r="E106" s="294">
        <f>data!Z60</f>
        <v>0</v>
      </c>
      <c r="F106" s="294">
        <f>data!AA60</f>
        <v>1.2151394230769181</v>
      </c>
      <c r="G106" s="294">
        <f>data!AB60</f>
        <v>11.801370192307711</v>
      </c>
      <c r="H106" s="294">
        <f>data!AC60</f>
        <v>5.498038461538461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448929</v>
      </c>
      <c r="D107" s="287">
        <f>data!Y61</f>
        <v>2674070</v>
      </c>
      <c r="E107" s="287">
        <f>data!Z61</f>
        <v>0</v>
      </c>
      <c r="F107" s="287">
        <f>data!AA61</f>
        <v>160463</v>
      </c>
      <c r="G107" s="287">
        <f>data!AB61</f>
        <v>1413386</v>
      </c>
      <c r="H107" s="287">
        <f>data!AC61</f>
        <v>1521832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129557</v>
      </c>
      <c r="D108" s="287">
        <f>data!Y62</f>
        <v>771715</v>
      </c>
      <c r="E108" s="287">
        <f>data!Z62</f>
        <v>0</v>
      </c>
      <c r="F108" s="287">
        <f>data!AA62</f>
        <v>46308</v>
      </c>
      <c r="G108" s="287">
        <f>data!AB62</f>
        <v>407892</v>
      </c>
      <c r="H108" s="287">
        <f>data!AC62</f>
        <v>439188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46080</v>
      </c>
      <c r="E109" s="287">
        <f>data!Z63</f>
        <v>0</v>
      </c>
      <c r="F109" s="287">
        <f>data!AA63</f>
        <v>0</v>
      </c>
      <c r="G109" s="287">
        <f>data!AB63</f>
        <v>7500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198891</v>
      </c>
      <c r="D110" s="287">
        <f>data!Y64</f>
        <v>162320</v>
      </c>
      <c r="E110" s="287">
        <f>data!Z64</f>
        <v>0</v>
      </c>
      <c r="F110" s="287">
        <f>data!AA64</f>
        <v>186905</v>
      </c>
      <c r="G110" s="287">
        <f>data!AB64</f>
        <v>4443064</v>
      </c>
      <c r="H110" s="287">
        <f>data!AC64</f>
        <v>87011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96007</v>
      </c>
      <c r="D112" s="287">
        <f>data!Y66</f>
        <v>689606</v>
      </c>
      <c r="E112" s="287">
        <f>data!Z66</f>
        <v>0</v>
      </c>
      <c r="F112" s="287">
        <f>data!AA66</f>
        <v>84930</v>
      </c>
      <c r="G112" s="287">
        <f>data!AB66</f>
        <v>410909</v>
      </c>
      <c r="H112" s="287">
        <f>data!AC66</f>
        <v>13657</v>
      </c>
      <c r="I112" s="287">
        <f>data!AD66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0</v>
      </c>
      <c r="D113" s="287">
        <f>data!Y67</f>
        <v>216126</v>
      </c>
      <c r="E113" s="287">
        <f>data!Z67</f>
        <v>0</v>
      </c>
      <c r="F113" s="287">
        <f>data!AA67</f>
        <v>0</v>
      </c>
      <c r="G113" s="287">
        <f>data!AB67</f>
        <v>53650</v>
      </c>
      <c r="H113" s="287">
        <f>data!AC67</f>
        <v>26939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0</v>
      </c>
      <c r="E114" s="287">
        <f>data!Z68</f>
        <v>0</v>
      </c>
      <c r="F114" s="287">
        <f>data!AA68</f>
        <v>0</v>
      </c>
      <c r="G114" s="287">
        <f>data!AB68</f>
        <v>200941</v>
      </c>
      <c r="H114" s="287">
        <f>data!AC68</f>
        <v>0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1250</v>
      </c>
      <c r="D115" s="287">
        <f>data!Y69</f>
        <v>9946</v>
      </c>
      <c r="E115" s="287">
        <f>data!Z69</f>
        <v>0</v>
      </c>
      <c r="F115" s="287">
        <f>data!AA69</f>
        <v>9260</v>
      </c>
      <c r="G115" s="287">
        <f>data!AB69</f>
        <v>14457</v>
      </c>
      <c r="H115" s="287">
        <f>data!AC69</f>
        <v>2110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874634</v>
      </c>
      <c r="D117" s="287">
        <f>data!Y85</f>
        <v>4569863</v>
      </c>
      <c r="E117" s="287">
        <f>data!Z85</f>
        <v>0</v>
      </c>
      <c r="F117" s="287">
        <f>data!AA85</f>
        <v>487866</v>
      </c>
      <c r="G117" s="287">
        <f>data!AB85</f>
        <v>6951799</v>
      </c>
      <c r="H117" s="287">
        <f>data!AC85</f>
        <v>2090737</v>
      </c>
      <c r="I117" s="287">
        <f>data!AD85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>
        <f>+data!M689</f>
        <v>1127722</v>
      </c>
      <c r="D119" s="295">
        <f>+data!M690</f>
        <v>1622707</v>
      </c>
      <c r="E119" s="295">
        <f>+data!M691</f>
        <v>0</v>
      </c>
      <c r="F119" s="295">
        <f>+data!M692</f>
        <v>86874</v>
      </c>
      <c r="G119" s="295">
        <f>+data!M693</f>
        <v>2009381</v>
      </c>
      <c r="H119" s="295">
        <f>+data!M694</f>
        <v>487128</v>
      </c>
      <c r="I119" s="295">
        <f>+data!M695</f>
        <v>0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6583112</v>
      </c>
      <c r="D120" s="287">
        <f>data!Y87</f>
        <v>3003944</v>
      </c>
      <c r="E120" s="287">
        <f>data!Z87</f>
        <v>0</v>
      </c>
      <c r="F120" s="287">
        <f>data!AA87</f>
        <v>80630</v>
      </c>
      <c r="G120" s="287">
        <f>data!AB87</f>
        <v>13875183</v>
      </c>
      <c r="H120" s="287">
        <f>data!AC87</f>
        <v>6326690</v>
      </c>
      <c r="I120" s="287">
        <f>data!AD87</f>
        <v>0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23716737</v>
      </c>
      <c r="D121" s="287">
        <f>data!Y88</f>
        <v>20768533</v>
      </c>
      <c r="E121" s="287">
        <f>data!Z88</f>
        <v>0</v>
      </c>
      <c r="F121" s="287">
        <f>data!AA88</f>
        <v>818686</v>
      </c>
      <c r="G121" s="287">
        <f>data!AB88</f>
        <v>17697143</v>
      </c>
      <c r="H121" s="287">
        <f>data!AC88</f>
        <v>1147209</v>
      </c>
      <c r="I121" s="287">
        <f>data!AD88</f>
        <v>0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30299849</v>
      </c>
      <c r="D122" s="287">
        <f>data!Y89</f>
        <v>23772477</v>
      </c>
      <c r="E122" s="287">
        <f>data!Z89</f>
        <v>0</v>
      </c>
      <c r="F122" s="287">
        <f>data!AA89</f>
        <v>899316</v>
      </c>
      <c r="G122" s="287">
        <f>data!AB89</f>
        <v>31572326</v>
      </c>
      <c r="H122" s="287">
        <f>data!AC89</f>
        <v>7473899</v>
      </c>
      <c r="I122" s="287">
        <f>data!AD89</f>
        <v>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0</v>
      </c>
      <c r="D124" s="287">
        <f>data!Y90</f>
        <v>6854.2509703346286</v>
      </c>
      <c r="E124" s="287">
        <f>data!Z90</f>
        <v>0</v>
      </c>
      <c r="F124" s="287">
        <f>data!AA90</f>
        <v>0</v>
      </c>
      <c r="G124" s="287">
        <f>data!AB90</f>
        <v>1701.4536689253455</v>
      </c>
      <c r="H124" s="287">
        <f>data!AC90</f>
        <v>854.33379257365925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0</v>
      </c>
      <c r="D126" s="287">
        <f>data!Y92</f>
        <v>8151.1849125000017</v>
      </c>
      <c r="E126" s="287">
        <f>data!Z92</f>
        <v>0</v>
      </c>
      <c r="F126" s="287">
        <f>data!AA92</f>
        <v>0</v>
      </c>
      <c r="G126" s="287">
        <f>data!AB92</f>
        <v>2023.8179062500003</v>
      </c>
      <c r="H126" s="287">
        <f>data!AC92</f>
        <v>1016.1632250000001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12776.825300366392</v>
      </c>
      <c r="D127" s="287">
        <f>data!Y93</f>
        <v>24715.175866466423</v>
      </c>
      <c r="E127" s="287">
        <f>data!Z93</f>
        <v>0</v>
      </c>
      <c r="F127" s="287">
        <f>data!AA93</f>
        <v>820.06228233146476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0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Samaritan Hospital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14825</v>
      </c>
      <c r="D137" s="287">
        <f>data!AF59</f>
        <v>0</v>
      </c>
      <c r="E137" s="287">
        <f>data!AG59</f>
        <v>24304</v>
      </c>
      <c r="F137" s="287">
        <f>data!AH59</f>
        <v>0</v>
      </c>
      <c r="G137" s="287">
        <f>data!AI59</f>
        <v>9969</v>
      </c>
      <c r="H137" s="287">
        <f>data!AJ59</f>
        <v>68346</v>
      </c>
      <c r="I137" s="287">
        <f>data!AK59</f>
        <v>9790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5.6561057692307699</v>
      </c>
      <c r="D138" s="294">
        <f>data!AF60</f>
        <v>0</v>
      </c>
      <c r="E138" s="294">
        <f>data!AG60</f>
        <v>29.72177884615386</v>
      </c>
      <c r="F138" s="294">
        <f>data!AH60</f>
        <v>2.3440913461538475</v>
      </c>
      <c r="G138" s="294">
        <f>data!AI60</f>
        <v>9.4271971153846206</v>
      </c>
      <c r="H138" s="294">
        <f>data!AJ60</f>
        <v>117.26100961538464</v>
      </c>
      <c r="I138" s="294">
        <f>data!AK60</f>
        <v>14.194461538461539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684674</v>
      </c>
      <c r="D139" s="287">
        <f>data!AF61</f>
        <v>0</v>
      </c>
      <c r="E139" s="287">
        <f>data!AG61</f>
        <v>3954214</v>
      </c>
      <c r="F139" s="287">
        <f>data!AH61</f>
        <v>89324</v>
      </c>
      <c r="G139" s="287">
        <f>data!AI61</f>
        <v>962644</v>
      </c>
      <c r="H139" s="287">
        <f>data!AJ61</f>
        <v>15703754</v>
      </c>
      <c r="I139" s="287">
        <f>data!AK61</f>
        <v>1968909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197591</v>
      </c>
      <c r="D140" s="287">
        <f>data!AF62</f>
        <v>0</v>
      </c>
      <c r="E140" s="287">
        <f>data!AG62</f>
        <v>1141154</v>
      </c>
      <c r="F140" s="287">
        <f>data!AH62</f>
        <v>25778</v>
      </c>
      <c r="G140" s="287">
        <f>data!AI62</f>
        <v>277811</v>
      </c>
      <c r="H140" s="287">
        <f>data!AJ62</f>
        <v>4531976</v>
      </c>
      <c r="I140" s="287">
        <f>data!AK62</f>
        <v>568211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3761429</v>
      </c>
      <c r="F141" s="287">
        <f>data!AH63</f>
        <v>23902</v>
      </c>
      <c r="G141" s="287">
        <f>data!AI63</f>
        <v>0</v>
      </c>
      <c r="H141" s="287">
        <f>data!AJ63</f>
        <v>383849</v>
      </c>
      <c r="I141" s="287">
        <f>data!AK63</f>
        <v>760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25846</v>
      </c>
      <c r="D142" s="287">
        <f>data!AF64</f>
        <v>0</v>
      </c>
      <c r="E142" s="287">
        <f>data!AG64</f>
        <v>729281</v>
      </c>
      <c r="F142" s="287">
        <f>data!AH64</f>
        <v>53371</v>
      </c>
      <c r="G142" s="287">
        <f>data!AI64</f>
        <v>217253</v>
      </c>
      <c r="H142" s="287">
        <f>data!AJ64</f>
        <v>1092609</v>
      </c>
      <c r="I142" s="287">
        <f>data!AK64</f>
        <v>9572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0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48928</v>
      </c>
      <c r="D144" s="287">
        <f>data!AF66</f>
        <v>0</v>
      </c>
      <c r="E144" s="287">
        <f>data!AG66</f>
        <v>6128</v>
      </c>
      <c r="F144" s="287">
        <f>data!AH66</f>
        <v>13878</v>
      </c>
      <c r="G144" s="287">
        <f>data!AI66</f>
        <v>1836</v>
      </c>
      <c r="H144" s="287">
        <f>data!AJ66</f>
        <v>183337</v>
      </c>
      <c r="I144" s="287">
        <f>data!AK66</f>
        <v>2619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66258</v>
      </c>
      <c r="D145" s="287">
        <f>data!AF67</f>
        <v>0</v>
      </c>
      <c r="E145" s="287">
        <f>data!AG67</f>
        <v>177814</v>
      </c>
      <c r="F145" s="287">
        <f>data!AH67</f>
        <v>0</v>
      </c>
      <c r="G145" s="287">
        <f>data!AI67</f>
        <v>126081</v>
      </c>
      <c r="H145" s="287">
        <f>data!AJ67</f>
        <v>2197035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0</v>
      </c>
      <c r="E146" s="287">
        <f>data!AG68</f>
        <v>240</v>
      </c>
      <c r="F146" s="287">
        <f>data!AH68</f>
        <v>508</v>
      </c>
      <c r="G146" s="287">
        <f>data!AI68</f>
        <v>0</v>
      </c>
      <c r="H146" s="287">
        <f>data!AJ68</f>
        <v>-27389</v>
      </c>
      <c r="I146" s="287">
        <f>data!AK68</f>
        <v>89838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10558</v>
      </c>
      <c r="D147" s="287">
        <f>data!AF69</f>
        <v>0</v>
      </c>
      <c r="E147" s="287">
        <f>data!AG69</f>
        <v>42567</v>
      </c>
      <c r="F147" s="287">
        <f>data!AH69</f>
        <v>257</v>
      </c>
      <c r="G147" s="287">
        <f>data!AI69</f>
        <v>1112</v>
      </c>
      <c r="H147" s="287">
        <f>data!AJ69</f>
        <v>364492</v>
      </c>
      <c r="I147" s="287">
        <f>data!AK69</f>
        <v>25998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1033855</v>
      </c>
      <c r="D149" s="287">
        <f>data!AF85</f>
        <v>0</v>
      </c>
      <c r="E149" s="287">
        <f>data!AG85</f>
        <v>9812827</v>
      </c>
      <c r="F149" s="287">
        <f>data!AH85</f>
        <v>207018</v>
      </c>
      <c r="G149" s="287">
        <f>data!AI85</f>
        <v>1586737</v>
      </c>
      <c r="H149" s="287">
        <f>data!AJ85</f>
        <v>24429663</v>
      </c>
      <c r="I149" s="287">
        <f>data!AK85</f>
        <v>2665907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>
        <f>+data!M696</f>
        <v>320377</v>
      </c>
      <c r="D151" s="295">
        <f>+data!M697</f>
        <v>0</v>
      </c>
      <c r="E151" s="295" t="e">
        <f>+data!M698</f>
        <v>#REF!</v>
      </c>
      <c r="F151" s="295">
        <f>+data!M699</f>
        <v>36235</v>
      </c>
      <c r="G151" s="295" t="e">
        <f>+data!M700</f>
        <v>#REF!</v>
      </c>
      <c r="H151" s="295">
        <f>+data!M701</f>
        <v>6885535</v>
      </c>
      <c r="I151" s="295">
        <f>+data!M702</f>
        <v>399932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964704</v>
      </c>
      <c r="D152" s="287">
        <f>data!AF87</f>
        <v>0</v>
      </c>
      <c r="E152" s="287">
        <f>data!AG87</f>
        <v>7746686</v>
      </c>
      <c r="F152" s="287">
        <f>data!AH87</f>
        <v>0</v>
      </c>
      <c r="G152" s="287">
        <f>data!AI87</f>
        <v>84292</v>
      </c>
      <c r="H152" s="287">
        <f>data!AJ87</f>
        <v>2097935</v>
      </c>
      <c r="I152" s="287">
        <f>data!AK87</f>
        <v>0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2336077</v>
      </c>
      <c r="D153" s="287">
        <f>data!AF88</f>
        <v>0</v>
      </c>
      <c r="E153" s="287">
        <f>data!AG88</f>
        <v>48715122</v>
      </c>
      <c r="F153" s="287">
        <f>data!AH88</f>
        <v>0</v>
      </c>
      <c r="G153" s="287">
        <f>data!AI88</f>
        <v>8701135</v>
      </c>
      <c r="H153" s="287">
        <f>data!AJ88</f>
        <v>20982928</v>
      </c>
      <c r="I153" s="287">
        <f>data!AK88</f>
        <v>2643533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3300781</v>
      </c>
      <c r="D154" s="287">
        <f>data!AF89</f>
        <v>0</v>
      </c>
      <c r="E154" s="287">
        <f>data!AG89</f>
        <v>56461808</v>
      </c>
      <c r="F154" s="287">
        <f>data!AH89</f>
        <v>0</v>
      </c>
      <c r="G154" s="287">
        <f>data!AI89</f>
        <v>8785427</v>
      </c>
      <c r="H154" s="287">
        <f>data!AJ89</f>
        <v>23080863</v>
      </c>
      <c r="I154" s="287">
        <f>data!AK89</f>
        <v>2643533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2101.3107395147063</v>
      </c>
      <c r="D156" s="287">
        <f>data!AF90</f>
        <v>0</v>
      </c>
      <c r="E156" s="287">
        <f>data!AG90</f>
        <v>5639.2213666623193</v>
      </c>
      <c r="F156" s="287">
        <f>data!AH90</f>
        <v>0</v>
      </c>
      <c r="G156" s="287">
        <f>data!AI90</f>
        <v>3998.570705893605</v>
      </c>
      <c r="H156" s="287">
        <f>data!AJ90</f>
        <v>69677.155669116619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 t="e">
        <f>data!#REF!</f>
        <v>#REF!</v>
      </c>
      <c r="F157" s="287">
        <f>data!AH91</f>
        <v>0</v>
      </c>
      <c r="G157" s="287" t="e">
        <f>data!#REF!</f>
        <v>#REF!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2499.0808500000003</v>
      </c>
      <c r="D158" s="287">
        <f>data!AF92</f>
        <v>0</v>
      </c>
      <c r="E158" s="287">
        <f>data!AG91</f>
        <v>1204.1674697036065</v>
      </c>
      <c r="F158" s="287">
        <f>data!AH92</f>
        <v>0</v>
      </c>
      <c r="G158" s="287">
        <f>data!AI91</f>
        <v>207.35971188007983</v>
      </c>
      <c r="H158" s="287">
        <f>data!AJ92</f>
        <v>82865.923087500021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604.77822893874861</v>
      </c>
      <c r="D159" s="287">
        <f>data!AF93</f>
        <v>0</v>
      </c>
      <c r="E159" s="287">
        <f>data!AG93</f>
        <v>121100.11271831591</v>
      </c>
      <c r="F159" s="287">
        <f>data!AH93</f>
        <v>0</v>
      </c>
      <c r="G159" s="287">
        <f>data!AI93</f>
        <v>21245.136847965401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19.527028846153854</v>
      </c>
      <c r="F160" s="294">
        <f>data!AH94</f>
        <v>0</v>
      </c>
      <c r="G160" s="294">
        <f>data!AI94</f>
        <v>7.6250144230769239</v>
      </c>
      <c r="H160" s="294">
        <f>data!AJ94</f>
        <v>10.905014423076929</v>
      </c>
      <c r="I160" s="294">
        <f>data!AK94</f>
        <v>0.22846634615384592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Samaritan Hospital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1150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6745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0.62068749999999973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9.976274038461538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74342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1259016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21455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363342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261097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349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43665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-1539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58463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600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19977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95207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2005560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>
        <f>+data!M703</f>
        <v>19651</v>
      </c>
      <c r="D183" s="295">
        <f>+data!M704</f>
        <v>0</v>
      </c>
      <c r="E183" s="295">
        <f>+data!M705</f>
        <v>0</v>
      </c>
      <c r="F183" s="295">
        <f>+data!M706</f>
        <v>0</v>
      </c>
      <c r="G183" s="295">
        <f>+data!M707</f>
        <v>313055</v>
      </c>
      <c r="H183" s="295">
        <f>+data!M708</f>
        <v>0</v>
      </c>
      <c r="I183" s="295">
        <f>+data!M709</f>
        <v>0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79984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150674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157513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1846503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237497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1997177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0.57626442307692316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Samaritan Hospital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30433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3.0749711538461533</v>
      </c>
      <c r="G202" s="294">
        <f>data!AW60</f>
        <v>0</v>
      </c>
      <c r="H202" s="294">
        <f>data!AX60</f>
        <v>0</v>
      </c>
      <c r="I202" s="294">
        <f>data!AY60</f>
        <v>19.406514423076938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163532</v>
      </c>
      <c r="G203" s="287">
        <f>data!AW61</f>
        <v>0</v>
      </c>
      <c r="H203" s="287">
        <f>data!AX61</f>
        <v>0</v>
      </c>
      <c r="I203" s="287">
        <f>data!AY61</f>
        <v>975378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47194</v>
      </c>
      <c r="G204" s="287">
        <f>data!AW62</f>
        <v>0</v>
      </c>
      <c r="H204" s="287">
        <f>data!AX62</f>
        <v>0</v>
      </c>
      <c r="I204" s="287">
        <f>data!AY62</f>
        <v>281486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6722</v>
      </c>
      <c r="G206" s="287">
        <f>data!AW64</f>
        <v>0</v>
      </c>
      <c r="H206" s="287">
        <f>data!AX64</f>
        <v>0</v>
      </c>
      <c r="I206" s="287">
        <f>data!AY64</f>
        <v>568527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1122</v>
      </c>
      <c r="G208" s="287">
        <f>data!AW66</f>
        <v>0</v>
      </c>
      <c r="H208" s="287">
        <f>data!AX66</f>
        <v>0</v>
      </c>
      <c r="I208" s="287">
        <f>data!AY66</f>
        <v>39746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239587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1860</v>
      </c>
      <c r="G211" s="287">
        <f>data!AW69</f>
        <v>0</v>
      </c>
      <c r="H211" s="287">
        <f>data!AX69</f>
        <v>0</v>
      </c>
      <c r="I211" s="287">
        <f>data!AY69</f>
        <v>1709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0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220430</v>
      </c>
      <c r="G213" s="287">
        <f>data!AW85</f>
        <v>0</v>
      </c>
      <c r="H213" s="287">
        <f>data!AX85</f>
        <v>0</v>
      </c>
      <c r="I213" s="287">
        <f>data!AY85</f>
        <v>2106433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101871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1696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1845531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1847227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7598.3149006581289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>
        <f>IF(data!AY78&gt;0,data!AY78,"")</f>
        <v>339</v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Samaritan Hospital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82996</v>
      </c>
      <c r="D233" s="287">
        <f>data!BA59</f>
        <v>0</v>
      </c>
      <c r="E233" s="299"/>
      <c r="F233" s="299"/>
      <c r="G233" s="299"/>
      <c r="H233" s="287">
        <f>data!BE59</f>
        <v>237076.0816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0</v>
      </c>
      <c r="E234" s="294">
        <f>data!BB60</f>
        <v>5.2821250000000006</v>
      </c>
      <c r="F234" s="294">
        <f>data!BC60</f>
        <v>0</v>
      </c>
      <c r="G234" s="294">
        <f>data!BD60</f>
        <v>6.6495913461538461</v>
      </c>
      <c r="H234" s="294">
        <f>data!BE60</f>
        <v>23.603581730769239</v>
      </c>
      <c r="I234" s="294">
        <f>data!BF60</f>
        <v>28.919293269230778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0</v>
      </c>
      <c r="E235" s="287">
        <f>data!BB61</f>
        <v>535874</v>
      </c>
      <c r="F235" s="287">
        <f>data!BC61</f>
        <v>0</v>
      </c>
      <c r="G235" s="287">
        <f>data!BD61</f>
        <v>330290</v>
      </c>
      <c r="H235" s="287">
        <f>data!BE61</f>
        <v>1549555</v>
      </c>
      <c r="I235" s="287">
        <f>data!BF61</f>
        <v>1270495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0</v>
      </c>
      <c r="E236" s="287">
        <f>data!BB62</f>
        <v>154649</v>
      </c>
      <c r="F236" s="287">
        <f>data!BC62</f>
        <v>0</v>
      </c>
      <c r="G236" s="287">
        <f>data!BD62</f>
        <v>95319</v>
      </c>
      <c r="H236" s="287">
        <f>data!BE62</f>
        <v>447189</v>
      </c>
      <c r="I236" s="287">
        <f>data!BF62</f>
        <v>366655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4973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0</v>
      </c>
      <c r="E238" s="287">
        <f>data!BB64</f>
        <v>2158</v>
      </c>
      <c r="F238" s="287">
        <f>data!BC64</f>
        <v>0</v>
      </c>
      <c r="G238" s="287">
        <f>data!BD64</f>
        <v>103735</v>
      </c>
      <c r="H238" s="287">
        <f>data!BE64</f>
        <v>9727</v>
      </c>
      <c r="I238" s="287">
        <f>data!BF64</f>
        <v>266100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337722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0</v>
      </c>
      <c r="E240" s="287">
        <f>data!BB66</f>
        <v>140515</v>
      </c>
      <c r="F240" s="287">
        <f>data!BC66</f>
        <v>0</v>
      </c>
      <c r="G240" s="287">
        <f>data!BD66</f>
        <v>245687</v>
      </c>
      <c r="H240" s="287">
        <f>data!BE66</f>
        <v>36150</v>
      </c>
      <c r="I240" s="287">
        <f>data!BF66</f>
        <v>914724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21349</v>
      </c>
      <c r="E241" s="287">
        <f>data!BB67</f>
        <v>19010</v>
      </c>
      <c r="F241" s="287">
        <f>data!BC67</f>
        <v>0</v>
      </c>
      <c r="G241" s="287">
        <f>data!BD67</f>
        <v>152760</v>
      </c>
      <c r="H241" s="287">
        <f>data!BE67</f>
        <v>796296</v>
      </c>
      <c r="I241" s="287">
        <f>data!BF67</f>
        <v>111199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33706</v>
      </c>
      <c r="H242" s="287">
        <f>data!BE68</f>
        <v>33741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586</v>
      </c>
      <c r="F243" s="287">
        <f>data!BC69</f>
        <v>0</v>
      </c>
      <c r="G243" s="287">
        <f>data!BD69</f>
        <v>34997</v>
      </c>
      <c r="H243" s="287">
        <f>data!BE69</f>
        <v>940161</v>
      </c>
      <c r="I243" s="287">
        <f>data!BF69</f>
        <v>2430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0</v>
      </c>
      <c r="D245" s="287">
        <f>data!BA85</f>
        <v>21349</v>
      </c>
      <c r="E245" s="287">
        <f>data!BB85</f>
        <v>852792</v>
      </c>
      <c r="F245" s="287">
        <f>data!BC85</f>
        <v>0</v>
      </c>
      <c r="G245" s="287">
        <f>data!BD85</f>
        <v>996494</v>
      </c>
      <c r="H245" s="287">
        <f>data!BE85</f>
        <v>4155514</v>
      </c>
      <c r="I245" s="287">
        <f>data!BF85</f>
        <v>2931603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0</v>
      </c>
      <c r="D252" s="303">
        <f>data!BA90</f>
        <v>677.07756540517983</v>
      </c>
      <c r="E252" s="303">
        <f>data!BB90</f>
        <v>602.87728426488616</v>
      </c>
      <c r="F252" s="303">
        <f>data!BC90</f>
        <v>0</v>
      </c>
      <c r="G252" s="303">
        <f>data!BD90</f>
        <v>4844.6600227850086</v>
      </c>
      <c r="H252" s="303">
        <f>data!BE90</f>
        <v>25253.859574206897</v>
      </c>
      <c r="I252" s="303">
        <f>data!BF90</f>
        <v>3526.574473084514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82996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>
        <f>IF(data!BE77&gt;0,data!BE77,"")</f>
        <v>926705</v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766.34775000000002</v>
      </c>
      <c r="E254" s="303">
        <f>data!BB92</f>
        <v>682.99875000000009</v>
      </c>
      <c r="F254" s="303">
        <f>data!BC92</f>
        <v>0</v>
      </c>
      <c r="G254" s="302" t="str">
        <f>IF(data!BD78&gt;0,data!BD78,"")</f>
        <v/>
      </c>
      <c r="H254" s="302">
        <f>IF(data!BE78&gt;0,data!BE78,"")</f>
        <v>275</v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>
        <f>IF(data!BB80&gt;0,data!BB80,"")</f>
        <v>586</v>
      </c>
      <c r="F256" s="302" t="str">
        <f>IF(data!BC80&gt;0,data!BC80,"")</f>
        <v/>
      </c>
      <c r="G256" s="302" t="str">
        <f>IF(data!BD80&gt;0,data!BD80,"")</f>
        <v/>
      </c>
      <c r="H256" s="302">
        <f>IF(data!BE80&gt;0,data!BE80,"")</f>
        <v>13097</v>
      </c>
      <c r="I256" s="302">
        <f>IF(data!BF80&gt;0,data!BF80,"")</f>
        <v>92</v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Samaritan Hospital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</v>
      </c>
      <c r="D266" s="294">
        <f>data!BH60</f>
        <v>6.828961538461531</v>
      </c>
      <c r="E266" s="294">
        <f>data!BI60</f>
        <v>0</v>
      </c>
      <c r="F266" s="294">
        <f>data!BJ60</f>
        <v>7.960350961538464</v>
      </c>
      <c r="G266" s="294">
        <f>data!BK60</f>
        <v>29.015418269230771</v>
      </c>
      <c r="H266" s="294">
        <f>data!BL60</f>
        <v>17.692091346153841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616208</v>
      </c>
      <c r="E267" s="287">
        <f>data!BI61</f>
        <v>0</v>
      </c>
      <c r="F267" s="287">
        <f>data!BJ61</f>
        <v>656621</v>
      </c>
      <c r="G267" s="287">
        <f>data!BK61</f>
        <v>1664954</v>
      </c>
      <c r="H267" s="287">
        <f>data!BL61</f>
        <v>794063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177833</v>
      </c>
      <c r="E268" s="287">
        <f>data!BI62</f>
        <v>0</v>
      </c>
      <c r="F268" s="287">
        <f>data!BJ62</f>
        <v>189496</v>
      </c>
      <c r="G268" s="287">
        <f>data!BK62</f>
        <v>480492</v>
      </c>
      <c r="H268" s="287">
        <f>data!BL62</f>
        <v>229160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32554</v>
      </c>
      <c r="E269" s="287">
        <f>data!BI63</f>
        <v>0</v>
      </c>
      <c r="F269" s="287">
        <f>data!BJ63</f>
        <v>78924</v>
      </c>
      <c r="G269" s="287">
        <f>data!BK63</f>
        <v>517337</v>
      </c>
      <c r="H269" s="287">
        <f>data!BL63</f>
        <v>0</v>
      </c>
      <c r="I269" s="287">
        <f>data!BM63</f>
        <v>39158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0</v>
      </c>
      <c r="D270" s="287">
        <f>data!BH64</f>
        <v>14066</v>
      </c>
      <c r="E270" s="287">
        <f>data!BI64</f>
        <v>0</v>
      </c>
      <c r="F270" s="287">
        <f>data!BJ64</f>
        <v>2268</v>
      </c>
      <c r="G270" s="287">
        <f>data!BK64</f>
        <v>11637</v>
      </c>
      <c r="H270" s="287">
        <f>data!BL64</f>
        <v>14804</v>
      </c>
      <c r="I270" s="287">
        <f>data!BM64</f>
        <v>3447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160345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0</v>
      </c>
      <c r="D272" s="287">
        <f>data!BH66</f>
        <v>1089036</v>
      </c>
      <c r="E272" s="287">
        <f>data!BI66</f>
        <v>0</v>
      </c>
      <c r="F272" s="287">
        <f>data!BJ66</f>
        <v>144887</v>
      </c>
      <c r="G272" s="287">
        <f>data!BK66</f>
        <v>33106</v>
      </c>
      <c r="H272" s="287">
        <f>data!BL66</f>
        <v>2259</v>
      </c>
      <c r="I272" s="287">
        <f>data!BM66</f>
        <v>4583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115488</v>
      </c>
      <c r="E273" s="287">
        <f>data!BI67</f>
        <v>0</v>
      </c>
      <c r="F273" s="287">
        <f>data!BJ67</f>
        <v>47248</v>
      </c>
      <c r="G273" s="287">
        <f>data!BK67</f>
        <v>60701</v>
      </c>
      <c r="H273" s="287">
        <f>data!BL67</f>
        <v>43121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11044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1806655</v>
      </c>
      <c r="E275" s="287">
        <f>data!BI69</f>
        <v>0</v>
      </c>
      <c r="F275" s="287">
        <f>data!BJ69</f>
        <v>1084</v>
      </c>
      <c r="G275" s="287">
        <f>data!BK69</f>
        <v>8242</v>
      </c>
      <c r="H275" s="287">
        <f>data!BL69</f>
        <v>2153</v>
      </c>
      <c r="I275" s="287">
        <f>data!BM69</f>
        <v>16690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0</v>
      </c>
      <c r="D277" s="287">
        <f>data!BH85</f>
        <v>4012185</v>
      </c>
      <c r="E277" s="287">
        <f>data!BI85</f>
        <v>0</v>
      </c>
      <c r="F277" s="287">
        <f>data!BJ85</f>
        <v>1120528</v>
      </c>
      <c r="G277" s="287">
        <f>data!BK85</f>
        <v>2787513</v>
      </c>
      <c r="H277" s="287">
        <f>data!BL85</f>
        <v>1085560</v>
      </c>
      <c r="I277" s="287">
        <f>data!BM85</f>
        <v>63878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0</v>
      </c>
      <c r="D284" s="303">
        <f>data!BH90</f>
        <v>3662.6083218417189</v>
      </c>
      <c r="E284" s="303">
        <f>data!BI90</f>
        <v>0</v>
      </c>
      <c r="F284" s="303">
        <f>data!BJ90</f>
        <v>1498.4334552498196</v>
      </c>
      <c r="G284" s="303">
        <f>data!BK90</f>
        <v>1925.0850718065078</v>
      </c>
      <c r="H284" s="303">
        <f>data!BL90</f>
        <v>1367.5524037940238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4148.9280000000008</v>
      </c>
      <c r="E286" s="303">
        <f>data!BI92</f>
        <v>0</v>
      </c>
      <c r="F286" s="302">
        <f>IF(data!BJ78&gt;0,data!BJ78,"")</f>
        <v>219</v>
      </c>
      <c r="G286" s="303">
        <f>data!BK92</f>
        <v>2180.9655000000002</v>
      </c>
      <c r="H286" s="303">
        <f>data!BL92</f>
        <v>1548.9022500000003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>
        <f>IF(data!BJ80&gt;0,data!BJ80,"")</f>
        <v>865</v>
      </c>
      <c r="G288" s="302">
        <f>IF(data!BK80&gt;0,data!BK80,"")</f>
        <v>9146</v>
      </c>
      <c r="H288" s="302">
        <f>IF(data!BL80&gt;0,data!BL80,"")</f>
        <v>1943</v>
      </c>
      <c r="I288" s="302">
        <f>IF(data!BM80&gt;0,data!BM80,"")</f>
        <v>7077</v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Samaritan Hospital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7.3601778846153803</v>
      </c>
      <c r="D298" s="294">
        <f>data!BO60</f>
        <v>1.8676346153846159</v>
      </c>
      <c r="E298" s="294">
        <f>data!BP60</f>
        <v>3.7688701923076948</v>
      </c>
      <c r="F298" s="294">
        <f>data!BQ60</f>
        <v>0</v>
      </c>
      <c r="G298" s="294">
        <f>data!BR60</f>
        <v>6.9381538461538463</v>
      </c>
      <c r="H298" s="294">
        <f>data!BS60</f>
        <v>0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1444628</v>
      </c>
      <c r="D299" s="287">
        <f>data!BO61</f>
        <v>138676</v>
      </c>
      <c r="E299" s="287">
        <f>data!BP61</f>
        <v>287927</v>
      </c>
      <c r="F299" s="287">
        <f>data!BQ61</f>
        <v>0</v>
      </c>
      <c r="G299" s="287">
        <f>data!BR61</f>
        <v>651767</v>
      </c>
      <c r="H299" s="287">
        <f>data!BS61</f>
        <v>0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416908</v>
      </c>
      <c r="D300" s="287">
        <f>data!BO62</f>
        <v>40021</v>
      </c>
      <c r="E300" s="287">
        <f>data!BP62</f>
        <v>83093</v>
      </c>
      <c r="F300" s="287">
        <f>data!BQ62</f>
        <v>0</v>
      </c>
      <c r="G300" s="287">
        <f>data!BR62</f>
        <v>188095</v>
      </c>
      <c r="H300" s="287">
        <f>data!BS62</f>
        <v>0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675318</v>
      </c>
      <c r="D301" s="287">
        <f>data!BO63</f>
        <v>0</v>
      </c>
      <c r="E301" s="287">
        <f>data!BP63</f>
        <v>207635</v>
      </c>
      <c r="F301" s="287">
        <f>data!BQ63</f>
        <v>0</v>
      </c>
      <c r="G301" s="287">
        <f>data!BR63</f>
        <v>266949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24529</v>
      </c>
      <c r="D302" s="287">
        <f>data!BO64</f>
        <v>14826</v>
      </c>
      <c r="E302" s="287">
        <f>data!BP64</f>
        <v>41407</v>
      </c>
      <c r="F302" s="287">
        <f>data!BQ64</f>
        <v>0</v>
      </c>
      <c r="G302" s="287">
        <f>data!BR64</f>
        <v>7918</v>
      </c>
      <c r="H302" s="287">
        <f>data!BS64</f>
        <v>2555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55417</v>
      </c>
      <c r="D304" s="287">
        <f>data!BO66</f>
        <v>3184</v>
      </c>
      <c r="E304" s="287">
        <f>data!BP66</f>
        <v>187003</v>
      </c>
      <c r="F304" s="287">
        <f>data!BQ66</f>
        <v>0</v>
      </c>
      <c r="G304" s="287">
        <f>data!BR66</f>
        <v>453740</v>
      </c>
      <c r="H304" s="287">
        <f>data!BS66</f>
        <v>0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929981</v>
      </c>
      <c r="D305" s="287">
        <f>data!BO67</f>
        <v>6662</v>
      </c>
      <c r="E305" s="287">
        <f>data!BP67</f>
        <v>37954</v>
      </c>
      <c r="F305" s="287">
        <f>data!BQ67</f>
        <v>0</v>
      </c>
      <c r="G305" s="287">
        <f>data!BR67</f>
        <v>53195</v>
      </c>
      <c r="H305" s="287">
        <f>data!BS67</f>
        <v>29018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0</v>
      </c>
      <c r="D306" s="287">
        <f>data!BO68</f>
        <v>0</v>
      </c>
      <c r="E306" s="287">
        <f>data!BP68</f>
        <v>3290</v>
      </c>
      <c r="F306" s="287">
        <f>data!BQ68</f>
        <v>0</v>
      </c>
      <c r="G306" s="287">
        <f>data!BR68</f>
        <v>18071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612526</v>
      </c>
      <c r="D307" s="287">
        <f>data!BO69</f>
        <v>920</v>
      </c>
      <c r="E307" s="287">
        <f>data!BP69</f>
        <v>785010</v>
      </c>
      <c r="F307" s="287">
        <f>data!BQ69</f>
        <v>0</v>
      </c>
      <c r="G307" s="287">
        <f>data!BR69</f>
        <v>188884</v>
      </c>
      <c r="H307" s="287">
        <f>data!BS69</f>
        <v>0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4159307</v>
      </c>
      <c r="D309" s="287">
        <f>data!BO85</f>
        <v>204289</v>
      </c>
      <c r="E309" s="287">
        <f>data!BP85</f>
        <v>1633319</v>
      </c>
      <c r="F309" s="287">
        <f>data!BQ85</f>
        <v>0</v>
      </c>
      <c r="G309" s="287">
        <f>data!BR85</f>
        <v>1828619</v>
      </c>
      <c r="H309" s="287">
        <f>data!BS85</f>
        <v>31573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29493.581193806458</v>
      </c>
      <c r="D316" s="303">
        <f>data!BO90</f>
        <v>211.26468935778061</v>
      </c>
      <c r="E316" s="303">
        <f>data!BP90</f>
        <v>1203.6934496092088</v>
      </c>
      <c r="F316" s="303">
        <f>data!BQ90</f>
        <v>0</v>
      </c>
      <c r="G316" s="303">
        <f>data!BR90</f>
        <v>1687.0258364813994</v>
      </c>
      <c r="H316" s="303">
        <f>data!BS90</f>
        <v>920.28959803169801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>
        <f>IF(data!BN78&gt;0,data!BN78,"")</f>
        <v>168978</v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>
        <f>IF(data!BR78&gt;0,data!BR78,"")</f>
        <v>519</v>
      </c>
      <c r="H318" s="303">
        <f>data!BS92</f>
        <v>1041.8625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>
        <f>IF(data!BN79&gt;0,data!BN79,"")</f>
        <v>6846</v>
      </c>
      <c r="D319" s="302">
        <f>IF(data!BO79&gt;0,data!BO79,"")</f>
        <v>421</v>
      </c>
      <c r="E319" s="302">
        <f>IF(data!BP79&gt;0,data!BP79,"")</f>
        <v>727722</v>
      </c>
      <c r="F319" s="302" t="str">
        <f>IF(data!BQ79&gt;0,data!BQ79,"")</f>
        <v/>
      </c>
      <c r="G319" s="302">
        <f>IF(data!BR79&gt;0,data!BR79,"")</f>
        <v>41888</v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>
        <f>IF(data!BN80&gt;0,data!BN80,"")</f>
        <v>21628</v>
      </c>
      <c r="D320" s="305">
        <f>IF(data!BO80&gt;0,data!BO80,"")</f>
        <v>499</v>
      </c>
      <c r="E320" s="305">
        <f>IF(data!BP80&gt;0,data!BP80,"")</f>
        <v>16603</v>
      </c>
      <c r="F320" s="305" t="str">
        <f>IF(data!BQ80&gt;0,data!BQ80,"")</f>
        <v/>
      </c>
      <c r="G320" s="305">
        <f>IF(data!BR80&gt;0,data!BR80,"")</f>
        <v>2724</v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Samaritan Hospital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20.997894230769234</v>
      </c>
      <c r="E330" s="294">
        <f>data!BW60</f>
        <v>2.0550480769230774</v>
      </c>
      <c r="F330" s="294">
        <f>data!BX60</f>
        <v>0</v>
      </c>
      <c r="G330" s="294">
        <f>data!BY60</f>
        <v>9.069788461538467</v>
      </c>
      <c r="H330" s="294">
        <f>data!BZ60</f>
        <v>2.8305673076923075</v>
      </c>
      <c r="I330" s="294">
        <f>data!CA60</f>
        <v>2.6040288461538452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1308640</v>
      </c>
      <c r="E331" s="306">
        <f>data!BW61</f>
        <v>131354</v>
      </c>
      <c r="F331" s="306">
        <f>data!BX61</f>
        <v>0</v>
      </c>
      <c r="G331" s="306">
        <f>data!BY61</f>
        <v>1412024</v>
      </c>
      <c r="H331" s="306">
        <f>data!BZ61</f>
        <v>214856</v>
      </c>
      <c r="I331" s="306">
        <f>data!CA61</f>
        <v>240502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377663</v>
      </c>
      <c r="E332" s="306">
        <f>data!BW62</f>
        <v>37908</v>
      </c>
      <c r="F332" s="306">
        <f>data!BX62</f>
        <v>0</v>
      </c>
      <c r="G332" s="306">
        <f>data!BY62</f>
        <v>407499</v>
      </c>
      <c r="H332" s="306">
        <f>data!BZ62</f>
        <v>62006</v>
      </c>
      <c r="I332" s="306">
        <f>data!CA62</f>
        <v>69407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27364</v>
      </c>
      <c r="F333" s="306">
        <f>data!BX63</f>
        <v>0</v>
      </c>
      <c r="G333" s="306">
        <f>data!BY63</f>
        <v>46318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2086</v>
      </c>
      <c r="E334" s="306">
        <f>data!BW64</f>
        <v>9667</v>
      </c>
      <c r="F334" s="306">
        <f>data!BX64</f>
        <v>0</v>
      </c>
      <c r="G334" s="306">
        <f>data!BY64</f>
        <v>13278</v>
      </c>
      <c r="H334" s="306">
        <f>data!BZ64</f>
        <v>0</v>
      </c>
      <c r="I334" s="306">
        <f>data!CA64</f>
        <v>148354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397545</v>
      </c>
      <c r="E336" s="306">
        <f>data!BW66</f>
        <v>86174</v>
      </c>
      <c r="F336" s="306">
        <f>data!BX66</f>
        <v>0</v>
      </c>
      <c r="G336" s="306">
        <f>data!BY66</f>
        <v>97911</v>
      </c>
      <c r="H336" s="306">
        <f>data!BZ66</f>
        <v>0</v>
      </c>
      <c r="I336" s="306">
        <f>data!CA66</f>
        <v>162609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53357</v>
      </c>
      <c r="E337" s="306">
        <f>data!BW67</f>
        <v>30578</v>
      </c>
      <c r="F337" s="306">
        <f>data!BX67</f>
        <v>0</v>
      </c>
      <c r="G337" s="306">
        <f>data!BY67</f>
        <v>19595</v>
      </c>
      <c r="H337" s="306">
        <f>data!BZ67</f>
        <v>0</v>
      </c>
      <c r="I337" s="306">
        <f>data!CA67</f>
        <v>249466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1600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-21656</v>
      </c>
      <c r="E339" s="306">
        <f>data!BW69</f>
        <v>8655</v>
      </c>
      <c r="F339" s="306">
        <f>data!BX69</f>
        <v>0</v>
      </c>
      <c r="G339" s="306">
        <f>data!BY69</f>
        <v>1498</v>
      </c>
      <c r="H339" s="306">
        <f>data!BZ69</f>
        <v>110</v>
      </c>
      <c r="I339" s="306">
        <f>data!CA69</f>
        <v>18167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2117635</v>
      </c>
      <c r="E341" s="287">
        <f>data!BW85</f>
        <v>331700</v>
      </c>
      <c r="F341" s="287">
        <f>data!BX85</f>
        <v>0</v>
      </c>
      <c r="G341" s="287">
        <f>data!BY85</f>
        <v>1999723</v>
      </c>
      <c r="H341" s="287">
        <f>data!BZ85</f>
        <v>276972</v>
      </c>
      <c r="I341" s="287">
        <f>data!CA85</f>
        <v>888505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1692.1786337828087</v>
      </c>
      <c r="E348" s="303">
        <f>data!BW90</f>
        <v>969.75645212522682</v>
      </c>
      <c r="F348" s="303">
        <f>data!BX90</f>
        <v>0</v>
      </c>
      <c r="G348" s="303">
        <f>data!BY90</f>
        <v>621.42735454995943</v>
      </c>
      <c r="H348" s="303">
        <f>data!BZ90</f>
        <v>0</v>
      </c>
      <c r="I348" s="303">
        <f>data!CA90</f>
        <v>7911.6049765838134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1917.0270000000003</v>
      </c>
      <c r="E350" s="303">
        <f>data!BW92</f>
        <v>1098.586125</v>
      </c>
      <c r="F350" s="303">
        <f>data!BX92</f>
        <v>0</v>
      </c>
      <c r="G350" s="303">
        <f>data!BY92</f>
        <v>703.83600000000013</v>
      </c>
      <c r="H350" s="303">
        <f>data!BZ92</f>
        <v>0</v>
      </c>
      <c r="I350" s="303">
        <f>data!CA92</f>
        <v>8961.1751250000016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>
        <f>IF(data!BV80&gt;0,data!BV80,"")</f>
        <v>1943</v>
      </c>
      <c r="E352" s="305">
        <f>IF(data!BW80&gt;0,data!BW80,"")</f>
        <v>575</v>
      </c>
      <c r="F352" s="305" t="str">
        <f>IF(data!BX80&gt;0,data!BX80,"")</f>
        <v/>
      </c>
      <c r="G352" s="305">
        <f>IF(data!BY80&gt;0,data!BY80,"")</f>
        <v>136</v>
      </c>
      <c r="H352" s="305" t="str">
        <f>IF(data!BZ80&gt;0,data!BZ80,"")</f>
        <v/>
      </c>
      <c r="I352" s="305">
        <f>IF(data!CA80&gt;0,data!CA80,"")</f>
        <v>18167</v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Samaritan Hospital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5.5956730769230774</v>
      </c>
      <c r="E362" s="309"/>
      <c r="F362" s="297"/>
      <c r="G362" s="297"/>
      <c r="H362" s="297"/>
      <c r="I362" s="310">
        <f>data!CE60</f>
        <v>613.24425961538452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608162</v>
      </c>
      <c r="E363" s="311"/>
      <c r="F363" s="311"/>
      <c r="G363" s="311"/>
      <c r="H363" s="311"/>
      <c r="I363" s="306">
        <f>data!CE61</f>
        <v>69685697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175511</v>
      </c>
      <c r="E364" s="311"/>
      <c r="F364" s="311"/>
      <c r="G364" s="311"/>
      <c r="H364" s="311"/>
      <c r="I364" s="306">
        <f>data!CE62</f>
        <v>20110729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29617</v>
      </c>
      <c r="E365" s="311"/>
      <c r="F365" s="311"/>
      <c r="G365" s="311"/>
      <c r="H365" s="311"/>
      <c r="I365" s="306">
        <f>data!CE63</f>
        <v>10404415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40</v>
      </c>
      <c r="D366" s="306">
        <f>data!CC64</f>
        <v>12367</v>
      </c>
      <c r="E366" s="311"/>
      <c r="F366" s="311"/>
      <c r="G366" s="311"/>
      <c r="H366" s="311"/>
      <c r="I366" s="306">
        <f>data!CE64</f>
        <v>18794873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129403</v>
      </c>
      <c r="E367" s="311"/>
      <c r="F367" s="311"/>
      <c r="G367" s="311"/>
      <c r="H367" s="311"/>
      <c r="I367" s="306">
        <f>data!CE65</f>
        <v>627470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10618</v>
      </c>
      <c r="D368" s="306">
        <f>data!CC66</f>
        <v>81394</v>
      </c>
      <c r="E368" s="311"/>
      <c r="F368" s="311"/>
      <c r="G368" s="311"/>
      <c r="H368" s="311"/>
      <c r="I368" s="306">
        <f>data!CE66</f>
        <v>7576701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3250</v>
      </c>
      <c r="D369" s="306">
        <f>data!CC67</f>
        <v>8579</v>
      </c>
      <c r="E369" s="311"/>
      <c r="F369" s="311"/>
      <c r="G369" s="311"/>
      <c r="H369" s="311"/>
      <c r="I369" s="306">
        <f>data!CE67</f>
        <v>7475400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536151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1194</v>
      </c>
      <c r="D371" s="306">
        <f>data!CC69</f>
        <v>996264</v>
      </c>
      <c r="E371" s="306">
        <f>data!CD69</f>
        <v>0</v>
      </c>
      <c r="F371" s="311"/>
      <c r="G371" s="311"/>
      <c r="H371" s="311"/>
      <c r="I371" s="306">
        <f>data!CE69</f>
        <v>6123506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0</v>
      </c>
      <c r="E372" s="287">
        <f>-data!CD84</f>
        <v>0</v>
      </c>
      <c r="F372" s="297"/>
      <c r="G372" s="297"/>
      <c r="H372" s="297"/>
      <c r="I372" s="287">
        <f>-data!CE84</f>
        <v>0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15102</v>
      </c>
      <c r="D373" s="306">
        <f>data!CC85</f>
        <v>2041297</v>
      </c>
      <c r="E373" s="306">
        <f>data!CD85</f>
        <v>0</v>
      </c>
      <c r="F373" s="311"/>
      <c r="G373" s="311"/>
      <c r="H373" s="311"/>
      <c r="I373" s="287">
        <f>data!CE85</f>
        <v>141334942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136385624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256367319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392752943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103.05594602818567</v>
      </c>
      <c r="D380" s="303">
        <f>data!CC90</f>
        <v>272.06769751441016</v>
      </c>
      <c r="E380" s="297"/>
      <c r="F380" s="297"/>
      <c r="G380" s="297"/>
      <c r="H380" s="297"/>
      <c r="I380" s="287">
        <f>data!CE90</f>
        <v>237076.0816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>
        <f>IF(data!CC77&gt;0,data!CC77,"")</f>
        <v>15217</v>
      </c>
      <c r="E381" s="297"/>
      <c r="F381" s="297"/>
      <c r="G381" s="297"/>
      <c r="H381" s="297"/>
      <c r="I381" s="287">
        <f>data!CE91</f>
        <v>113429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111.35250000000002</v>
      </c>
      <c r="D382" s="302">
        <f>IF(data!CC78&gt;0,data!CC78,"")</f>
        <v>6299</v>
      </c>
      <c r="E382" s="297"/>
      <c r="F382" s="297"/>
      <c r="G382" s="297"/>
      <c r="H382" s="297"/>
      <c r="I382" s="287">
        <f>data!CE92</f>
        <v>190892.11995000005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>
        <f>IF(data!CC79&gt;0,data!CC79,"")</f>
        <v>279</v>
      </c>
      <c r="E383" s="297"/>
      <c r="F383" s="297"/>
      <c r="G383" s="297"/>
      <c r="H383" s="297"/>
      <c r="I383" s="287">
        <f>data!CE93</f>
        <v>437587.50000000012</v>
      </c>
    </row>
    <row r="384" spans="1:9" ht="20.149999999999999" customHeight="1" x14ac:dyDescent="0.35">
      <c r="A384" s="279">
        <v>26</v>
      </c>
      <c r="B384" s="287" t="s">
        <v>279</v>
      </c>
      <c r="C384" s="302">
        <f>IF(data!CB80&gt;0,data!CB80,"")</f>
        <v>1194</v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104.83499519230774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38" transitionEvaluation="1" transitionEntry="1" codeName="Sheet12">
    <tabColor rgb="FF92D050"/>
    <pageSetUpPr autoPageBreaks="0" fitToPage="1"/>
  </sheetPr>
  <dimension ref="A1:CF717"/>
  <sheetViews>
    <sheetView topLeftCell="A38" zoomScale="70" zoomScaleNormal="70" workbookViewId="0">
      <selection activeCell="C97" sqref="C97:C98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27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28" t="s">
        <v>18</v>
      </c>
      <c r="B37" s="329"/>
      <c r="C37" s="330"/>
      <c r="D37" s="329"/>
      <c r="E37" s="329"/>
      <c r="F37" s="329"/>
      <c r="G37" s="329"/>
    </row>
    <row r="38" spans="1:83" x14ac:dyDescent="0.35">
      <c r="A38" s="331" t="s">
        <v>1342</v>
      </c>
      <c r="B38" s="332"/>
      <c r="C38" s="330"/>
      <c r="D38" s="329"/>
      <c r="E38" s="329"/>
      <c r="F38" s="329"/>
      <c r="G38" s="329"/>
    </row>
    <row r="39" spans="1:83" x14ac:dyDescent="0.35">
      <c r="A39" s="333" t="s">
        <v>1340</v>
      </c>
      <c r="B39" s="332"/>
      <c r="C39" s="330"/>
      <c r="D39" s="329"/>
      <c r="E39" s="329"/>
      <c r="F39" s="329"/>
      <c r="G39" s="329"/>
    </row>
    <row r="40" spans="1:83" x14ac:dyDescent="0.35">
      <c r="A40" s="334" t="s">
        <v>1343</v>
      </c>
      <c r="B40" s="329"/>
      <c r="C40" s="330"/>
      <c r="D40" s="329"/>
      <c r="E40" s="329"/>
      <c r="F40" s="329"/>
      <c r="G40" s="329"/>
    </row>
    <row r="41" spans="1:83" x14ac:dyDescent="0.35">
      <c r="A41" s="333" t="s">
        <v>1341</v>
      </c>
      <c r="B41" s="329"/>
      <c r="C41" s="330"/>
      <c r="D41" s="329"/>
      <c r="E41" s="329"/>
      <c r="F41" s="329"/>
      <c r="G41" s="329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18550944</v>
      </c>
      <c r="C49" s="270">
        <f>IF($B$49,(ROUND((($B$49/$CE$62)*C62),0)))</f>
        <v>837304</v>
      </c>
      <c r="D49" s="270">
        <f t="shared" ref="D49:BO49" si="0">IF($B$49,(ROUND((($B$49/$CE$62)*D62),0)))</f>
        <v>0</v>
      </c>
      <c r="E49" s="270">
        <f t="shared" si="0"/>
        <v>1194658</v>
      </c>
      <c r="F49" s="270">
        <f t="shared" si="0"/>
        <v>1062023</v>
      </c>
      <c r="G49" s="270">
        <f t="shared" si="0"/>
        <v>0</v>
      </c>
      <c r="H49" s="270">
        <f t="shared" si="0"/>
        <v>0</v>
      </c>
      <c r="I49" s="270">
        <f t="shared" si="0"/>
        <v>0</v>
      </c>
      <c r="J49" s="270">
        <f t="shared" si="0"/>
        <v>0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0</v>
      </c>
      <c r="P49" s="270">
        <f t="shared" si="0"/>
        <v>732705</v>
      </c>
      <c r="Q49" s="270">
        <f t="shared" si="0"/>
        <v>139540</v>
      </c>
      <c r="R49" s="270">
        <f t="shared" si="0"/>
        <v>953220</v>
      </c>
      <c r="S49" s="270">
        <f t="shared" si="0"/>
        <v>95564</v>
      </c>
      <c r="T49" s="270">
        <f t="shared" si="0"/>
        <v>0</v>
      </c>
      <c r="U49" s="270">
        <f t="shared" si="0"/>
        <v>662116</v>
      </c>
      <c r="V49" s="270">
        <f t="shared" si="0"/>
        <v>0</v>
      </c>
      <c r="W49" s="270">
        <f t="shared" si="0"/>
        <v>62642</v>
      </c>
      <c r="X49" s="270">
        <f t="shared" si="0"/>
        <v>121410</v>
      </c>
      <c r="Y49" s="270">
        <f t="shared" si="0"/>
        <v>712156</v>
      </c>
      <c r="Z49" s="270">
        <f t="shared" si="0"/>
        <v>0</v>
      </c>
      <c r="AA49" s="270">
        <f t="shared" si="0"/>
        <v>54985</v>
      </c>
      <c r="AB49" s="270">
        <f t="shared" si="0"/>
        <v>405606</v>
      </c>
      <c r="AC49" s="270">
        <f t="shared" si="0"/>
        <v>204072</v>
      </c>
      <c r="AD49" s="270">
        <f t="shared" si="0"/>
        <v>0</v>
      </c>
      <c r="AE49" s="270">
        <f t="shared" si="0"/>
        <v>217054</v>
      </c>
      <c r="AF49" s="270">
        <f t="shared" si="0"/>
        <v>0</v>
      </c>
      <c r="AG49" s="270">
        <f t="shared" si="0"/>
        <v>916329</v>
      </c>
      <c r="AH49" s="270">
        <f t="shared" si="0"/>
        <v>34446</v>
      </c>
      <c r="AI49" s="270">
        <f t="shared" si="0"/>
        <v>311686</v>
      </c>
      <c r="AJ49" s="270">
        <f t="shared" si="0"/>
        <v>4422976</v>
      </c>
      <c r="AK49" s="270">
        <f t="shared" si="0"/>
        <v>612053</v>
      </c>
      <c r="AL49" s="270">
        <f t="shared" si="0"/>
        <v>4324</v>
      </c>
      <c r="AM49" s="270">
        <f t="shared" si="0"/>
        <v>0</v>
      </c>
      <c r="AN49" s="270">
        <f t="shared" si="0"/>
        <v>0</v>
      </c>
      <c r="AO49" s="270">
        <f t="shared" si="0"/>
        <v>0</v>
      </c>
      <c r="AP49" s="270">
        <f t="shared" si="0"/>
        <v>391444</v>
      </c>
      <c r="AQ49" s="270">
        <f t="shared" si="0"/>
        <v>0</v>
      </c>
      <c r="AR49" s="270">
        <f t="shared" si="0"/>
        <v>0</v>
      </c>
      <c r="AS49" s="270">
        <f t="shared" si="0"/>
        <v>0</v>
      </c>
      <c r="AT49" s="270">
        <f t="shared" si="0"/>
        <v>0</v>
      </c>
      <c r="AU49" s="270">
        <f t="shared" si="0"/>
        <v>0</v>
      </c>
      <c r="AV49" s="270">
        <f t="shared" si="0"/>
        <v>48767</v>
      </c>
      <c r="AW49" s="270">
        <f t="shared" si="0"/>
        <v>0</v>
      </c>
      <c r="AX49" s="270">
        <f t="shared" si="0"/>
        <v>0</v>
      </c>
      <c r="AY49" s="270">
        <f t="shared" si="0"/>
        <v>288490</v>
      </c>
      <c r="AZ49" s="270">
        <f t="shared" si="0"/>
        <v>0</v>
      </c>
      <c r="BA49" s="270">
        <f t="shared" si="0"/>
        <v>0</v>
      </c>
      <c r="BB49" s="270">
        <f t="shared" si="0"/>
        <v>186352</v>
      </c>
      <c r="BC49" s="270">
        <f t="shared" si="0"/>
        <v>0</v>
      </c>
      <c r="BD49" s="270">
        <f t="shared" si="0"/>
        <v>124958</v>
      </c>
      <c r="BE49" s="270">
        <f t="shared" si="0"/>
        <v>414104</v>
      </c>
      <c r="BF49" s="270">
        <f t="shared" si="0"/>
        <v>362349</v>
      </c>
      <c r="BG49" s="270">
        <f t="shared" si="0"/>
        <v>0</v>
      </c>
      <c r="BH49" s="270">
        <f t="shared" si="0"/>
        <v>199588</v>
      </c>
      <c r="BI49" s="270">
        <f t="shared" si="0"/>
        <v>0</v>
      </c>
      <c r="BJ49" s="270">
        <f t="shared" si="0"/>
        <v>175029</v>
      </c>
      <c r="BK49" s="270">
        <f t="shared" si="0"/>
        <v>447094</v>
      </c>
      <c r="BL49" s="270">
        <f t="shared" si="0"/>
        <v>276181</v>
      </c>
      <c r="BM49" s="270">
        <f t="shared" si="0"/>
        <v>0</v>
      </c>
      <c r="BN49" s="270">
        <f t="shared" si="0"/>
        <v>356284</v>
      </c>
      <c r="BO49" s="270">
        <f t="shared" si="0"/>
        <v>41607</v>
      </c>
      <c r="BP49" s="270">
        <f t="shared" ref="BP49:CD49" si="1">IF($B$49,(ROUND((($B$49/$CE$62)*BP62),0)))</f>
        <v>61112</v>
      </c>
      <c r="BQ49" s="270">
        <f t="shared" si="1"/>
        <v>0</v>
      </c>
      <c r="BR49" s="270">
        <f t="shared" si="1"/>
        <v>225160</v>
      </c>
      <c r="BS49" s="270">
        <f t="shared" si="1"/>
        <v>0</v>
      </c>
      <c r="BT49" s="270">
        <f t="shared" si="1"/>
        <v>0</v>
      </c>
      <c r="BU49" s="270">
        <f t="shared" si="1"/>
        <v>0</v>
      </c>
      <c r="BV49" s="270">
        <f t="shared" si="1"/>
        <v>422203</v>
      </c>
      <c r="BW49" s="270">
        <f t="shared" si="1"/>
        <v>33547</v>
      </c>
      <c r="BX49" s="270">
        <f t="shared" si="1"/>
        <v>0</v>
      </c>
      <c r="BY49" s="270">
        <f t="shared" si="1"/>
        <v>438671</v>
      </c>
      <c r="BZ49" s="270">
        <f t="shared" si="1"/>
        <v>84703</v>
      </c>
      <c r="CA49" s="270">
        <f t="shared" si="1"/>
        <v>39876</v>
      </c>
      <c r="CB49" s="270">
        <f t="shared" si="1"/>
        <v>0</v>
      </c>
      <c r="CC49" s="270">
        <f t="shared" si="1"/>
        <v>176555</v>
      </c>
      <c r="CD49" s="270">
        <f t="shared" si="1"/>
        <v>0</v>
      </c>
      <c r="CE49" s="32">
        <f>SUM(C49:CD49)</f>
        <v>18550943</v>
      </c>
    </row>
    <row r="50" spans="1:83" x14ac:dyDescent="0.35">
      <c r="A50" s="20" t="s">
        <v>218</v>
      </c>
      <c r="B50" s="270">
        <f>B48+B49</f>
        <v>18550944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6564042</v>
      </c>
      <c r="C53" s="270">
        <f>IF($B$53,ROUND(($B$53/($CE$91+$CF$91)*C91),0))</f>
        <v>0</v>
      </c>
      <c r="D53" s="270">
        <f t="shared" ref="D53:BO53" si="2">IF($B$53,ROUND(($B$53/($CE$91+$CF$91)*D91),0))</f>
        <v>0</v>
      </c>
      <c r="E53" s="270">
        <f t="shared" si="2"/>
        <v>571186</v>
      </c>
      <c r="F53" s="270">
        <f t="shared" si="2"/>
        <v>361892</v>
      </c>
      <c r="G53" s="270">
        <f t="shared" si="2"/>
        <v>0</v>
      </c>
      <c r="H53" s="270">
        <f t="shared" si="2"/>
        <v>0</v>
      </c>
      <c r="I53" s="270">
        <f t="shared" si="2"/>
        <v>0</v>
      </c>
      <c r="J53" s="270">
        <f t="shared" si="2"/>
        <v>0</v>
      </c>
      <c r="K53" s="270">
        <f t="shared" si="2"/>
        <v>0</v>
      </c>
      <c r="L53" s="270">
        <f t="shared" si="2"/>
        <v>0</v>
      </c>
      <c r="M53" s="270">
        <f t="shared" si="2"/>
        <v>0</v>
      </c>
      <c r="N53" s="270">
        <f t="shared" si="2"/>
        <v>0</v>
      </c>
      <c r="O53" s="270">
        <f t="shared" si="2"/>
        <v>0</v>
      </c>
      <c r="P53" s="270">
        <f t="shared" si="2"/>
        <v>280343</v>
      </c>
      <c r="Q53" s="270">
        <f t="shared" si="2"/>
        <v>39833</v>
      </c>
      <c r="R53" s="270">
        <f t="shared" si="2"/>
        <v>5307</v>
      </c>
      <c r="S53" s="270">
        <f t="shared" si="2"/>
        <v>38777</v>
      </c>
      <c r="T53" s="270">
        <f t="shared" si="2"/>
        <v>0</v>
      </c>
      <c r="U53" s="270">
        <f t="shared" si="2"/>
        <v>92763</v>
      </c>
      <c r="V53" s="270">
        <f t="shared" si="2"/>
        <v>0</v>
      </c>
      <c r="W53" s="270">
        <f t="shared" si="2"/>
        <v>0</v>
      </c>
      <c r="X53" s="270">
        <f t="shared" si="2"/>
        <v>0</v>
      </c>
      <c r="Y53" s="270">
        <f t="shared" si="2"/>
        <v>189777</v>
      </c>
      <c r="Z53" s="270">
        <f t="shared" si="2"/>
        <v>0</v>
      </c>
      <c r="AA53" s="270">
        <f t="shared" si="2"/>
        <v>0</v>
      </c>
      <c r="AB53" s="270">
        <f t="shared" si="2"/>
        <v>47109</v>
      </c>
      <c r="AC53" s="270">
        <f t="shared" si="2"/>
        <v>23654</v>
      </c>
      <c r="AD53" s="270">
        <f t="shared" si="2"/>
        <v>0</v>
      </c>
      <c r="AE53" s="270">
        <f t="shared" si="2"/>
        <v>58180</v>
      </c>
      <c r="AF53" s="270">
        <f t="shared" si="2"/>
        <v>0</v>
      </c>
      <c r="AG53" s="270">
        <f t="shared" si="2"/>
        <v>156136</v>
      </c>
      <c r="AH53" s="270">
        <f t="shared" si="2"/>
        <v>0</v>
      </c>
      <c r="AI53" s="270">
        <f t="shared" si="2"/>
        <v>110710</v>
      </c>
      <c r="AJ53" s="270">
        <f t="shared" si="2"/>
        <v>1929186</v>
      </c>
      <c r="AK53" s="270">
        <f t="shared" si="2"/>
        <v>0</v>
      </c>
      <c r="AL53" s="270">
        <f t="shared" si="2"/>
        <v>0</v>
      </c>
      <c r="AM53" s="270">
        <f t="shared" si="2"/>
        <v>0</v>
      </c>
      <c r="AN53" s="270">
        <f t="shared" si="2"/>
        <v>0</v>
      </c>
      <c r="AO53" s="270">
        <f t="shared" si="2"/>
        <v>0</v>
      </c>
      <c r="AP53" s="270">
        <f t="shared" si="2"/>
        <v>0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0</v>
      </c>
      <c r="AU53" s="270">
        <f t="shared" si="2"/>
        <v>0</v>
      </c>
      <c r="AV53" s="270">
        <f t="shared" si="2"/>
        <v>0</v>
      </c>
      <c r="AW53" s="270">
        <f t="shared" si="2"/>
        <v>0</v>
      </c>
      <c r="AX53" s="270">
        <f t="shared" si="2"/>
        <v>0</v>
      </c>
      <c r="AY53" s="270">
        <f t="shared" si="2"/>
        <v>210378</v>
      </c>
      <c r="AZ53" s="270">
        <f t="shared" si="2"/>
        <v>0</v>
      </c>
      <c r="BA53" s="270">
        <f t="shared" si="2"/>
        <v>18747</v>
      </c>
      <c r="BB53" s="270">
        <f t="shared" si="2"/>
        <v>16692</v>
      </c>
      <c r="BC53" s="270">
        <f t="shared" si="2"/>
        <v>0</v>
      </c>
      <c r="BD53" s="270">
        <f t="shared" si="2"/>
        <v>134136</v>
      </c>
      <c r="BE53" s="270">
        <f t="shared" si="2"/>
        <v>699216</v>
      </c>
      <c r="BF53" s="270">
        <f t="shared" si="2"/>
        <v>97642</v>
      </c>
      <c r="BG53" s="270">
        <f t="shared" si="2"/>
        <v>0</v>
      </c>
      <c r="BH53" s="270">
        <f t="shared" si="2"/>
        <v>101408</v>
      </c>
      <c r="BI53" s="270">
        <f t="shared" si="2"/>
        <v>0</v>
      </c>
      <c r="BJ53" s="270">
        <f t="shared" si="2"/>
        <v>41488</v>
      </c>
      <c r="BK53" s="270">
        <f t="shared" si="2"/>
        <v>53301</v>
      </c>
      <c r="BL53" s="270">
        <f t="shared" si="2"/>
        <v>37864</v>
      </c>
      <c r="BM53" s="270">
        <f t="shared" si="2"/>
        <v>0</v>
      </c>
      <c r="BN53" s="270">
        <f t="shared" si="2"/>
        <v>816603</v>
      </c>
      <c r="BO53" s="270">
        <f t="shared" si="2"/>
        <v>5849</v>
      </c>
      <c r="BP53" s="270">
        <f t="shared" ref="BP53:CD53" si="3">IF($B$53,ROUND(($B$53/($CE$91+$CF$91)*BP91),0))</f>
        <v>33327</v>
      </c>
      <c r="BQ53" s="270">
        <f t="shared" si="3"/>
        <v>0</v>
      </c>
      <c r="BR53" s="270">
        <f t="shared" si="3"/>
        <v>46710</v>
      </c>
      <c r="BS53" s="270">
        <f t="shared" si="3"/>
        <v>25481</v>
      </c>
      <c r="BT53" s="270">
        <f t="shared" si="3"/>
        <v>0</v>
      </c>
      <c r="BU53" s="270">
        <f t="shared" si="3"/>
        <v>0</v>
      </c>
      <c r="BV53" s="270">
        <f t="shared" si="3"/>
        <v>46852</v>
      </c>
      <c r="BW53" s="270">
        <f t="shared" si="3"/>
        <v>26850</v>
      </c>
      <c r="BX53" s="270">
        <f t="shared" si="3"/>
        <v>0</v>
      </c>
      <c r="BY53" s="270">
        <f t="shared" si="3"/>
        <v>17206</v>
      </c>
      <c r="BZ53" s="270">
        <f t="shared" si="3"/>
        <v>0</v>
      </c>
      <c r="CA53" s="270">
        <f t="shared" si="3"/>
        <v>219052</v>
      </c>
      <c r="CB53" s="270">
        <f t="shared" si="3"/>
        <v>2853</v>
      </c>
      <c r="CC53" s="270">
        <f t="shared" si="3"/>
        <v>7533</v>
      </c>
      <c r="CD53" s="270">
        <f t="shared" si="3"/>
        <v>0</v>
      </c>
      <c r="CE53" s="32">
        <f>SUM(C53:CD53)</f>
        <v>6564041</v>
      </c>
    </row>
    <row r="54" spans="1:83" x14ac:dyDescent="0.35">
      <c r="A54" s="20" t="s">
        <v>218</v>
      </c>
      <c r="B54" s="270">
        <f>B52+B53</f>
        <v>6564042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3439</v>
      </c>
      <c r="D60" s="213"/>
      <c r="E60" s="213">
        <v>5373</v>
      </c>
      <c r="F60" s="213">
        <v>1767</v>
      </c>
      <c r="G60" s="213"/>
      <c r="H60" s="213"/>
      <c r="I60" s="213"/>
      <c r="J60" s="213">
        <v>1474</v>
      </c>
      <c r="K60" s="213"/>
      <c r="L60" s="213"/>
      <c r="M60" s="213"/>
      <c r="N60" s="213"/>
      <c r="O60" s="213">
        <v>1026</v>
      </c>
      <c r="P60" s="214">
        <v>285483</v>
      </c>
      <c r="Q60" s="214">
        <v>91661</v>
      </c>
      <c r="R60" s="214">
        <v>338897</v>
      </c>
      <c r="S60" s="263"/>
      <c r="T60" s="263"/>
      <c r="U60" s="227">
        <v>268780</v>
      </c>
      <c r="V60" s="214">
        <v>1005</v>
      </c>
      <c r="W60" s="214">
        <v>2184</v>
      </c>
      <c r="X60" s="214">
        <v>9653</v>
      </c>
      <c r="Y60" s="214">
        <v>30927</v>
      </c>
      <c r="Z60" s="214"/>
      <c r="AA60" s="214">
        <v>389</v>
      </c>
      <c r="AB60" s="263"/>
      <c r="AC60" s="214">
        <v>26083</v>
      </c>
      <c r="AD60" s="214"/>
      <c r="AE60" s="214">
        <v>15001</v>
      </c>
      <c r="AF60" s="214"/>
      <c r="AG60" s="214">
        <v>21199</v>
      </c>
      <c r="AH60" s="214"/>
      <c r="AI60" s="214">
        <v>3533.72</v>
      </c>
      <c r="AJ60" s="214">
        <v>58792</v>
      </c>
      <c r="AK60" s="214">
        <v>7685</v>
      </c>
      <c r="AL60" s="214">
        <v>50</v>
      </c>
      <c r="AM60" s="214"/>
      <c r="AN60" s="214"/>
      <c r="AO60" s="214"/>
      <c r="AP60" s="214">
        <v>6877</v>
      </c>
      <c r="AQ60" s="214"/>
      <c r="AR60" s="214"/>
      <c r="AS60" s="214"/>
      <c r="AT60" s="214"/>
      <c r="AU60" s="214"/>
      <c r="AV60" s="263"/>
      <c r="AW60" s="263"/>
      <c r="AX60" s="263"/>
      <c r="AY60" s="214">
        <v>29354</v>
      </c>
      <c r="AZ60" s="214">
        <v>78725</v>
      </c>
      <c r="BA60" s="263"/>
      <c r="BB60" s="263"/>
      <c r="BC60" s="263"/>
      <c r="BD60" s="263"/>
      <c r="BE60" s="214">
        <v>237316.0816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25.00363461538463</v>
      </c>
      <c r="D61" s="243">
        <v>0</v>
      </c>
      <c r="E61" s="243">
        <v>36.44907692307693</v>
      </c>
      <c r="F61" s="243">
        <v>0</v>
      </c>
      <c r="G61" s="243">
        <v>0</v>
      </c>
      <c r="H61" s="243">
        <v>0</v>
      </c>
      <c r="I61" s="243">
        <v>0</v>
      </c>
      <c r="J61" s="243">
        <v>0</v>
      </c>
      <c r="K61" s="243">
        <v>0</v>
      </c>
      <c r="L61" s="243">
        <v>0</v>
      </c>
      <c r="M61" s="243">
        <v>0</v>
      </c>
      <c r="N61" s="243">
        <v>0</v>
      </c>
      <c r="O61" s="243">
        <v>0</v>
      </c>
      <c r="P61" s="244">
        <v>17.581057692307684</v>
      </c>
      <c r="Q61" s="244">
        <v>3.463086538461539</v>
      </c>
      <c r="R61" s="244">
        <v>11.74071634615386</v>
      </c>
      <c r="S61" s="245">
        <v>5.5613990384615333</v>
      </c>
      <c r="T61" s="245">
        <v>0</v>
      </c>
      <c r="U61" s="246">
        <v>26.410350961538459</v>
      </c>
      <c r="V61" s="244">
        <v>0</v>
      </c>
      <c r="W61" s="244">
        <v>2.0001971153846152</v>
      </c>
      <c r="X61" s="244">
        <v>4.2419038461538427</v>
      </c>
      <c r="Y61" s="244">
        <v>23.857500000000002</v>
      </c>
      <c r="Z61" s="244">
        <v>0</v>
      </c>
      <c r="AA61" s="244">
        <v>1.5280192307692309</v>
      </c>
      <c r="AB61" s="245">
        <v>10.906096153846145</v>
      </c>
      <c r="AC61" s="244">
        <v>6.4767115384615348</v>
      </c>
      <c r="AD61" s="244">
        <v>0</v>
      </c>
      <c r="AE61" s="244">
        <v>34.057610576923068</v>
      </c>
      <c r="AF61" s="244">
        <v>0</v>
      </c>
      <c r="AG61" s="244">
        <v>27.694254807692296</v>
      </c>
      <c r="AH61" s="244">
        <v>0</v>
      </c>
      <c r="AI61" s="244">
        <v>11.729913461538457</v>
      </c>
      <c r="AJ61" s="244">
        <v>133.49245192307694</v>
      </c>
      <c r="AK61" s="244">
        <v>3.0448701923076911</v>
      </c>
      <c r="AL61" s="244">
        <v>0.1046875</v>
      </c>
      <c r="AM61" s="244">
        <v>0</v>
      </c>
      <c r="AN61" s="244">
        <v>0</v>
      </c>
      <c r="AO61" s="244">
        <v>0</v>
      </c>
      <c r="AP61" s="244">
        <v>9.3984759615384625</v>
      </c>
      <c r="AQ61" s="244">
        <v>0</v>
      </c>
      <c r="AR61" s="244">
        <v>0</v>
      </c>
      <c r="AS61" s="244">
        <v>0</v>
      </c>
      <c r="AT61" s="244">
        <v>0</v>
      </c>
      <c r="AU61" s="244">
        <v>0</v>
      </c>
      <c r="AV61" s="245">
        <v>3.0894807692307706</v>
      </c>
      <c r="AW61" s="245">
        <v>0</v>
      </c>
      <c r="AX61" s="245">
        <v>0</v>
      </c>
      <c r="AY61" s="244">
        <v>19.05860096153846</v>
      </c>
      <c r="AZ61" s="244">
        <v>0</v>
      </c>
      <c r="BA61" s="245">
        <v>0</v>
      </c>
      <c r="BB61" s="245">
        <v>6.6651730769230744</v>
      </c>
      <c r="BC61" s="245">
        <v>0</v>
      </c>
      <c r="BD61" s="245">
        <v>8.2972403846153835</v>
      </c>
      <c r="BE61" s="244">
        <v>21.50362980769232</v>
      </c>
      <c r="BF61" s="245">
        <v>28.442365384615385</v>
      </c>
      <c r="BG61" s="245">
        <v>0</v>
      </c>
      <c r="BH61" s="245">
        <v>7.2728509615384631</v>
      </c>
      <c r="BI61" s="245">
        <v>0</v>
      </c>
      <c r="BJ61" s="245">
        <v>7.2239855769230719</v>
      </c>
      <c r="BK61" s="245">
        <v>26.54128365384614</v>
      </c>
      <c r="BL61" s="245">
        <v>21.347899038461549</v>
      </c>
      <c r="BM61" s="245">
        <v>0</v>
      </c>
      <c r="BN61" s="245">
        <v>6.9859759615384576</v>
      </c>
      <c r="BO61" s="245">
        <v>2.0310096153846198</v>
      </c>
      <c r="BP61" s="245">
        <v>2.9346153846153831</v>
      </c>
      <c r="BQ61" s="245">
        <v>0</v>
      </c>
      <c r="BR61" s="245">
        <v>7.2072163461538477</v>
      </c>
      <c r="BS61" s="245">
        <v>0</v>
      </c>
      <c r="BT61" s="245">
        <v>0</v>
      </c>
      <c r="BU61" s="245">
        <v>0</v>
      </c>
      <c r="BV61" s="245">
        <v>22.881211538461557</v>
      </c>
      <c r="BW61" s="245">
        <v>1.810336538461538</v>
      </c>
      <c r="BX61" s="245">
        <v>0</v>
      </c>
      <c r="BY61" s="245">
        <v>12.903524038461544</v>
      </c>
      <c r="BZ61" s="245">
        <v>2.4739567307692294</v>
      </c>
      <c r="CA61" s="245">
        <v>2.0932692307692307</v>
      </c>
      <c r="CB61" s="245">
        <v>0</v>
      </c>
      <c r="CC61" s="245">
        <v>5.8109230769230749</v>
      </c>
      <c r="CD61" s="247" t="s">
        <v>233</v>
      </c>
      <c r="CE61" s="268">
        <f t="shared" ref="CE61:CE69" si="4">SUM(C61:CD61)</f>
        <v>611.31656249999992</v>
      </c>
    </row>
    <row r="62" spans="1:83" x14ac:dyDescent="0.35">
      <c r="A62" s="39" t="s">
        <v>248</v>
      </c>
      <c r="B62" s="20"/>
      <c r="C62" s="213">
        <v>2761019</v>
      </c>
      <c r="D62" s="213">
        <v>0</v>
      </c>
      <c r="E62" s="213">
        <v>3939397.49</v>
      </c>
      <c r="F62" s="213">
        <v>3502032.51</v>
      </c>
      <c r="G62" s="213">
        <v>0</v>
      </c>
      <c r="H62" s="213">
        <v>0</v>
      </c>
      <c r="I62" s="213">
        <v>0</v>
      </c>
      <c r="J62" s="213">
        <v>0</v>
      </c>
      <c r="K62" s="213">
        <v>0</v>
      </c>
      <c r="L62" s="213">
        <v>0</v>
      </c>
      <c r="M62" s="213">
        <v>0</v>
      </c>
      <c r="N62" s="213">
        <v>0</v>
      </c>
      <c r="O62" s="213">
        <v>0</v>
      </c>
      <c r="P62" s="214">
        <v>2416101</v>
      </c>
      <c r="Q62" s="214">
        <v>460136</v>
      </c>
      <c r="R62" s="214">
        <v>3143251</v>
      </c>
      <c r="S62" s="228">
        <v>315123</v>
      </c>
      <c r="T62" s="228">
        <v>0</v>
      </c>
      <c r="U62" s="227">
        <v>2183333</v>
      </c>
      <c r="V62" s="214">
        <v>0</v>
      </c>
      <c r="W62" s="214">
        <v>206563</v>
      </c>
      <c r="X62" s="214">
        <v>400351</v>
      </c>
      <c r="Y62" s="214">
        <v>2348341</v>
      </c>
      <c r="Z62" s="214">
        <v>0</v>
      </c>
      <c r="AA62" s="214">
        <v>181313</v>
      </c>
      <c r="AB62" s="240">
        <v>1337489</v>
      </c>
      <c r="AC62" s="214">
        <v>672931</v>
      </c>
      <c r="AD62" s="214">
        <v>0</v>
      </c>
      <c r="AE62" s="214">
        <v>715739</v>
      </c>
      <c r="AF62" s="214">
        <v>0</v>
      </c>
      <c r="AG62" s="214">
        <v>3021602</v>
      </c>
      <c r="AH62" s="214">
        <v>113585</v>
      </c>
      <c r="AI62" s="214">
        <v>1027789</v>
      </c>
      <c r="AJ62" s="214">
        <v>14584806</v>
      </c>
      <c r="AK62" s="214">
        <v>2018251</v>
      </c>
      <c r="AL62" s="214">
        <v>14260</v>
      </c>
      <c r="AM62" s="214">
        <v>0</v>
      </c>
      <c r="AN62" s="214">
        <v>0</v>
      </c>
      <c r="AO62" s="214">
        <v>0</v>
      </c>
      <c r="AP62" s="214">
        <v>1290791</v>
      </c>
      <c r="AQ62" s="214">
        <v>0</v>
      </c>
      <c r="AR62" s="214">
        <v>0</v>
      </c>
      <c r="AS62" s="214">
        <v>0</v>
      </c>
      <c r="AT62" s="214">
        <v>0</v>
      </c>
      <c r="AU62" s="214">
        <v>0</v>
      </c>
      <c r="AV62" s="228">
        <v>160808</v>
      </c>
      <c r="AW62" s="228">
        <v>0</v>
      </c>
      <c r="AX62" s="228">
        <v>0</v>
      </c>
      <c r="AY62" s="214">
        <v>951300</v>
      </c>
      <c r="AZ62" s="214">
        <v>0</v>
      </c>
      <c r="BA62" s="228">
        <v>0</v>
      </c>
      <c r="BB62" s="228">
        <v>614497</v>
      </c>
      <c r="BC62" s="228">
        <v>0</v>
      </c>
      <c r="BD62" s="228">
        <v>412051</v>
      </c>
      <c r="BE62" s="214">
        <v>1365511</v>
      </c>
      <c r="BF62" s="228">
        <v>1194848</v>
      </c>
      <c r="BG62" s="228">
        <v>0</v>
      </c>
      <c r="BH62" s="228">
        <v>658143</v>
      </c>
      <c r="BI62" s="228">
        <v>0</v>
      </c>
      <c r="BJ62" s="228">
        <v>577160</v>
      </c>
      <c r="BK62" s="228">
        <v>1474297</v>
      </c>
      <c r="BL62" s="228">
        <v>910710</v>
      </c>
      <c r="BM62" s="228">
        <v>0</v>
      </c>
      <c r="BN62" s="228">
        <v>1174849</v>
      </c>
      <c r="BO62" s="228">
        <v>137201</v>
      </c>
      <c r="BP62" s="228">
        <v>201518</v>
      </c>
      <c r="BQ62" s="228">
        <v>0</v>
      </c>
      <c r="BR62" s="228">
        <v>742467</v>
      </c>
      <c r="BS62" s="228">
        <v>0</v>
      </c>
      <c r="BT62" s="228">
        <v>0</v>
      </c>
      <c r="BU62" s="228">
        <v>0</v>
      </c>
      <c r="BV62" s="228">
        <v>1392218</v>
      </c>
      <c r="BW62" s="228">
        <v>110622</v>
      </c>
      <c r="BX62" s="228">
        <v>0</v>
      </c>
      <c r="BY62" s="228">
        <v>1446521</v>
      </c>
      <c r="BZ62" s="228">
        <v>279308</v>
      </c>
      <c r="CA62" s="228">
        <v>131491</v>
      </c>
      <c r="CB62" s="228">
        <v>0</v>
      </c>
      <c r="CC62" s="228">
        <v>582191</v>
      </c>
      <c r="CD62" s="29" t="s">
        <v>233</v>
      </c>
      <c r="CE62" s="32">
        <f t="shared" si="4"/>
        <v>61171915</v>
      </c>
    </row>
    <row r="63" spans="1:83" x14ac:dyDescent="0.35">
      <c r="A63" s="39" t="s">
        <v>9</v>
      </c>
      <c r="B63" s="20"/>
      <c r="C63" s="269">
        <f>ROUND(C48+C49,0)</f>
        <v>837304</v>
      </c>
      <c r="D63" s="269">
        <f t="shared" ref="D63:BO63" si="5">ROUND(D48+D49,0)</f>
        <v>0</v>
      </c>
      <c r="E63" s="269">
        <f t="shared" si="5"/>
        <v>1194658</v>
      </c>
      <c r="F63" s="269">
        <f t="shared" si="5"/>
        <v>1062023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732705</v>
      </c>
      <c r="Q63" s="269">
        <f t="shared" si="5"/>
        <v>139540</v>
      </c>
      <c r="R63" s="269">
        <f t="shared" si="5"/>
        <v>953220</v>
      </c>
      <c r="S63" s="269">
        <f t="shared" si="5"/>
        <v>95564</v>
      </c>
      <c r="T63" s="269">
        <f t="shared" si="5"/>
        <v>0</v>
      </c>
      <c r="U63" s="269">
        <f t="shared" si="5"/>
        <v>662116</v>
      </c>
      <c r="V63" s="269">
        <f t="shared" si="5"/>
        <v>0</v>
      </c>
      <c r="W63" s="269">
        <f t="shared" si="5"/>
        <v>62642</v>
      </c>
      <c r="X63" s="269">
        <f t="shared" si="5"/>
        <v>121410</v>
      </c>
      <c r="Y63" s="269">
        <f t="shared" si="5"/>
        <v>712156</v>
      </c>
      <c r="Z63" s="269">
        <f t="shared" si="5"/>
        <v>0</v>
      </c>
      <c r="AA63" s="269">
        <f t="shared" si="5"/>
        <v>54985</v>
      </c>
      <c r="AB63" s="269">
        <f t="shared" si="5"/>
        <v>405606</v>
      </c>
      <c r="AC63" s="269">
        <f t="shared" si="5"/>
        <v>204072</v>
      </c>
      <c r="AD63" s="269">
        <f t="shared" si="5"/>
        <v>0</v>
      </c>
      <c r="AE63" s="269">
        <f t="shared" si="5"/>
        <v>217054</v>
      </c>
      <c r="AF63" s="269">
        <f t="shared" si="5"/>
        <v>0</v>
      </c>
      <c r="AG63" s="269">
        <f t="shared" si="5"/>
        <v>916329</v>
      </c>
      <c r="AH63" s="269">
        <f t="shared" si="5"/>
        <v>34446</v>
      </c>
      <c r="AI63" s="269">
        <f t="shared" si="5"/>
        <v>311686</v>
      </c>
      <c r="AJ63" s="269">
        <f t="shared" si="5"/>
        <v>4422976</v>
      </c>
      <c r="AK63" s="269">
        <f t="shared" si="5"/>
        <v>612053</v>
      </c>
      <c r="AL63" s="269">
        <f t="shared" si="5"/>
        <v>4324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391444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48767</v>
      </c>
      <c r="AW63" s="269">
        <f t="shared" si="5"/>
        <v>0</v>
      </c>
      <c r="AX63" s="269">
        <f t="shared" si="5"/>
        <v>0</v>
      </c>
      <c r="AY63" s="269">
        <f t="shared" si="5"/>
        <v>288490</v>
      </c>
      <c r="AZ63" s="269">
        <f t="shared" si="5"/>
        <v>0</v>
      </c>
      <c r="BA63" s="269">
        <f t="shared" si="5"/>
        <v>0</v>
      </c>
      <c r="BB63" s="269">
        <f t="shared" si="5"/>
        <v>186352</v>
      </c>
      <c r="BC63" s="269">
        <f t="shared" si="5"/>
        <v>0</v>
      </c>
      <c r="BD63" s="269">
        <f t="shared" si="5"/>
        <v>124958</v>
      </c>
      <c r="BE63" s="269">
        <f t="shared" si="5"/>
        <v>414104</v>
      </c>
      <c r="BF63" s="269">
        <f t="shared" si="5"/>
        <v>362349</v>
      </c>
      <c r="BG63" s="269">
        <f t="shared" si="5"/>
        <v>0</v>
      </c>
      <c r="BH63" s="269">
        <f t="shared" si="5"/>
        <v>199588</v>
      </c>
      <c r="BI63" s="269">
        <f t="shared" si="5"/>
        <v>0</v>
      </c>
      <c r="BJ63" s="269">
        <f t="shared" si="5"/>
        <v>175029</v>
      </c>
      <c r="BK63" s="269">
        <f t="shared" si="5"/>
        <v>447094</v>
      </c>
      <c r="BL63" s="269">
        <f t="shared" si="5"/>
        <v>276181</v>
      </c>
      <c r="BM63" s="269">
        <f t="shared" si="5"/>
        <v>0</v>
      </c>
      <c r="BN63" s="269">
        <f t="shared" si="5"/>
        <v>356284</v>
      </c>
      <c r="BO63" s="269">
        <f t="shared" si="5"/>
        <v>41607</v>
      </c>
      <c r="BP63" s="269">
        <f t="shared" ref="BP63:CC63" si="6">ROUND(BP48+BP49,0)</f>
        <v>61112</v>
      </c>
      <c r="BQ63" s="269">
        <f t="shared" si="6"/>
        <v>0</v>
      </c>
      <c r="BR63" s="269">
        <f t="shared" si="6"/>
        <v>225160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422203</v>
      </c>
      <c r="BW63" s="269">
        <f t="shared" si="6"/>
        <v>33547</v>
      </c>
      <c r="BX63" s="269">
        <f t="shared" si="6"/>
        <v>0</v>
      </c>
      <c r="BY63" s="269">
        <f t="shared" si="6"/>
        <v>438671</v>
      </c>
      <c r="BZ63" s="269">
        <f t="shared" si="6"/>
        <v>84703</v>
      </c>
      <c r="CA63" s="269">
        <f t="shared" si="6"/>
        <v>39876</v>
      </c>
      <c r="CB63" s="269">
        <f t="shared" si="6"/>
        <v>0</v>
      </c>
      <c r="CC63" s="269">
        <f t="shared" si="6"/>
        <v>176555</v>
      </c>
      <c r="CD63" s="29" t="s">
        <v>233</v>
      </c>
      <c r="CE63" s="32">
        <f t="shared" si="4"/>
        <v>18550943</v>
      </c>
    </row>
    <row r="64" spans="1:83" x14ac:dyDescent="0.35">
      <c r="A64" s="39" t="s">
        <v>249</v>
      </c>
      <c r="B64" s="20"/>
      <c r="C64" s="213">
        <v>2003573</v>
      </c>
      <c r="D64" s="213">
        <v>0</v>
      </c>
      <c r="E64" s="213">
        <v>0</v>
      </c>
      <c r="F64" s="213">
        <v>0</v>
      </c>
      <c r="G64" s="213">
        <v>0</v>
      </c>
      <c r="H64" s="213">
        <v>0</v>
      </c>
      <c r="I64" s="213">
        <v>0</v>
      </c>
      <c r="J64" s="213">
        <v>0</v>
      </c>
      <c r="K64" s="213">
        <v>0</v>
      </c>
      <c r="L64" s="213">
        <v>0</v>
      </c>
      <c r="M64" s="213">
        <v>0</v>
      </c>
      <c r="N64" s="213">
        <v>0</v>
      </c>
      <c r="O64" s="213">
        <v>0</v>
      </c>
      <c r="P64" s="214">
        <v>0</v>
      </c>
      <c r="Q64" s="214">
        <v>0</v>
      </c>
      <c r="R64" s="214">
        <v>1313860</v>
      </c>
      <c r="S64" s="228">
        <v>0</v>
      </c>
      <c r="T64" s="228">
        <v>0</v>
      </c>
      <c r="U64" s="227">
        <v>12341</v>
      </c>
      <c r="V64" s="214">
        <v>0</v>
      </c>
      <c r="W64" s="214">
        <v>0</v>
      </c>
      <c r="X64" s="214">
        <v>0</v>
      </c>
      <c r="Y64" s="214">
        <v>45692</v>
      </c>
      <c r="Z64" s="214">
        <v>0</v>
      </c>
      <c r="AA64" s="214">
        <v>2975</v>
      </c>
      <c r="AB64" s="240">
        <v>43910</v>
      </c>
      <c r="AC64" s="214">
        <v>0</v>
      </c>
      <c r="AD64" s="214">
        <v>0</v>
      </c>
      <c r="AE64" s="214">
        <v>0</v>
      </c>
      <c r="AF64" s="214">
        <v>0</v>
      </c>
      <c r="AG64" s="214">
        <v>3583668</v>
      </c>
      <c r="AH64" s="214">
        <v>13340</v>
      </c>
      <c r="AI64" s="214">
        <v>0</v>
      </c>
      <c r="AJ64" s="214">
        <v>195274</v>
      </c>
      <c r="AK64" s="214">
        <v>9175</v>
      </c>
      <c r="AL64" s="214">
        <v>0</v>
      </c>
      <c r="AM64" s="214">
        <v>0</v>
      </c>
      <c r="AN64" s="214">
        <v>0</v>
      </c>
      <c r="AO64" s="214">
        <v>0</v>
      </c>
      <c r="AP64" s="214">
        <v>133270</v>
      </c>
      <c r="AQ64" s="214">
        <v>0</v>
      </c>
      <c r="AR64" s="214">
        <v>0</v>
      </c>
      <c r="AS64" s="214">
        <v>0</v>
      </c>
      <c r="AT64" s="214">
        <v>0</v>
      </c>
      <c r="AU64" s="214">
        <v>0</v>
      </c>
      <c r="AV64" s="228">
        <v>-26015</v>
      </c>
      <c r="AW64" s="228">
        <v>0</v>
      </c>
      <c r="AX64" s="228">
        <v>0</v>
      </c>
      <c r="AY64" s="214">
        <v>0</v>
      </c>
      <c r="AZ64" s="214">
        <v>0</v>
      </c>
      <c r="BA64" s="228">
        <v>0</v>
      </c>
      <c r="BB64" s="228">
        <v>0</v>
      </c>
      <c r="BC64" s="228">
        <v>0</v>
      </c>
      <c r="BD64" s="228">
        <v>0</v>
      </c>
      <c r="BE64" s="214">
        <v>7700</v>
      </c>
      <c r="BF64" s="228">
        <v>0</v>
      </c>
      <c r="BG64" s="228">
        <v>0</v>
      </c>
      <c r="BH64" s="228">
        <v>0</v>
      </c>
      <c r="BI64" s="228">
        <v>0</v>
      </c>
      <c r="BJ64" s="228">
        <v>86430</v>
      </c>
      <c r="BK64" s="228">
        <v>458868</v>
      </c>
      <c r="BL64" s="228">
        <v>0</v>
      </c>
      <c r="BM64" s="228">
        <v>48000</v>
      </c>
      <c r="BN64" s="228">
        <v>193454</v>
      </c>
      <c r="BO64" s="228">
        <v>0</v>
      </c>
      <c r="BP64" s="228">
        <v>4188</v>
      </c>
      <c r="BQ64" s="228">
        <v>0</v>
      </c>
      <c r="BR64" s="228">
        <v>337161</v>
      </c>
      <c r="BS64" s="228">
        <v>0</v>
      </c>
      <c r="BT64" s="228">
        <v>0</v>
      </c>
      <c r="BU64" s="228">
        <v>0</v>
      </c>
      <c r="BV64" s="228">
        <v>0</v>
      </c>
      <c r="BW64" s="228">
        <v>38867</v>
      </c>
      <c r="BX64" s="228">
        <v>0</v>
      </c>
      <c r="BY64" s="228">
        <v>0</v>
      </c>
      <c r="BZ64" s="228">
        <v>0</v>
      </c>
      <c r="CA64" s="228">
        <v>0</v>
      </c>
      <c r="CB64" s="228">
        <v>0</v>
      </c>
      <c r="CC64" s="228">
        <v>26326</v>
      </c>
      <c r="CD64" s="29" t="s">
        <v>233</v>
      </c>
      <c r="CE64" s="32">
        <f t="shared" si="4"/>
        <v>8532057</v>
      </c>
    </row>
    <row r="65" spans="1:83" x14ac:dyDescent="0.35">
      <c r="A65" s="39" t="s">
        <v>250</v>
      </c>
      <c r="B65" s="20"/>
      <c r="C65" s="213">
        <v>280288.36</v>
      </c>
      <c r="D65" s="213">
        <v>0</v>
      </c>
      <c r="E65" s="213">
        <v>357946.38</v>
      </c>
      <c r="F65" s="213">
        <v>254810.89</v>
      </c>
      <c r="G65" s="213">
        <v>0</v>
      </c>
      <c r="H65" s="213">
        <v>0</v>
      </c>
      <c r="I65" s="213">
        <v>0</v>
      </c>
      <c r="J65" s="213">
        <v>58733.65</v>
      </c>
      <c r="K65" s="213">
        <v>0</v>
      </c>
      <c r="L65" s="213">
        <v>0</v>
      </c>
      <c r="M65" s="213">
        <v>0</v>
      </c>
      <c r="N65" s="213">
        <v>0</v>
      </c>
      <c r="O65" s="213">
        <v>194596.85</v>
      </c>
      <c r="P65" s="214">
        <v>2425579.8800000004</v>
      </c>
      <c r="Q65" s="214">
        <v>44870.559999999998</v>
      </c>
      <c r="R65" s="214">
        <v>208464.67</v>
      </c>
      <c r="S65" s="228">
        <v>3130927.07</v>
      </c>
      <c r="T65" s="228">
        <v>0</v>
      </c>
      <c r="U65" s="227">
        <v>1703237.6800000002</v>
      </c>
      <c r="V65" s="214">
        <v>6297.23</v>
      </c>
      <c r="W65" s="214">
        <v>17582.900000000001</v>
      </c>
      <c r="X65" s="214">
        <v>158245.73000000001</v>
      </c>
      <c r="Y65" s="214">
        <v>132838.38999999998</v>
      </c>
      <c r="Z65" s="214">
        <v>0</v>
      </c>
      <c r="AA65" s="214">
        <v>157327.91</v>
      </c>
      <c r="AB65" s="240">
        <v>4427798.96</v>
      </c>
      <c r="AC65" s="214">
        <v>88531.11</v>
      </c>
      <c r="AD65" s="214">
        <v>0</v>
      </c>
      <c r="AE65" s="214">
        <v>15519.57</v>
      </c>
      <c r="AF65" s="214">
        <v>0</v>
      </c>
      <c r="AG65" s="214">
        <v>540244.26</v>
      </c>
      <c r="AH65" s="214">
        <v>81735.39</v>
      </c>
      <c r="AI65" s="214">
        <v>174415.81</v>
      </c>
      <c r="AJ65" s="214">
        <v>838570.55</v>
      </c>
      <c r="AK65" s="214">
        <v>19053.28</v>
      </c>
      <c r="AL65" s="214">
        <v>0</v>
      </c>
      <c r="AM65" s="214">
        <v>0</v>
      </c>
      <c r="AN65" s="214">
        <v>0</v>
      </c>
      <c r="AO65" s="214">
        <v>0</v>
      </c>
      <c r="AP65" s="214">
        <v>36208.75</v>
      </c>
      <c r="AQ65" s="214">
        <v>0</v>
      </c>
      <c r="AR65" s="214">
        <v>0</v>
      </c>
      <c r="AS65" s="214">
        <v>0</v>
      </c>
      <c r="AT65" s="214">
        <v>0</v>
      </c>
      <c r="AU65" s="214">
        <v>0</v>
      </c>
      <c r="AV65" s="228">
        <v>8558.58</v>
      </c>
      <c r="AW65" s="228">
        <v>0</v>
      </c>
      <c r="AX65" s="228">
        <v>0</v>
      </c>
      <c r="AY65" s="214">
        <v>470552.9</v>
      </c>
      <c r="AZ65" s="214">
        <v>0</v>
      </c>
      <c r="BA65" s="228">
        <v>0</v>
      </c>
      <c r="BB65" s="228">
        <v>3338.58</v>
      </c>
      <c r="BC65" s="228">
        <v>0</v>
      </c>
      <c r="BD65" s="228">
        <v>17911.420000000002</v>
      </c>
      <c r="BE65" s="214">
        <v>34540.92</v>
      </c>
      <c r="BF65" s="228">
        <v>240938.28</v>
      </c>
      <c r="BG65" s="228">
        <v>0</v>
      </c>
      <c r="BH65" s="228">
        <v>16310.17</v>
      </c>
      <c r="BI65" s="228">
        <v>0</v>
      </c>
      <c r="BJ65" s="228">
        <v>8900.07</v>
      </c>
      <c r="BK65" s="228">
        <v>5359.49</v>
      </c>
      <c r="BL65" s="228">
        <v>13753.06</v>
      </c>
      <c r="BM65" s="228">
        <v>8507.5099999999984</v>
      </c>
      <c r="BN65" s="228">
        <v>20122.27</v>
      </c>
      <c r="BO65" s="228">
        <v>9124.9599999999991</v>
      </c>
      <c r="BP65" s="228">
        <v>28987</v>
      </c>
      <c r="BQ65" s="228">
        <v>0</v>
      </c>
      <c r="BR65" s="228">
        <v>12528.8</v>
      </c>
      <c r="BS65" s="228">
        <v>2400.37</v>
      </c>
      <c r="BT65" s="228">
        <v>0</v>
      </c>
      <c r="BU65" s="228">
        <v>0</v>
      </c>
      <c r="BV65" s="228">
        <v>2641.86</v>
      </c>
      <c r="BW65" s="228">
        <v>5569.65</v>
      </c>
      <c r="BX65" s="228">
        <v>0</v>
      </c>
      <c r="BY65" s="228">
        <v>17342.34</v>
      </c>
      <c r="BZ65" s="228">
        <v>0</v>
      </c>
      <c r="CA65" s="228">
        <v>137756.57</v>
      </c>
      <c r="CB65" s="228">
        <v>47.05</v>
      </c>
      <c r="CC65" s="228">
        <v>7114.7999999999993</v>
      </c>
      <c r="CD65" s="29" t="s">
        <v>233</v>
      </c>
      <c r="CE65" s="32">
        <f t="shared" si="4"/>
        <v>16426132.480000006</v>
      </c>
    </row>
    <row r="66" spans="1:83" x14ac:dyDescent="0.35">
      <c r="A66" s="39" t="s">
        <v>251</v>
      </c>
      <c r="B66" s="20"/>
      <c r="C66" s="213">
        <v>0</v>
      </c>
      <c r="D66" s="213">
        <v>0</v>
      </c>
      <c r="E66" s="213">
        <v>0</v>
      </c>
      <c r="F66" s="213">
        <v>0</v>
      </c>
      <c r="G66" s="213">
        <v>0</v>
      </c>
      <c r="H66" s="213">
        <v>0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0</v>
      </c>
      <c r="P66" s="214">
        <v>0</v>
      </c>
      <c r="Q66" s="214">
        <v>0</v>
      </c>
      <c r="R66" s="214">
        <v>552.86</v>
      </c>
      <c r="S66" s="228">
        <v>0</v>
      </c>
      <c r="T66" s="228">
        <v>0</v>
      </c>
      <c r="U66" s="227">
        <v>0</v>
      </c>
      <c r="V66" s="214">
        <v>0</v>
      </c>
      <c r="W66" s="214">
        <v>0</v>
      </c>
      <c r="X66" s="214">
        <v>0</v>
      </c>
      <c r="Y66" s="214">
        <v>0</v>
      </c>
      <c r="Z66" s="214">
        <v>0</v>
      </c>
      <c r="AA66" s="214">
        <v>0</v>
      </c>
      <c r="AB66" s="240">
        <v>0</v>
      </c>
      <c r="AC66" s="214">
        <v>0</v>
      </c>
      <c r="AD66" s="214">
        <v>0</v>
      </c>
      <c r="AE66" s="214">
        <v>0</v>
      </c>
      <c r="AF66" s="214">
        <v>0</v>
      </c>
      <c r="AG66" s="214">
        <v>0</v>
      </c>
      <c r="AH66" s="214">
        <v>0</v>
      </c>
      <c r="AI66" s="214">
        <v>0</v>
      </c>
      <c r="AJ66" s="214">
        <v>0</v>
      </c>
      <c r="AK66" s="214">
        <v>0</v>
      </c>
      <c r="AL66" s="214">
        <v>0</v>
      </c>
      <c r="AM66" s="214">
        <v>0</v>
      </c>
      <c r="AN66" s="214">
        <v>0</v>
      </c>
      <c r="AO66" s="214">
        <v>0</v>
      </c>
      <c r="AP66" s="214">
        <v>0</v>
      </c>
      <c r="AQ66" s="214">
        <v>0</v>
      </c>
      <c r="AR66" s="214">
        <v>0</v>
      </c>
      <c r="AS66" s="214">
        <v>0</v>
      </c>
      <c r="AT66" s="214">
        <v>0</v>
      </c>
      <c r="AU66" s="214">
        <v>0</v>
      </c>
      <c r="AV66" s="228">
        <v>0</v>
      </c>
      <c r="AW66" s="228">
        <v>0</v>
      </c>
      <c r="AX66" s="228">
        <v>0</v>
      </c>
      <c r="AY66" s="214">
        <v>0</v>
      </c>
      <c r="AZ66" s="214">
        <v>0</v>
      </c>
      <c r="BA66" s="228">
        <v>0</v>
      </c>
      <c r="BB66" s="228">
        <v>0</v>
      </c>
      <c r="BC66" s="228">
        <v>0</v>
      </c>
      <c r="BD66" s="228">
        <v>0</v>
      </c>
      <c r="BE66" s="214">
        <v>319146.60000000003</v>
      </c>
      <c r="BF66" s="228">
        <v>0</v>
      </c>
      <c r="BG66" s="228">
        <v>0</v>
      </c>
      <c r="BH66" s="228">
        <v>160073.75</v>
      </c>
      <c r="BI66" s="228">
        <v>0</v>
      </c>
      <c r="BJ66" s="228">
        <v>0</v>
      </c>
      <c r="BK66" s="228">
        <v>0</v>
      </c>
      <c r="BL66" s="228">
        <v>0</v>
      </c>
      <c r="BM66" s="228">
        <v>0</v>
      </c>
      <c r="BN66" s="228">
        <v>0</v>
      </c>
      <c r="BO66" s="228">
        <v>0</v>
      </c>
      <c r="BP66" s="228">
        <v>0</v>
      </c>
      <c r="BQ66" s="228">
        <v>0</v>
      </c>
      <c r="BR66" s="228">
        <v>0</v>
      </c>
      <c r="BS66" s="228">
        <v>0</v>
      </c>
      <c r="BT66" s="228">
        <v>0</v>
      </c>
      <c r="BU66" s="228">
        <v>0</v>
      </c>
      <c r="BV66" s="228">
        <v>0</v>
      </c>
      <c r="BW66" s="228">
        <v>0</v>
      </c>
      <c r="BX66" s="228">
        <v>0</v>
      </c>
      <c r="BY66" s="228">
        <v>0</v>
      </c>
      <c r="BZ66" s="228">
        <v>0</v>
      </c>
      <c r="CA66" s="228">
        <v>0</v>
      </c>
      <c r="CB66" s="228">
        <v>0</v>
      </c>
      <c r="CC66" s="228">
        <v>140781.68</v>
      </c>
      <c r="CD66" s="29" t="s">
        <v>233</v>
      </c>
      <c r="CE66" s="32">
        <f t="shared" si="4"/>
        <v>620554.89</v>
      </c>
    </row>
    <row r="67" spans="1:83" x14ac:dyDescent="0.35">
      <c r="A67" s="39" t="s">
        <v>252</v>
      </c>
      <c r="B67" s="20"/>
      <c r="C67" s="213">
        <v>5346</v>
      </c>
      <c r="D67" s="213">
        <v>0</v>
      </c>
      <c r="E67" s="213">
        <v>7342.1500000000015</v>
      </c>
      <c r="F67" s="213">
        <v>47565.85</v>
      </c>
      <c r="G67" s="213">
        <v>0</v>
      </c>
      <c r="H67" s="213">
        <v>0</v>
      </c>
      <c r="I67" s="213">
        <v>0</v>
      </c>
      <c r="J67" s="213">
        <v>0</v>
      </c>
      <c r="K67" s="213">
        <v>0</v>
      </c>
      <c r="L67" s="213">
        <v>0</v>
      </c>
      <c r="M67" s="213">
        <v>0</v>
      </c>
      <c r="N67" s="213">
        <v>0</v>
      </c>
      <c r="O67" s="213">
        <v>0</v>
      </c>
      <c r="P67" s="214">
        <v>79900</v>
      </c>
      <c r="Q67" s="214">
        <v>1667</v>
      </c>
      <c r="R67" s="214">
        <v>-64027</v>
      </c>
      <c r="S67" s="228">
        <v>52980</v>
      </c>
      <c r="T67" s="228">
        <v>0</v>
      </c>
      <c r="U67" s="227">
        <v>1825477</v>
      </c>
      <c r="V67" s="214">
        <v>30652</v>
      </c>
      <c r="W67" s="214">
        <v>83124</v>
      </c>
      <c r="X67" s="214">
        <v>171900</v>
      </c>
      <c r="Y67" s="214">
        <v>648176</v>
      </c>
      <c r="Z67" s="214">
        <v>0</v>
      </c>
      <c r="AA67" s="214">
        <v>36281</v>
      </c>
      <c r="AB67" s="240">
        <v>319528</v>
      </c>
      <c r="AC67" s="214">
        <v>17546</v>
      </c>
      <c r="AD67" s="214">
        <v>0</v>
      </c>
      <c r="AE67" s="214">
        <v>6517</v>
      </c>
      <c r="AF67" s="214">
        <v>0</v>
      </c>
      <c r="AG67" s="214">
        <v>21693</v>
      </c>
      <c r="AH67" s="214">
        <v>117599</v>
      </c>
      <c r="AI67" s="214">
        <v>184</v>
      </c>
      <c r="AJ67" s="214">
        <v>218844</v>
      </c>
      <c r="AK67" s="214">
        <v>15191</v>
      </c>
      <c r="AL67" s="214">
        <v>0</v>
      </c>
      <c r="AM67" s="214">
        <v>0</v>
      </c>
      <c r="AN67" s="214">
        <v>0</v>
      </c>
      <c r="AO67" s="214">
        <v>0</v>
      </c>
      <c r="AP67" s="214">
        <v>98425</v>
      </c>
      <c r="AQ67" s="214">
        <v>0</v>
      </c>
      <c r="AR67" s="214">
        <v>0</v>
      </c>
      <c r="AS67" s="214">
        <v>0</v>
      </c>
      <c r="AT67" s="214">
        <v>0</v>
      </c>
      <c r="AU67" s="214">
        <v>0</v>
      </c>
      <c r="AV67" s="228">
        <v>24530</v>
      </c>
      <c r="AW67" s="228">
        <v>0</v>
      </c>
      <c r="AX67" s="228">
        <v>0</v>
      </c>
      <c r="AY67" s="214">
        <v>30121</v>
      </c>
      <c r="AZ67" s="214">
        <v>0</v>
      </c>
      <c r="BA67" s="228">
        <v>0</v>
      </c>
      <c r="BB67" s="228">
        <v>119564</v>
      </c>
      <c r="BC67" s="228">
        <v>0</v>
      </c>
      <c r="BD67" s="228">
        <v>254943</v>
      </c>
      <c r="BE67" s="214">
        <v>823374</v>
      </c>
      <c r="BF67" s="228">
        <v>964890</v>
      </c>
      <c r="BG67" s="228">
        <v>0</v>
      </c>
      <c r="BH67" s="228">
        <v>2527367</v>
      </c>
      <c r="BI67" s="228">
        <v>0</v>
      </c>
      <c r="BJ67" s="228">
        <v>19858</v>
      </c>
      <c r="BK67" s="228">
        <v>125720</v>
      </c>
      <c r="BL67" s="228">
        <v>3458</v>
      </c>
      <c r="BM67" s="228">
        <v>2468</v>
      </c>
      <c r="BN67" s="228">
        <v>165525</v>
      </c>
      <c r="BO67" s="228">
        <v>0</v>
      </c>
      <c r="BP67" s="228">
        <v>21134</v>
      </c>
      <c r="BQ67" s="228">
        <v>0</v>
      </c>
      <c r="BR67" s="228">
        <v>451274</v>
      </c>
      <c r="BS67" s="228">
        <v>0</v>
      </c>
      <c r="BT67" s="228">
        <v>0</v>
      </c>
      <c r="BU67" s="228">
        <v>0</v>
      </c>
      <c r="BV67" s="228">
        <v>342825</v>
      </c>
      <c r="BW67" s="228">
        <v>79021</v>
      </c>
      <c r="BX67" s="228">
        <v>0</v>
      </c>
      <c r="BY67" s="228">
        <v>127413</v>
      </c>
      <c r="BZ67" s="228">
        <v>0</v>
      </c>
      <c r="CA67" s="228">
        <v>98791</v>
      </c>
      <c r="CB67" s="228">
        <v>0</v>
      </c>
      <c r="CC67" s="228">
        <v>106018</v>
      </c>
      <c r="CD67" s="29" t="s">
        <v>233</v>
      </c>
      <c r="CE67" s="32">
        <f t="shared" si="4"/>
        <v>10030205</v>
      </c>
    </row>
    <row r="68" spans="1:83" x14ac:dyDescent="0.3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571186</v>
      </c>
      <c r="F68" s="32">
        <f t="shared" si="7"/>
        <v>361892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280343</v>
      </c>
      <c r="Q68" s="32">
        <f t="shared" si="7"/>
        <v>39833</v>
      </c>
      <c r="R68" s="32">
        <f t="shared" si="7"/>
        <v>5307</v>
      </c>
      <c r="S68" s="32">
        <f t="shared" si="7"/>
        <v>38777</v>
      </c>
      <c r="T68" s="32">
        <f t="shared" si="7"/>
        <v>0</v>
      </c>
      <c r="U68" s="32">
        <f t="shared" si="7"/>
        <v>92763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189777</v>
      </c>
      <c r="Z68" s="32">
        <f t="shared" si="7"/>
        <v>0</v>
      </c>
      <c r="AA68" s="32">
        <f t="shared" si="7"/>
        <v>0</v>
      </c>
      <c r="AB68" s="32">
        <f t="shared" si="7"/>
        <v>47109</v>
      </c>
      <c r="AC68" s="32">
        <f t="shared" si="7"/>
        <v>23654</v>
      </c>
      <c r="AD68" s="32">
        <f t="shared" si="7"/>
        <v>0</v>
      </c>
      <c r="AE68" s="32">
        <f t="shared" si="7"/>
        <v>58180</v>
      </c>
      <c r="AF68" s="32">
        <f t="shared" si="7"/>
        <v>0</v>
      </c>
      <c r="AG68" s="32">
        <f t="shared" si="7"/>
        <v>156136</v>
      </c>
      <c r="AH68" s="32">
        <f t="shared" si="7"/>
        <v>0</v>
      </c>
      <c r="AI68" s="32">
        <f t="shared" si="7"/>
        <v>110710</v>
      </c>
      <c r="AJ68" s="32">
        <f t="shared" si="7"/>
        <v>1929186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210378</v>
      </c>
      <c r="AZ68" s="32">
        <f t="shared" si="7"/>
        <v>0</v>
      </c>
      <c r="BA68" s="32">
        <f t="shared" si="7"/>
        <v>18747</v>
      </c>
      <c r="BB68" s="32">
        <f t="shared" si="7"/>
        <v>16692</v>
      </c>
      <c r="BC68" s="32">
        <f t="shared" si="7"/>
        <v>0</v>
      </c>
      <c r="BD68" s="32">
        <f t="shared" si="7"/>
        <v>134136</v>
      </c>
      <c r="BE68" s="32">
        <f t="shared" si="7"/>
        <v>699216</v>
      </c>
      <c r="BF68" s="32">
        <f t="shared" si="7"/>
        <v>97642</v>
      </c>
      <c r="BG68" s="32">
        <f t="shared" si="7"/>
        <v>0</v>
      </c>
      <c r="BH68" s="32">
        <f t="shared" si="7"/>
        <v>101408</v>
      </c>
      <c r="BI68" s="32">
        <f t="shared" si="7"/>
        <v>0</v>
      </c>
      <c r="BJ68" s="32">
        <f t="shared" si="7"/>
        <v>41488</v>
      </c>
      <c r="BK68" s="32">
        <f t="shared" si="7"/>
        <v>53301</v>
      </c>
      <c r="BL68" s="32">
        <f t="shared" si="7"/>
        <v>37864</v>
      </c>
      <c r="BM68" s="32">
        <f t="shared" si="7"/>
        <v>0</v>
      </c>
      <c r="BN68" s="32">
        <f t="shared" si="7"/>
        <v>816603</v>
      </c>
      <c r="BO68" s="32">
        <f t="shared" ref="BO68:CC68" si="8">ROUND(BO52+BO53,0)</f>
        <v>5849</v>
      </c>
      <c r="BP68" s="32">
        <f t="shared" si="8"/>
        <v>33327</v>
      </c>
      <c r="BQ68" s="32">
        <f t="shared" si="8"/>
        <v>0</v>
      </c>
      <c r="BR68" s="32">
        <f t="shared" si="8"/>
        <v>46710</v>
      </c>
      <c r="BS68" s="32">
        <f t="shared" si="8"/>
        <v>25481</v>
      </c>
      <c r="BT68" s="32">
        <f t="shared" si="8"/>
        <v>0</v>
      </c>
      <c r="BU68" s="32">
        <f t="shared" si="8"/>
        <v>0</v>
      </c>
      <c r="BV68" s="32">
        <f t="shared" si="8"/>
        <v>46852</v>
      </c>
      <c r="BW68" s="32">
        <f t="shared" si="8"/>
        <v>26850</v>
      </c>
      <c r="BX68" s="32">
        <f t="shared" si="8"/>
        <v>0</v>
      </c>
      <c r="BY68" s="32">
        <f t="shared" si="8"/>
        <v>17206</v>
      </c>
      <c r="BZ68" s="32">
        <f t="shared" si="8"/>
        <v>0</v>
      </c>
      <c r="CA68" s="32">
        <f t="shared" si="8"/>
        <v>219052</v>
      </c>
      <c r="CB68" s="32">
        <f t="shared" si="8"/>
        <v>2853</v>
      </c>
      <c r="CC68" s="32">
        <f t="shared" si="8"/>
        <v>7533</v>
      </c>
      <c r="CD68" s="29" t="s">
        <v>233</v>
      </c>
      <c r="CE68" s="32">
        <f t="shared" si="4"/>
        <v>6564041</v>
      </c>
    </row>
    <row r="69" spans="1:83" x14ac:dyDescent="0.35">
      <c r="A69" s="39" t="s">
        <v>253</v>
      </c>
      <c r="B69" s="32"/>
      <c r="C69" s="213">
        <v>50564.95</v>
      </c>
      <c r="D69" s="213">
        <v>0</v>
      </c>
      <c r="E69" s="213">
        <v>16347.94</v>
      </c>
      <c r="F69" s="213">
        <v>0</v>
      </c>
      <c r="G69" s="213">
        <v>0</v>
      </c>
      <c r="H69" s="213">
        <v>0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0</v>
      </c>
      <c r="P69" s="214">
        <v>464942.43</v>
      </c>
      <c r="Q69" s="214">
        <v>0</v>
      </c>
      <c r="R69" s="214">
        <v>9485.02</v>
      </c>
      <c r="S69" s="228">
        <v>178167.16</v>
      </c>
      <c r="T69" s="228">
        <v>0</v>
      </c>
      <c r="U69" s="227">
        <v>51463.47</v>
      </c>
      <c r="V69" s="214">
        <v>0</v>
      </c>
      <c r="W69" s="214">
        <v>0</v>
      </c>
      <c r="X69" s="214">
        <v>0</v>
      </c>
      <c r="Y69" s="214">
        <v>1750</v>
      </c>
      <c r="Z69" s="214">
        <v>0</v>
      </c>
      <c r="AA69" s="214">
        <v>0</v>
      </c>
      <c r="AB69" s="240">
        <v>207872.34</v>
      </c>
      <c r="AC69" s="214">
        <v>0</v>
      </c>
      <c r="AD69" s="214">
        <v>0</v>
      </c>
      <c r="AE69" s="214">
        <v>0</v>
      </c>
      <c r="AF69" s="214">
        <v>0</v>
      </c>
      <c r="AG69" s="214">
        <v>0</v>
      </c>
      <c r="AH69" s="214">
        <v>5456.78</v>
      </c>
      <c r="AI69" s="214">
        <v>0</v>
      </c>
      <c r="AJ69" s="214">
        <v>362577.53</v>
      </c>
      <c r="AK69" s="214">
        <v>10836</v>
      </c>
      <c r="AL69" s="214">
        <v>0</v>
      </c>
      <c r="AM69" s="214">
        <v>0</v>
      </c>
      <c r="AN69" s="214">
        <v>0</v>
      </c>
      <c r="AO69" s="214">
        <v>0</v>
      </c>
      <c r="AP69" s="214">
        <v>0</v>
      </c>
      <c r="AQ69" s="214">
        <v>0</v>
      </c>
      <c r="AR69" s="214">
        <v>0</v>
      </c>
      <c r="AS69" s="214">
        <v>0</v>
      </c>
      <c r="AT69" s="214">
        <v>0</v>
      </c>
      <c r="AU69" s="214">
        <v>0</v>
      </c>
      <c r="AV69" s="228">
        <v>0</v>
      </c>
      <c r="AW69" s="228">
        <v>0</v>
      </c>
      <c r="AX69" s="228">
        <v>0</v>
      </c>
      <c r="AY69" s="214">
        <v>0</v>
      </c>
      <c r="AZ69" s="214">
        <v>0</v>
      </c>
      <c r="BA69" s="228">
        <v>0</v>
      </c>
      <c r="BB69" s="228">
        <v>0</v>
      </c>
      <c r="BC69" s="228">
        <v>0</v>
      </c>
      <c r="BD69" s="228">
        <v>87360.29</v>
      </c>
      <c r="BE69" s="214">
        <v>29822.639999999999</v>
      </c>
      <c r="BF69" s="228">
        <v>0</v>
      </c>
      <c r="BG69" s="228">
        <v>0</v>
      </c>
      <c r="BH69" s="228">
        <v>0</v>
      </c>
      <c r="BI69" s="228">
        <v>0</v>
      </c>
      <c r="BJ69" s="228">
        <v>0</v>
      </c>
      <c r="BK69" s="228">
        <v>0</v>
      </c>
      <c r="BL69" s="228">
        <v>0</v>
      </c>
      <c r="BM69" s="228">
        <v>0</v>
      </c>
      <c r="BN69" s="228">
        <v>0</v>
      </c>
      <c r="BO69" s="228">
        <v>0</v>
      </c>
      <c r="BP69" s="228">
        <v>3610.34</v>
      </c>
      <c r="BQ69" s="228">
        <v>0</v>
      </c>
      <c r="BR69" s="228">
        <v>0</v>
      </c>
      <c r="BS69" s="228">
        <v>0</v>
      </c>
      <c r="BT69" s="228">
        <v>0</v>
      </c>
      <c r="BU69" s="228">
        <v>0</v>
      </c>
      <c r="BV69" s="228">
        <v>0</v>
      </c>
      <c r="BW69" s="228">
        <v>0</v>
      </c>
      <c r="BX69" s="228">
        <v>0</v>
      </c>
      <c r="BY69" s="228">
        <v>0</v>
      </c>
      <c r="BZ69" s="228">
        <v>0</v>
      </c>
      <c r="CA69" s="228">
        <v>0</v>
      </c>
      <c r="CB69" s="228">
        <v>0</v>
      </c>
      <c r="CC69" s="228">
        <v>911.38</v>
      </c>
      <c r="CD69" s="29" t="s">
        <v>233</v>
      </c>
      <c r="CE69" s="32">
        <f t="shared" si="4"/>
        <v>1481168.27</v>
      </c>
    </row>
    <row r="70" spans="1:83" x14ac:dyDescent="0.35">
      <c r="A70" s="39" t="s">
        <v>254</v>
      </c>
      <c r="B70" s="20"/>
      <c r="C70" s="32">
        <f t="shared" ref="C70:BN70" si="9">SUM(C71:C84)</f>
        <v>3410</v>
      </c>
      <c r="D70" s="32">
        <f t="shared" si="9"/>
        <v>0</v>
      </c>
      <c r="E70" s="32">
        <f t="shared" si="9"/>
        <v>2804.61</v>
      </c>
      <c r="F70" s="32">
        <f t="shared" si="9"/>
        <v>2299.39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9730</v>
      </c>
      <c r="Q70" s="32">
        <f t="shared" si="9"/>
        <v>0</v>
      </c>
      <c r="R70" s="32">
        <f t="shared" si="9"/>
        <v>44562</v>
      </c>
      <c r="S70" s="32">
        <f t="shared" si="9"/>
        <v>16130</v>
      </c>
      <c r="T70" s="32">
        <f t="shared" si="9"/>
        <v>0</v>
      </c>
      <c r="U70" s="32">
        <f t="shared" si="9"/>
        <v>18633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5626</v>
      </c>
      <c r="Z70" s="32">
        <f t="shared" si="9"/>
        <v>0</v>
      </c>
      <c r="AA70" s="32">
        <f t="shared" si="9"/>
        <v>6608</v>
      </c>
      <c r="AB70" s="32">
        <f t="shared" si="9"/>
        <v>9806</v>
      </c>
      <c r="AC70" s="32">
        <f t="shared" si="9"/>
        <v>411</v>
      </c>
      <c r="AD70" s="32">
        <f t="shared" si="9"/>
        <v>0</v>
      </c>
      <c r="AE70" s="32">
        <f t="shared" si="9"/>
        <v>2527</v>
      </c>
      <c r="AF70" s="32">
        <f t="shared" si="9"/>
        <v>0</v>
      </c>
      <c r="AG70" s="32">
        <f t="shared" si="9"/>
        <v>17008</v>
      </c>
      <c r="AH70" s="32">
        <f t="shared" si="9"/>
        <v>22903</v>
      </c>
      <c r="AI70" s="32">
        <f t="shared" si="9"/>
        <v>220</v>
      </c>
      <c r="AJ70" s="32">
        <f t="shared" si="9"/>
        <v>234026</v>
      </c>
      <c r="AK70" s="32">
        <f t="shared" si="9"/>
        <v>25829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25124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3118</v>
      </c>
      <c r="AW70" s="32">
        <f t="shared" si="9"/>
        <v>0</v>
      </c>
      <c r="AX70" s="32">
        <f t="shared" si="9"/>
        <v>0</v>
      </c>
      <c r="AY70" s="32">
        <f t="shared" si="9"/>
        <v>831</v>
      </c>
      <c r="AZ70" s="32">
        <f t="shared" si="9"/>
        <v>0</v>
      </c>
      <c r="BA70" s="32">
        <f t="shared" si="9"/>
        <v>0</v>
      </c>
      <c r="BB70" s="32">
        <f t="shared" si="9"/>
        <v>14065</v>
      </c>
      <c r="BC70" s="32">
        <f t="shared" si="9"/>
        <v>0</v>
      </c>
      <c r="BD70" s="32">
        <f t="shared" si="9"/>
        <v>39366</v>
      </c>
      <c r="BE70" s="32">
        <f t="shared" si="9"/>
        <v>14426</v>
      </c>
      <c r="BF70" s="32">
        <f t="shared" si="9"/>
        <v>4977</v>
      </c>
      <c r="BG70" s="32">
        <f t="shared" si="9"/>
        <v>0</v>
      </c>
      <c r="BH70" s="32">
        <f t="shared" si="9"/>
        <v>8750</v>
      </c>
      <c r="BI70" s="32">
        <f t="shared" si="9"/>
        <v>0</v>
      </c>
      <c r="BJ70" s="32">
        <f t="shared" si="9"/>
        <v>924</v>
      </c>
      <c r="BK70" s="32">
        <f t="shared" si="9"/>
        <v>19188</v>
      </c>
      <c r="BL70" s="32">
        <f t="shared" si="9"/>
        <v>972</v>
      </c>
      <c r="BM70" s="32">
        <f t="shared" si="9"/>
        <v>20682</v>
      </c>
      <c r="BN70" s="32">
        <f t="shared" si="9"/>
        <v>431818</v>
      </c>
      <c r="BO70" s="32">
        <f t="shared" ref="BO70:CD70" si="10">SUM(BO71:BO84)</f>
        <v>559</v>
      </c>
      <c r="BP70" s="32">
        <f t="shared" si="10"/>
        <v>845669</v>
      </c>
      <c r="BQ70" s="32">
        <f t="shared" si="10"/>
        <v>0</v>
      </c>
      <c r="BR70" s="32">
        <f t="shared" si="10"/>
        <v>95243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11910</v>
      </c>
      <c r="BW70" s="32">
        <f t="shared" si="10"/>
        <v>-4655</v>
      </c>
      <c r="BX70" s="32">
        <f t="shared" si="10"/>
        <v>0</v>
      </c>
      <c r="BY70" s="32">
        <f t="shared" si="10"/>
        <v>4297</v>
      </c>
      <c r="BZ70" s="32">
        <f t="shared" si="10"/>
        <v>1805</v>
      </c>
      <c r="CA70" s="32">
        <f t="shared" si="10"/>
        <v>15025</v>
      </c>
      <c r="CB70" s="32">
        <f t="shared" si="10"/>
        <v>194</v>
      </c>
      <c r="CC70" s="32">
        <f t="shared" si="10"/>
        <v>2394</v>
      </c>
      <c r="CD70" s="32">
        <f t="shared" si="10"/>
        <v>1240241</v>
      </c>
      <c r="CE70" s="32">
        <f>SUM(CE71:CE85)</f>
        <v>3219456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3410</v>
      </c>
      <c r="D84" s="24">
        <v>0</v>
      </c>
      <c r="E84" s="30">
        <v>2804.61</v>
      </c>
      <c r="F84" s="30">
        <v>2299.39</v>
      </c>
      <c r="G84" s="24">
        <v>0</v>
      </c>
      <c r="H84" s="24">
        <v>0</v>
      </c>
      <c r="I84" s="30">
        <v>0</v>
      </c>
      <c r="J84" s="30">
        <v>0</v>
      </c>
      <c r="K84" s="30">
        <v>0</v>
      </c>
      <c r="L84" s="30">
        <v>0</v>
      </c>
      <c r="M84" s="24">
        <v>0</v>
      </c>
      <c r="N84" s="24">
        <v>0</v>
      </c>
      <c r="O84" s="24">
        <v>0</v>
      </c>
      <c r="P84" s="30">
        <v>9730</v>
      </c>
      <c r="Q84" s="30">
        <v>0</v>
      </c>
      <c r="R84" s="31">
        <v>44562</v>
      </c>
      <c r="S84" s="30">
        <v>16130</v>
      </c>
      <c r="T84" s="24">
        <v>0</v>
      </c>
      <c r="U84" s="30">
        <v>18633</v>
      </c>
      <c r="V84" s="30">
        <v>0</v>
      </c>
      <c r="W84" s="24">
        <v>0</v>
      </c>
      <c r="X84" s="30">
        <v>0</v>
      </c>
      <c r="Y84" s="30">
        <v>5626</v>
      </c>
      <c r="Z84" s="30">
        <v>0</v>
      </c>
      <c r="AA84" s="30">
        <v>6608</v>
      </c>
      <c r="AB84" s="30">
        <v>9806</v>
      </c>
      <c r="AC84" s="30">
        <v>411</v>
      </c>
      <c r="AD84" s="30">
        <v>0</v>
      </c>
      <c r="AE84" s="30">
        <v>2527</v>
      </c>
      <c r="AF84" s="30">
        <v>0</v>
      </c>
      <c r="AG84" s="30">
        <v>17008</v>
      </c>
      <c r="AH84" s="30">
        <v>22903</v>
      </c>
      <c r="AI84" s="30">
        <v>220</v>
      </c>
      <c r="AJ84" s="30">
        <v>234026</v>
      </c>
      <c r="AK84" s="30">
        <v>25829</v>
      </c>
      <c r="AL84" s="30">
        <v>0</v>
      </c>
      <c r="AM84" s="30">
        <v>0</v>
      </c>
      <c r="AN84" s="30">
        <v>0</v>
      </c>
      <c r="AO84" s="24">
        <v>0</v>
      </c>
      <c r="AP84" s="30">
        <v>25124</v>
      </c>
      <c r="AQ84" s="24">
        <v>0</v>
      </c>
      <c r="AR84" s="24">
        <v>0</v>
      </c>
      <c r="AS84" s="24">
        <v>0</v>
      </c>
      <c r="AT84" s="24">
        <v>0</v>
      </c>
      <c r="AU84" s="30">
        <v>0</v>
      </c>
      <c r="AV84" s="30">
        <v>3118</v>
      </c>
      <c r="AW84" s="30">
        <v>0</v>
      </c>
      <c r="AX84" s="30">
        <v>0</v>
      </c>
      <c r="AY84" s="30">
        <v>831</v>
      </c>
      <c r="AZ84" s="30">
        <v>0</v>
      </c>
      <c r="BA84" s="30">
        <v>0</v>
      </c>
      <c r="BB84" s="30">
        <v>14065</v>
      </c>
      <c r="BC84" s="30">
        <v>0</v>
      </c>
      <c r="BD84" s="30">
        <v>39366</v>
      </c>
      <c r="BE84" s="30">
        <v>14426</v>
      </c>
      <c r="BF84" s="30">
        <v>4977</v>
      </c>
      <c r="BG84" s="30">
        <v>0</v>
      </c>
      <c r="BH84" s="31">
        <v>8750</v>
      </c>
      <c r="BI84" s="30">
        <v>0</v>
      </c>
      <c r="BJ84" s="30">
        <v>924</v>
      </c>
      <c r="BK84" s="30">
        <v>19188</v>
      </c>
      <c r="BL84" s="30">
        <v>972</v>
      </c>
      <c r="BM84" s="30">
        <v>20682</v>
      </c>
      <c r="BN84" s="30">
        <v>431818</v>
      </c>
      <c r="BO84" s="30">
        <v>559</v>
      </c>
      <c r="BP84" s="30">
        <v>845669</v>
      </c>
      <c r="BQ84" s="30">
        <v>0</v>
      </c>
      <c r="BR84" s="30">
        <v>95243</v>
      </c>
      <c r="BS84" s="30">
        <v>0</v>
      </c>
      <c r="BT84" s="30">
        <v>0</v>
      </c>
      <c r="BU84" s="30">
        <v>0</v>
      </c>
      <c r="BV84" s="30">
        <v>11910</v>
      </c>
      <c r="BW84" s="30">
        <v>-4655</v>
      </c>
      <c r="BX84" s="30">
        <v>0</v>
      </c>
      <c r="BY84" s="30">
        <v>4297</v>
      </c>
      <c r="BZ84" s="30">
        <v>1805</v>
      </c>
      <c r="CA84" s="30">
        <v>15025</v>
      </c>
      <c r="CB84" s="30">
        <v>194</v>
      </c>
      <c r="CC84" s="30">
        <v>2394</v>
      </c>
      <c r="CD84" s="35">
        <v>1240241</v>
      </c>
      <c r="CE84" s="32">
        <f t="shared" si="11"/>
        <v>3219456</v>
      </c>
    </row>
    <row r="85" spans="1:84" x14ac:dyDescent="0.3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 spans="1:84" x14ac:dyDescent="0.35">
      <c r="A86" s="39" t="s">
        <v>270</v>
      </c>
      <c r="B86" s="32"/>
      <c r="C86" s="32">
        <f>SUM(C62:C70)-C85</f>
        <v>5941505.3100000005</v>
      </c>
      <c r="D86" s="32">
        <f t="shared" ref="D86:BO86" si="12">SUM(D62:D70)-D85</f>
        <v>0</v>
      </c>
      <c r="E86" s="32">
        <f t="shared" si="12"/>
        <v>6089682.5700000012</v>
      </c>
      <c r="F86" s="32">
        <f t="shared" si="12"/>
        <v>5230623.6399999987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58733.65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194596.85</v>
      </c>
      <c r="P86" s="32">
        <f t="shared" si="12"/>
        <v>6409301.3100000005</v>
      </c>
      <c r="Q86" s="32">
        <f t="shared" si="12"/>
        <v>686046.56</v>
      </c>
      <c r="R86" s="32">
        <f t="shared" si="12"/>
        <v>5614675.5499999998</v>
      </c>
      <c r="S86" s="32">
        <f t="shared" si="12"/>
        <v>3827668.23</v>
      </c>
      <c r="T86" s="32">
        <f t="shared" si="12"/>
        <v>0</v>
      </c>
      <c r="U86" s="32">
        <f t="shared" si="12"/>
        <v>6549364.1499999994</v>
      </c>
      <c r="V86" s="32">
        <f t="shared" si="12"/>
        <v>36949.229999999996</v>
      </c>
      <c r="W86" s="32">
        <f t="shared" si="12"/>
        <v>369911.9</v>
      </c>
      <c r="X86" s="32">
        <f t="shared" si="12"/>
        <v>851906.73</v>
      </c>
      <c r="Y86" s="32">
        <f t="shared" si="12"/>
        <v>4084356.39</v>
      </c>
      <c r="Z86" s="32">
        <f t="shared" si="12"/>
        <v>0</v>
      </c>
      <c r="AA86" s="32">
        <f t="shared" si="12"/>
        <v>439489.91000000003</v>
      </c>
      <c r="AB86" s="32">
        <f t="shared" si="12"/>
        <v>6799119.2999999998</v>
      </c>
      <c r="AC86" s="32">
        <f t="shared" si="12"/>
        <v>1007145.11</v>
      </c>
      <c r="AD86" s="32">
        <f t="shared" si="12"/>
        <v>0</v>
      </c>
      <c r="AE86" s="32">
        <f t="shared" si="12"/>
        <v>1015536.57</v>
      </c>
      <c r="AF86" s="32">
        <f t="shared" si="12"/>
        <v>0</v>
      </c>
      <c r="AG86" s="32">
        <f t="shared" si="12"/>
        <v>8256680.2599999998</v>
      </c>
      <c r="AH86" s="32">
        <f t="shared" si="12"/>
        <v>389065.17000000004</v>
      </c>
      <c r="AI86" s="32">
        <f t="shared" si="12"/>
        <v>1625004.81</v>
      </c>
      <c r="AJ86" s="32">
        <f t="shared" si="12"/>
        <v>22786260.080000002</v>
      </c>
      <c r="AK86" s="32">
        <f t="shared" si="12"/>
        <v>2710388.28</v>
      </c>
      <c r="AL86" s="32">
        <f t="shared" si="12"/>
        <v>18584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1975262.75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219766.58</v>
      </c>
      <c r="AW86" s="32">
        <f t="shared" si="12"/>
        <v>0</v>
      </c>
      <c r="AX86" s="32">
        <f t="shared" si="12"/>
        <v>0</v>
      </c>
      <c r="AY86" s="32">
        <f t="shared" si="12"/>
        <v>1951672.9</v>
      </c>
      <c r="AZ86" s="32">
        <f t="shared" si="12"/>
        <v>0</v>
      </c>
      <c r="BA86" s="32">
        <f t="shared" si="12"/>
        <v>18747</v>
      </c>
      <c r="BB86" s="32">
        <f t="shared" si="12"/>
        <v>954508.58</v>
      </c>
      <c r="BC86" s="32">
        <f t="shared" si="12"/>
        <v>0</v>
      </c>
      <c r="BD86" s="32">
        <f t="shared" si="12"/>
        <v>1070725.71</v>
      </c>
      <c r="BE86" s="32">
        <f t="shared" si="12"/>
        <v>3707841.16</v>
      </c>
      <c r="BF86" s="32">
        <f t="shared" si="12"/>
        <v>2865644.2800000003</v>
      </c>
      <c r="BG86" s="32">
        <f t="shared" si="12"/>
        <v>0</v>
      </c>
      <c r="BH86" s="32">
        <f t="shared" si="12"/>
        <v>3671639.92</v>
      </c>
      <c r="BI86" s="32">
        <f t="shared" si="12"/>
        <v>0</v>
      </c>
      <c r="BJ86" s="32">
        <f t="shared" si="12"/>
        <v>909789.07</v>
      </c>
      <c r="BK86" s="32">
        <f t="shared" si="12"/>
        <v>2583827.4900000002</v>
      </c>
      <c r="BL86" s="32">
        <f t="shared" si="12"/>
        <v>1242938.06</v>
      </c>
      <c r="BM86" s="32">
        <f t="shared" si="12"/>
        <v>79657.509999999995</v>
      </c>
      <c r="BN86" s="32">
        <f t="shared" si="12"/>
        <v>3158655.27</v>
      </c>
      <c r="BO86" s="32">
        <f t="shared" si="12"/>
        <v>194340.96</v>
      </c>
      <c r="BP86" s="32">
        <f t="shared" ref="BP86:CD86" si="13">SUM(BP62:BP70)-BP85</f>
        <v>1199545.3400000001</v>
      </c>
      <c r="BQ86" s="32">
        <f t="shared" si="13"/>
        <v>0</v>
      </c>
      <c r="BR86" s="32">
        <f t="shared" si="13"/>
        <v>1910543.8</v>
      </c>
      <c r="BS86" s="32">
        <f t="shared" si="13"/>
        <v>27881.37</v>
      </c>
      <c r="BT86" s="32">
        <f t="shared" si="13"/>
        <v>0</v>
      </c>
      <c r="BU86" s="32">
        <f t="shared" si="13"/>
        <v>0</v>
      </c>
      <c r="BV86" s="32">
        <f t="shared" si="13"/>
        <v>2218649.8600000003</v>
      </c>
      <c r="BW86" s="32">
        <f t="shared" si="13"/>
        <v>289821.65000000002</v>
      </c>
      <c r="BX86" s="32">
        <f t="shared" si="13"/>
        <v>0</v>
      </c>
      <c r="BY86" s="32">
        <f t="shared" si="13"/>
        <v>2051450.34</v>
      </c>
      <c r="BZ86" s="32">
        <f t="shared" si="13"/>
        <v>365816</v>
      </c>
      <c r="CA86" s="32">
        <f t="shared" si="13"/>
        <v>641991.57000000007</v>
      </c>
      <c r="CB86" s="32">
        <f t="shared" si="13"/>
        <v>3094.05</v>
      </c>
      <c r="CC86" s="32">
        <f t="shared" si="13"/>
        <v>1049824.8599999999</v>
      </c>
      <c r="CD86" s="32">
        <f t="shared" si="13"/>
        <v>1240241</v>
      </c>
      <c r="CE86" s="32">
        <f t="shared" si="11"/>
        <v>126596472.63999997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>
        <v>2606159</v>
      </c>
    </row>
    <row r="88" spans="1:84" x14ac:dyDescent="0.35">
      <c r="A88" s="26" t="s">
        <v>272</v>
      </c>
      <c r="B88" s="20"/>
      <c r="C88" s="213">
        <v>14883471</v>
      </c>
      <c r="D88" s="213">
        <v>0</v>
      </c>
      <c r="E88" s="213">
        <v>13780563</v>
      </c>
      <c r="F88" s="213">
        <v>7250483</v>
      </c>
      <c r="G88" s="213">
        <v>0</v>
      </c>
      <c r="H88" s="213">
        <v>0</v>
      </c>
      <c r="I88" s="213">
        <v>0</v>
      </c>
      <c r="J88" s="213">
        <v>472320</v>
      </c>
      <c r="K88" s="213">
        <v>0</v>
      </c>
      <c r="L88" s="213">
        <v>0</v>
      </c>
      <c r="M88" s="213">
        <v>0</v>
      </c>
      <c r="N88" s="213">
        <v>0</v>
      </c>
      <c r="O88" s="213">
        <v>18259587</v>
      </c>
      <c r="P88" s="213">
        <v>7094419.0300000003</v>
      </c>
      <c r="Q88" s="213">
        <v>1023255</v>
      </c>
      <c r="R88" s="213">
        <v>7361778</v>
      </c>
      <c r="S88" s="213">
        <v>2359006.33</v>
      </c>
      <c r="T88" s="213">
        <v>46.5</v>
      </c>
      <c r="U88" s="213">
        <v>10307139.15</v>
      </c>
      <c r="V88" s="213">
        <v>46862</v>
      </c>
      <c r="W88" s="213">
        <v>640877.98</v>
      </c>
      <c r="X88" s="213">
        <v>5918505.6600000001</v>
      </c>
      <c r="Y88" s="213">
        <v>3053445.95</v>
      </c>
      <c r="Z88" s="213">
        <v>0</v>
      </c>
      <c r="AA88" s="213">
        <v>112851.13</v>
      </c>
      <c r="AB88" s="213">
        <v>12100008.75</v>
      </c>
      <c r="AC88" s="213">
        <v>4786685</v>
      </c>
      <c r="AD88" s="213">
        <v>0</v>
      </c>
      <c r="AE88" s="213">
        <v>866724</v>
      </c>
      <c r="AF88" s="213">
        <v>0</v>
      </c>
      <c r="AG88" s="213">
        <v>7485198</v>
      </c>
      <c r="AH88" s="213">
        <v>0</v>
      </c>
      <c r="AI88" s="213">
        <v>93326</v>
      </c>
      <c r="AJ88" s="213">
        <v>0</v>
      </c>
      <c r="AK88" s="213">
        <v>0</v>
      </c>
      <c r="AL88" s="213">
        <v>7816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0</v>
      </c>
      <c r="AS88" s="213">
        <v>0</v>
      </c>
      <c r="AT88" s="213">
        <v>0</v>
      </c>
      <c r="AU88" s="213">
        <v>0</v>
      </c>
      <c r="AV88" s="213">
        <v>1875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117906243.48</v>
      </c>
    </row>
    <row r="89" spans="1:84" x14ac:dyDescent="0.35">
      <c r="A89" s="26" t="s">
        <v>273</v>
      </c>
      <c r="B89" s="20"/>
      <c r="C89" s="213">
        <v>916836</v>
      </c>
      <c r="D89" s="213">
        <v>0</v>
      </c>
      <c r="E89" s="213">
        <v>1937274</v>
      </c>
      <c r="F89" s="213">
        <v>21041</v>
      </c>
      <c r="G89" s="213">
        <v>0</v>
      </c>
      <c r="H89" s="213">
        <v>0</v>
      </c>
      <c r="I89" s="213">
        <v>0</v>
      </c>
      <c r="J89" s="213">
        <v>9628</v>
      </c>
      <c r="K89" s="213">
        <v>0</v>
      </c>
      <c r="L89" s="213">
        <v>0</v>
      </c>
      <c r="M89" s="213">
        <v>0</v>
      </c>
      <c r="N89" s="213">
        <v>0</v>
      </c>
      <c r="O89" s="213">
        <v>453797</v>
      </c>
      <c r="P89" s="213">
        <v>34537896.140000001</v>
      </c>
      <c r="Q89" s="213">
        <v>3900041</v>
      </c>
      <c r="R89" s="213">
        <v>13708269.960000001</v>
      </c>
      <c r="S89" s="213">
        <v>6552201.0599999996</v>
      </c>
      <c r="T89" s="213">
        <v>137</v>
      </c>
      <c r="U89" s="213">
        <v>18441249.120000001</v>
      </c>
      <c r="V89" s="213">
        <v>155522</v>
      </c>
      <c r="W89" s="213">
        <v>4314893.83</v>
      </c>
      <c r="X89" s="213">
        <v>22435524.170000002</v>
      </c>
      <c r="Y89" s="213">
        <v>18540339.75</v>
      </c>
      <c r="Z89" s="213">
        <v>0</v>
      </c>
      <c r="AA89" s="213">
        <v>675256.52</v>
      </c>
      <c r="AB89" s="213">
        <v>8691249.9499999993</v>
      </c>
      <c r="AC89" s="213">
        <v>566083</v>
      </c>
      <c r="AD89" s="213">
        <v>0</v>
      </c>
      <c r="AE89" s="213">
        <v>2373589</v>
      </c>
      <c r="AF89" s="213">
        <v>0</v>
      </c>
      <c r="AG89" s="213">
        <v>37012226.079999998</v>
      </c>
      <c r="AH89" s="213">
        <v>0</v>
      </c>
      <c r="AI89" s="213">
        <v>8280668.0099999998</v>
      </c>
      <c r="AJ89" s="213">
        <v>19316044.740000002</v>
      </c>
      <c r="AK89" s="213">
        <v>2342802.38</v>
      </c>
      <c r="AL89" s="213">
        <v>324</v>
      </c>
      <c r="AM89" s="213">
        <v>0</v>
      </c>
      <c r="AN89" s="213">
        <v>0</v>
      </c>
      <c r="AO89" s="213">
        <v>0</v>
      </c>
      <c r="AP89" s="213">
        <v>2220977.62</v>
      </c>
      <c r="AQ89" s="213">
        <v>0</v>
      </c>
      <c r="AR89" s="213">
        <v>0</v>
      </c>
      <c r="AS89" s="213">
        <v>0</v>
      </c>
      <c r="AT89" s="213">
        <v>0</v>
      </c>
      <c r="AU89" s="213">
        <v>0</v>
      </c>
      <c r="AV89" s="213">
        <v>1580093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208983964.32999998</v>
      </c>
    </row>
    <row r="90" spans="1:84" x14ac:dyDescent="0.35">
      <c r="A90" s="26" t="s">
        <v>274</v>
      </c>
      <c r="B90" s="20"/>
      <c r="C90" s="32">
        <f>C88+C89</f>
        <v>15800307</v>
      </c>
      <c r="D90" s="32">
        <f t="shared" ref="D90:AV90" si="15">D88+D89</f>
        <v>0</v>
      </c>
      <c r="E90" s="32">
        <f t="shared" si="15"/>
        <v>15717837</v>
      </c>
      <c r="F90" s="32">
        <f t="shared" si="15"/>
        <v>7271524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481948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18713384</v>
      </c>
      <c r="P90" s="32">
        <f t="shared" si="15"/>
        <v>41632315.170000002</v>
      </c>
      <c r="Q90" s="32">
        <f t="shared" si="15"/>
        <v>4923296</v>
      </c>
      <c r="R90" s="32">
        <f t="shared" si="15"/>
        <v>21070047.960000001</v>
      </c>
      <c r="S90" s="32">
        <f t="shared" si="15"/>
        <v>8911207.3900000006</v>
      </c>
      <c r="T90" s="32">
        <f t="shared" si="15"/>
        <v>183.5</v>
      </c>
      <c r="U90" s="32">
        <f t="shared" si="15"/>
        <v>28748388.270000003</v>
      </c>
      <c r="V90" s="32">
        <f t="shared" si="15"/>
        <v>202384</v>
      </c>
      <c r="W90" s="32">
        <f t="shared" si="15"/>
        <v>4955771.8100000005</v>
      </c>
      <c r="X90" s="32">
        <f t="shared" si="15"/>
        <v>28354029.830000002</v>
      </c>
      <c r="Y90" s="32">
        <f t="shared" si="15"/>
        <v>21593785.699999999</v>
      </c>
      <c r="Z90" s="32">
        <f t="shared" si="15"/>
        <v>0</v>
      </c>
      <c r="AA90" s="32">
        <f t="shared" si="15"/>
        <v>788107.65</v>
      </c>
      <c r="AB90" s="32">
        <f t="shared" si="15"/>
        <v>20791258.699999999</v>
      </c>
      <c r="AC90" s="32">
        <f t="shared" si="15"/>
        <v>5352768</v>
      </c>
      <c r="AD90" s="32">
        <f t="shared" si="15"/>
        <v>0</v>
      </c>
      <c r="AE90" s="32">
        <f t="shared" si="15"/>
        <v>3240313</v>
      </c>
      <c r="AF90" s="32">
        <f t="shared" si="15"/>
        <v>0</v>
      </c>
      <c r="AG90" s="32">
        <f t="shared" si="15"/>
        <v>44497424.079999998</v>
      </c>
      <c r="AH90" s="32">
        <f t="shared" si="15"/>
        <v>0</v>
      </c>
      <c r="AI90" s="32">
        <f t="shared" si="15"/>
        <v>8373994.0099999998</v>
      </c>
      <c r="AJ90" s="32">
        <f t="shared" si="15"/>
        <v>19316044.740000002</v>
      </c>
      <c r="AK90" s="32">
        <f t="shared" si="15"/>
        <v>2342802.38</v>
      </c>
      <c r="AL90" s="32">
        <f t="shared" si="15"/>
        <v>8140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2220977.62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1581968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326890207.81</v>
      </c>
    </row>
    <row r="91" spans="1:84" x14ac:dyDescent="0.35">
      <c r="A91" s="39" t="s">
        <v>275</v>
      </c>
      <c r="B91" s="32"/>
      <c r="C91" s="213">
        <v>0</v>
      </c>
      <c r="D91" s="213">
        <v>0</v>
      </c>
      <c r="E91" s="213">
        <v>20650.623446914098</v>
      </c>
      <c r="F91" s="213">
        <v>13083.817423179709</v>
      </c>
      <c r="G91" s="213">
        <v>0</v>
      </c>
      <c r="H91" s="213">
        <v>0</v>
      </c>
      <c r="I91" s="213">
        <v>0</v>
      </c>
      <c r="J91" s="213">
        <v>0</v>
      </c>
      <c r="K91" s="213">
        <v>0</v>
      </c>
      <c r="L91" s="213">
        <v>0</v>
      </c>
      <c r="M91" s="213">
        <v>0</v>
      </c>
      <c r="N91" s="213">
        <v>0</v>
      </c>
      <c r="O91" s="213">
        <v>0</v>
      </c>
      <c r="P91" s="213">
        <v>10135.496821157503</v>
      </c>
      <c r="Q91" s="213">
        <v>1440.1174109247713</v>
      </c>
      <c r="R91" s="213">
        <v>191.87810775931766</v>
      </c>
      <c r="S91" s="213">
        <v>1401.9481099188856</v>
      </c>
      <c r="T91" s="213">
        <v>0</v>
      </c>
      <c r="U91" s="213">
        <v>3353.740474868504</v>
      </c>
      <c r="V91" s="213">
        <v>0</v>
      </c>
      <c r="W91" s="213">
        <v>0</v>
      </c>
      <c r="X91" s="213">
        <v>0</v>
      </c>
      <c r="Y91" s="213">
        <v>6861.1897564904393</v>
      </c>
      <c r="Z91" s="213">
        <v>0</v>
      </c>
      <c r="AA91" s="213">
        <v>0</v>
      </c>
      <c r="AB91" s="213">
        <v>1703.1761070464165</v>
      </c>
      <c r="AC91" s="213">
        <v>855.19866307781911</v>
      </c>
      <c r="AD91" s="213">
        <v>0</v>
      </c>
      <c r="AE91" s="213">
        <v>2103.437966243273</v>
      </c>
      <c r="AF91" s="213">
        <v>0</v>
      </c>
      <c r="AG91" s="213">
        <v>5644.9301379515382</v>
      </c>
      <c r="AH91" s="213">
        <v>0</v>
      </c>
      <c r="AI91" s="213">
        <v>4002.6185919685631</v>
      </c>
      <c r="AJ91" s="213">
        <v>69747.692170511975</v>
      </c>
      <c r="AK91" s="213">
        <v>0</v>
      </c>
      <c r="AL91" s="213">
        <v>0</v>
      </c>
      <c r="AM91" s="213">
        <v>0</v>
      </c>
      <c r="AN91" s="213">
        <v>0</v>
      </c>
      <c r="AO91" s="213">
        <v>0</v>
      </c>
      <c r="AP91" s="213">
        <v>0</v>
      </c>
      <c r="AQ91" s="213">
        <v>0</v>
      </c>
      <c r="AR91" s="213">
        <v>0</v>
      </c>
      <c r="AS91" s="213">
        <v>0</v>
      </c>
      <c r="AT91" s="213">
        <v>0</v>
      </c>
      <c r="AU91" s="213">
        <v>0</v>
      </c>
      <c r="AV91" s="213">
        <v>0</v>
      </c>
      <c r="AW91" s="213">
        <v>0</v>
      </c>
      <c r="AX91" s="213">
        <v>0</v>
      </c>
      <c r="AY91" s="213">
        <v>7606.0069274701555</v>
      </c>
      <c r="AZ91" s="213">
        <v>0</v>
      </c>
      <c r="BA91" s="213">
        <v>677.76299353694458</v>
      </c>
      <c r="BB91" s="213">
        <v>603.48759698495076</v>
      </c>
      <c r="BC91" s="213">
        <v>0</v>
      </c>
      <c r="BD91" s="213">
        <v>4849.5644332072707</v>
      </c>
      <c r="BE91" s="213">
        <v>25279.424895925156</v>
      </c>
      <c r="BF91" s="213">
        <v>3530.14454167949</v>
      </c>
      <c r="BG91" s="213">
        <v>0</v>
      </c>
      <c r="BH91" s="213">
        <v>3666.3161020248099</v>
      </c>
      <c r="BI91" s="213">
        <v>0</v>
      </c>
      <c r="BJ91" s="213">
        <v>1499.9503692583219</v>
      </c>
      <c r="BK91" s="213">
        <v>1927.0338994322865</v>
      </c>
      <c r="BL91" s="213">
        <v>1368.9368225624437</v>
      </c>
      <c r="BM91" s="213">
        <v>0</v>
      </c>
      <c r="BN91" s="213">
        <v>29523.4385266877</v>
      </c>
      <c r="BO91" s="213">
        <v>211.47855962720493</v>
      </c>
      <c r="BP91" s="213">
        <v>1204.9119885101238</v>
      </c>
      <c r="BQ91" s="213">
        <v>0</v>
      </c>
      <c r="BR91" s="213">
        <v>1688.7336688279734</v>
      </c>
      <c r="BS91" s="213">
        <v>921.2212377907025</v>
      </c>
      <c r="BT91" s="213">
        <v>0</v>
      </c>
      <c r="BU91" s="213">
        <v>0</v>
      </c>
      <c r="BV91" s="213">
        <v>1693.8916824774171</v>
      </c>
      <c r="BW91" s="213">
        <v>970.73816882536482</v>
      </c>
      <c r="BX91" s="213">
        <v>0</v>
      </c>
      <c r="BY91" s="213">
        <v>622.05644612294907</v>
      </c>
      <c r="BZ91" s="213">
        <v>0</v>
      </c>
      <c r="CA91" s="213">
        <v>7919.6141573563527</v>
      </c>
      <c r="CB91" s="213">
        <v>103.16027298888046</v>
      </c>
      <c r="CC91" s="213">
        <v>272.34312069064441</v>
      </c>
      <c r="CD91" s="233" t="s">
        <v>233</v>
      </c>
      <c r="CE91" s="32">
        <f t="shared" si="14"/>
        <v>237316.08159999995</v>
      </c>
      <c r="CF91" s="32">
        <f>BE60-CE91</f>
        <v>0</v>
      </c>
    </row>
    <row r="92" spans="1:84" x14ac:dyDescent="0.35">
      <c r="A92" s="26" t="s">
        <v>276</v>
      </c>
      <c r="B92" s="20"/>
      <c r="C92" s="213"/>
      <c r="D92" s="213"/>
      <c r="E92" s="213">
        <v>23120</v>
      </c>
      <c r="F92" s="213">
        <v>4514</v>
      </c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>
        <v>1346</v>
      </c>
      <c r="AH92" s="213"/>
      <c r="AI92" s="213">
        <v>373</v>
      </c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233</v>
      </c>
      <c r="AY92" s="265" t="s">
        <v>233</v>
      </c>
      <c r="AZ92" s="213">
        <v>78725</v>
      </c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108078</v>
      </c>
      <c r="CF92" s="32">
        <f>AY60-CE92</f>
        <v>-78724</v>
      </c>
    </row>
    <row r="93" spans="1:84" x14ac:dyDescent="0.35">
      <c r="A93" s="26" t="s">
        <v>277</v>
      </c>
      <c r="B93" s="20"/>
      <c r="C93" s="213">
        <v>0</v>
      </c>
      <c r="D93" s="213">
        <v>0</v>
      </c>
      <c r="E93" s="213">
        <v>23366.660625000004</v>
      </c>
      <c r="F93" s="213">
        <v>14804.866125000002</v>
      </c>
      <c r="G93" s="213">
        <v>0</v>
      </c>
      <c r="H93" s="213">
        <v>0</v>
      </c>
      <c r="I93" s="213">
        <v>0</v>
      </c>
      <c r="J93" s="213">
        <v>0</v>
      </c>
      <c r="K93" s="213">
        <v>0</v>
      </c>
      <c r="L93" s="213">
        <v>0</v>
      </c>
      <c r="M93" s="213">
        <v>0</v>
      </c>
      <c r="N93" s="213">
        <v>0</v>
      </c>
      <c r="O93" s="213">
        <v>0</v>
      </c>
      <c r="P93" s="213">
        <v>11468.590875000002</v>
      </c>
      <c r="Q93" s="213">
        <v>1629.9360000000001</v>
      </c>
      <c r="R93" s="213">
        <v>217.63350000000003</v>
      </c>
      <c r="S93" s="213">
        <v>1585.94625</v>
      </c>
      <c r="T93" s="213">
        <v>0</v>
      </c>
      <c r="U93" s="213">
        <v>3794.6947500000006</v>
      </c>
      <c r="V93" s="213">
        <v>0</v>
      </c>
      <c r="W93" s="213">
        <v>0</v>
      </c>
      <c r="X93" s="213">
        <v>0</v>
      </c>
      <c r="Y93" s="213">
        <v>7763.0332500000013</v>
      </c>
      <c r="Z93" s="213">
        <v>0</v>
      </c>
      <c r="AA93" s="213">
        <v>0</v>
      </c>
      <c r="AB93" s="213">
        <v>1927.4456250000003</v>
      </c>
      <c r="AC93" s="213">
        <v>967.7745000000001</v>
      </c>
      <c r="AD93" s="213">
        <v>0</v>
      </c>
      <c r="AE93" s="213">
        <v>2380.0770000000002</v>
      </c>
      <c r="AF93" s="213">
        <v>0</v>
      </c>
      <c r="AG93" s="213">
        <v>6387.7747500000014</v>
      </c>
      <c r="AH93" s="213">
        <v>0</v>
      </c>
      <c r="AI93" s="213">
        <v>4528.6290000000008</v>
      </c>
      <c r="AJ93" s="213">
        <v>78919.926750000013</v>
      </c>
      <c r="AK93" s="213">
        <v>0</v>
      </c>
      <c r="AL93" s="213">
        <v>0</v>
      </c>
      <c r="AM93" s="213">
        <v>0</v>
      </c>
      <c r="AN93" s="213">
        <v>0</v>
      </c>
      <c r="AO93" s="213">
        <v>0</v>
      </c>
      <c r="AP93" s="213">
        <v>0</v>
      </c>
      <c r="AQ93" s="213">
        <v>0</v>
      </c>
      <c r="AR93" s="213">
        <v>0</v>
      </c>
      <c r="AS93" s="213">
        <v>0</v>
      </c>
      <c r="AT93" s="213">
        <v>0</v>
      </c>
      <c r="AU93" s="213">
        <v>0</v>
      </c>
      <c r="AV93" s="213">
        <v>0</v>
      </c>
      <c r="AW93" s="213">
        <v>0</v>
      </c>
      <c r="AX93" s="265" t="s">
        <v>233</v>
      </c>
      <c r="AY93" s="265" t="s">
        <v>233</v>
      </c>
      <c r="AZ93" s="229" t="s">
        <v>233</v>
      </c>
      <c r="BA93" s="213">
        <v>729.85500000000002</v>
      </c>
      <c r="BB93" s="213">
        <v>650.47500000000002</v>
      </c>
      <c r="BC93" s="213">
        <v>0</v>
      </c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3951.3600000000006</v>
      </c>
      <c r="BI93" s="213">
        <v>0</v>
      </c>
      <c r="BJ93" s="229" t="s">
        <v>233</v>
      </c>
      <c r="BK93" s="213">
        <v>2077.11</v>
      </c>
      <c r="BL93" s="213">
        <v>1475.1450000000002</v>
      </c>
      <c r="BM93" s="213">
        <v>0</v>
      </c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992.25</v>
      </c>
      <c r="BT93" s="213">
        <v>0</v>
      </c>
      <c r="BU93" s="213">
        <v>0</v>
      </c>
      <c r="BV93" s="213">
        <v>1825.7400000000002</v>
      </c>
      <c r="BW93" s="213">
        <v>1046.2725</v>
      </c>
      <c r="BX93" s="213">
        <v>0</v>
      </c>
      <c r="BY93" s="213">
        <v>670.32</v>
      </c>
      <c r="BZ93" s="213">
        <v>0</v>
      </c>
      <c r="CA93" s="213">
        <v>8534.4525000000012</v>
      </c>
      <c r="CB93" s="213">
        <v>0</v>
      </c>
      <c r="CC93" s="229" t="s">
        <v>233</v>
      </c>
      <c r="CD93" s="229" t="s">
        <v>233</v>
      </c>
      <c r="CE93" s="32">
        <f t="shared" si="14"/>
        <v>181695.96900000004</v>
      </c>
      <c r="CF93" s="20"/>
    </row>
    <row r="94" spans="1:84" x14ac:dyDescent="0.35">
      <c r="A94" s="26" t="s">
        <v>278</v>
      </c>
      <c r="B94" s="20"/>
      <c r="C94" s="213">
        <v>0</v>
      </c>
      <c r="D94" s="213">
        <v>0</v>
      </c>
      <c r="E94" s="213">
        <v>114157.39312070327</v>
      </c>
      <c r="F94" s="213">
        <v>84205.693192558159</v>
      </c>
      <c r="G94" s="213">
        <v>0</v>
      </c>
      <c r="H94" s="213">
        <v>0</v>
      </c>
      <c r="I94" s="213">
        <v>0</v>
      </c>
      <c r="J94" s="213">
        <v>0</v>
      </c>
      <c r="K94" s="213">
        <v>0</v>
      </c>
      <c r="L94" s="213">
        <v>0</v>
      </c>
      <c r="M94" s="213">
        <v>0</v>
      </c>
      <c r="N94" s="213">
        <v>3840.8951954323584</v>
      </c>
      <c r="O94" s="213">
        <v>0</v>
      </c>
      <c r="P94" s="213">
        <v>32460.149739768771</v>
      </c>
      <c r="Q94" s="213">
        <v>7456.56935939098</v>
      </c>
      <c r="R94" s="213">
        <v>0</v>
      </c>
      <c r="S94" s="213">
        <v>1413.3631196675253</v>
      </c>
      <c r="T94" s="213">
        <v>0</v>
      </c>
      <c r="U94" s="213">
        <v>536.75431453022441</v>
      </c>
      <c r="V94" s="213">
        <v>0</v>
      </c>
      <c r="W94" s="213">
        <v>0</v>
      </c>
      <c r="X94" s="213">
        <v>12165.981586374757</v>
      </c>
      <c r="Y94" s="213">
        <v>23533.574845609084</v>
      </c>
      <c r="Z94" s="213">
        <v>0</v>
      </c>
      <c r="AA94" s="213">
        <v>780.85615103768828</v>
      </c>
      <c r="AB94" s="213">
        <v>0</v>
      </c>
      <c r="AC94" s="213">
        <v>0</v>
      </c>
      <c r="AD94" s="213">
        <v>0</v>
      </c>
      <c r="AE94" s="213">
        <v>575.86455352865778</v>
      </c>
      <c r="AF94" s="213">
        <v>0</v>
      </c>
      <c r="AG94" s="213">
        <v>115310.47085669159</v>
      </c>
      <c r="AH94" s="213">
        <v>0</v>
      </c>
      <c r="AI94" s="213">
        <v>20229.433964706946</v>
      </c>
      <c r="AJ94" s="213">
        <v>0</v>
      </c>
      <c r="AK94" s="213">
        <v>0</v>
      </c>
      <c r="AL94" s="213">
        <v>0</v>
      </c>
      <c r="AM94" s="213">
        <v>0</v>
      </c>
      <c r="AN94" s="213">
        <v>0</v>
      </c>
      <c r="AO94" s="213">
        <v>0</v>
      </c>
      <c r="AP94" s="213">
        <v>0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0</v>
      </c>
      <c r="AW94" s="213">
        <v>0</v>
      </c>
      <c r="AX94" s="265" t="s">
        <v>233</v>
      </c>
      <c r="AY94" s="265" t="s">
        <v>233</v>
      </c>
      <c r="AZ94" s="229" t="s">
        <v>233</v>
      </c>
      <c r="BA94" s="229" t="s">
        <v>233</v>
      </c>
      <c r="BB94" s="213">
        <v>0</v>
      </c>
      <c r="BC94" s="213">
        <v>0</v>
      </c>
      <c r="BD94" s="229" t="s">
        <v>233</v>
      </c>
      <c r="BE94" s="229" t="s">
        <v>233</v>
      </c>
      <c r="BF94" s="229" t="s">
        <v>233</v>
      </c>
      <c r="BG94" s="229" t="s">
        <v>233</v>
      </c>
      <c r="BH94" s="213">
        <v>0</v>
      </c>
      <c r="BI94" s="213">
        <v>0</v>
      </c>
      <c r="BJ94" s="229" t="s">
        <v>233</v>
      </c>
      <c r="BK94" s="213">
        <v>0</v>
      </c>
      <c r="BL94" s="213">
        <v>0</v>
      </c>
      <c r="BM94" s="213">
        <v>0</v>
      </c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>
        <v>0</v>
      </c>
      <c r="BT94" s="213">
        <v>0</v>
      </c>
      <c r="BU94" s="213">
        <v>0</v>
      </c>
      <c r="BV94" s="213">
        <v>0</v>
      </c>
      <c r="BW94" s="213">
        <v>0</v>
      </c>
      <c r="BX94" s="213">
        <v>0</v>
      </c>
      <c r="BY94" s="213">
        <v>0</v>
      </c>
      <c r="BZ94" s="213">
        <v>0</v>
      </c>
      <c r="CA94" s="213">
        <v>0</v>
      </c>
      <c r="CB94" s="213">
        <v>0</v>
      </c>
      <c r="CC94" s="229" t="s">
        <v>233</v>
      </c>
      <c r="CD94" s="229" t="s">
        <v>233</v>
      </c>
      <c r="CE94" s="32">
        <f t="shared" si="14"/>
        <v>416667</v>
      </c>
      <c r="CF94" s="32">
        <f>BA60</f>
        <v>0</v>
      </c>
    </row>
    <row r="95" spans="1:84" x14ac:dyDescent="0.35">
      <c r="A95" s="26" t="s">
        <v>279</v>
      </c>
      <c r="B95" s="20"/>
      <c r="C95" s="243">
        <v>17.471687500000002</v>
      </c>
      <c r="D95" s="243"/>
      <c r="E95" s="243">
        <v>19.480980769230769</v>
      </c>
      <c r="F95" s="243">
        <v>24.17550480769232</v>
      </c>
      <c r="G95" s="243"/>
      <c r="H95" s="243"/>
      <c r="I95" s="243"/>
      <c r="J95" s="243"/>
      <c r="K95" s="243"/>
      <c r="L95" s="243"/>
      <c r="M95" s="243"/>
      <c r="N95" s="243"/>
      <c r="O95" s="243"/>
      <c r="P95" s="244">
        <v>6.5569326923076945</v>
      </c>
      <c r="Q95" s="244">
        <v>3.4737836538461551</v>
      </c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>
        <v>18.808639423076919</v>
      </c>
      <c r="AH95" s="244"/>
      <c r="AI95" s="244">
        <v>7.2585913461538514</v>
      </c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97.226120192307718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98837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36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36" t="s">
        <v>1374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2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>
        <v>1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3143</v>
      </c>
      <c r="D128" s="220">
        <v>10580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1028</v>
      </c>
      <c r="D131" s="220">
        <v>1474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/>
      <c r="D133" s="20"/>
      <c r="E133" s="20"/>
    </row>
    <row r="134" spans="1:5" x14ac:dyDescent="0.35">
      <c r="A134" s="20" t="s">
        <v>316</v>
      </c>
      <c r="B134" s="46" t="s">
        <v>284</v>
      </c>
      <c r="C134" s="216">
        <v>12</v>
      </c>
      <c r="D134" s="20"/>
      <c r="E134" s="20"/>
    </row>
    <row r="135" spans="1:5" x14ac:dyDescent="0.35">
      <c r="A135" s="20" t="s">
        <v>317</v>
      </c>
      <c r="B135" s="46" t="s">
        <v>284</v>
      </c>
      <c r="C135" s="216"/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11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>
        <v>23</v>
      </c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46</v>
      </c>
    </row>
    <row r="145" spans="1:6" x14ac:dyDescent="0.35">
      <c r="A145" s="20" t="s">
        <v>325</v>
      </c>
      <c r="B145" s="46" t="s">
        <v>284</v>
      </c>
      <c r="C145" s="47">
        <v>50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>
        <v>11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1051.7955716713082</v>
      </c>
      <c r="C155" s="50">
        <v>1104.0398048142856</v>
      </c>
      <c r="D155" s="50">
        <v>987.16462351440623</v>
      </c>
      <c r="E155" s="32">
        <f>SUM(B155:D155)</f>
        <v>3143</v>
      </c>
    </row>
    <row r="156" spans="1:6" x14ac:dyDescent="0.35">
      <c r="A156" s="20" t="s">
        <v>227</v>
      </c>
      <c r="B156" s="50">
        <v>4931.635408447195</v>
      </c>
      <c r="C156" s="50">
        <v>2406.0400458864847</v>
      </c>
      <c r="D156" s="50">
        <v>3242.3245456663208</v>
      </c>
      <c r="E156" s="32">
        <f>SUM(B156:D156)</f>
        <v>10580</v>
      </c>
    </row>
    <row r="157" spans="1:6" x14ac:dyDescent="0.35">
      <c r="A157" s="20" t="s">
        <v>332</v>
      </c>
      <c r="B157" s="50"/>
      <c r="C157" s="50"/>
      <c r="D157" s="50"/>
      <c r="E157" s="32">
        <f>SUM(B157:D157)</f>
        <v>0</v>
      </c>
    </row>
    <row r="158" spans="1:6" x14ac:dyDescent="0.35">
      <c r="A158" s="20" t="s">
        <v>272</v>
      </c>
      <c r="B158" s="50">
        <v>47692436.730000004</v>
      </c>
      <c r="C158" s="50">
        <v>36825846.040000007</v>
      </c>
      <c r="D158" s="50">
        <v>35598349.009999961</v>
      </c>
      <c r="E158" s="32">
        <f>SUM(B158:D158)</f>
        <v>120116631.77999997</v>
      </c>
      <c r="F158" s="18"/>
    </row>
    <row r="159" spans="1:6" x14ac:dyDescent="0.35">
      <c r="A159" s="20" t="s">
        <v>273</v>
      </c>
      <c r="B159" s="50">
        <v>63983919.730000004</v>
      </c>
      <c r="C159" s="50">
        <v>59332724.160000019</v>
      </c>
      <c r="D159" s="50">
        <v>85914609.300000012</v>
      </c>
      <c r="E159" s="32">
        <f>SUM(B159:D159)</f>
        <v>209231253.19000003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3768711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128023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591865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10073063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82170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3335803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571309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18550944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399084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1081271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1480355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1116334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243659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1359993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/>
      <c r="D200" s="20"/>
      <c r="E200" s="20"/>
    </row>
    <row r="201" spans="1:5" x14ac:dyDescent="0.35">
      <c r="A201" s="20" t="s">
        <v>356</v>
      </c>
      <c r="B201" s="46" t="s">
        <v>284</v>
      </c>
      <c r="C201" s="47"/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0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114724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114724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10642078.460000001</v>
      </c>
      <c r="C212" s="216"/>
      <c r="D212" s="220"/>
      <c r="E212" s="32">
        <f t="shared" ref="E212:E220" si="16">SUM(B212:C212)-D212</f>
        <v>10642078.460000001</v>
      </c>
    </row>
    <row r="213" spans="1:5" x14ac:dyDescent="0.35">
      <c r="A213" s="20" t="s">
        <v>367</v>
      </c>
      <c r="B213" s="220">
        <v>555844.31000000006</v>
      </c>
      <c r="C213" s="216"/>
      <c r="D213" s="220"/>
      <c r="E213" s="32">
        <f t="shared" si="16"/>
        <v>555844.31000000006</v>
      </c>
    </row>
    <row r="214" spans="1:5" x14ac:dyDescent="0.35">
      <c r="A214" s="20" t="s">
        <v>368</v>
      </c>
      <c r="B214" s="220">
        <v>62254321.629999988</v>
      </c>
      <c r="C214" s="216">
        <v>715778.16000000015</v>
      </c>
      <c r="D214" s="220">
        <v>11059.74</v>
      </c>
      <c r="E214" s="32">
        <f t="shared" si="16"/>
        <v>62959040.04999999</v>
      </c>
    </row>
    <row r="215" spans="1:5" x14ac:dyDescent="0.35">
      <c r="A215" s="20" t="s">
        <v>369</v>
      </c>
      <c r="B215" s="220">
        <v>4080909.9499999997</v>
      </c>
      <c r="C215" s="216">
        <v>91038.540000000008</v>
      </c>
      <c r="D215" s="220"/>
      <c r="E215" s="32">
        <f t="shared" si="16"/>
        <v>4171948.4899999998</v>
      </c>
    </row>
    <row r="216" spans="1:5" x14ac:dyDescent="0.35">
      <c r="A216" s="20" t="s">
        <v>370</v>
      </c>
      <c r="B216" s="220"/>
      <c r="C216" s="216"/>
      <c r="D216" s="220"/>
      <c r="E216" s="32">
        <f t="shared" si="16"/>
        <v>0</v>
      </c>
    </row>
    <row r="217" spans="1:5" x14ac:dyDescent="0.35">
      <c r="A217" s="20" t="s">
        <v>371</v>
      </c>
      <c r="B217" s="220">
        <v>43035153.899999999</v>
      </c>
      <c r="C217" s="216">
        <v>1714518.87</v>
      </c>
      <c r="D217" s="220">
        <v>600098</v>
      </c>
      <c r="E217" s="32">
        <f t="shared" si="16"/>
        <v>44149574.769999996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/>
      <c r="C219" s="216"/>
      <c r="D219" s="220"/>
      <c r="E219" s="32">
        <f t="shared" si="16"/>
        <v>0</v>
      </c>
    </row>
    <row r="220" spans="1:5" x14ac:dyDescent="0.35">
      <c r="A220" s="20" t="s">
        <v>374</v>
      </c>
      <c r="B220" s="220">
        <v>5404665.6100000013</v>
      </c>
      <c r="C220" s="216">
        <v>2495195.5400000005</v>
      </c>
      <c r="D220" s="220">
        <v>501544.04999999993</v>
      </c>
      <c r="E220" s="32">
        <f t="shared" si="16"/>
        <v>7398317.1000000024</v>
      </c>
    </row>
    <row r="221" spans="1:5" x14ac:dyDescent="0.35">
      <c r="A221" s="20" t="s">
        <v>215</v>
      </c>
      <c r="B221" s="32">
        <f>SUM(B212:B220)</f>
        <v>125972973.86</v>
      </c>
      <c r="C221" s="266">
        <f>SUM(C212:C220)</f>
        <v>5016531.1100000013</v>
      </c>
      <c r="D221" s="32">
        <f>SUM(D212:D220)</f>
        <v>1112701.79</v>
      </c>
      <c r="E221" s="32">
        <f>SUM(E212:E220)</f>
        <v>129876803.17999999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399139.31</v>
      </c>
      <c r="C226" s="216">
        <v>43733.51</v>
      </c>
      <c r="D226" s="220"/>
      <c r="E226" s="32">
        <f t="shared" ref="E226:E233" si="17">SUM(B226:C226)-D226</f>
        <v>442872.82</v>
      </c>
    </row>
    <row r="227" spans="1:5" x14ac:dyDescent="0.35">
      <c r="A227" s="20" t="s">
        <v>368</v>
      </c>
      <c r="B227" s="220">
        <v>39929808.799999997</v>
      </c>
      <c r="C227" s="216">
        <v>2575591.2599999998</v>
      </c>
      <c r="D227" s="220">
        <v>11059.74</v>
      </c>
      <c r="E227" s="32">
        <f t="shared" si="17"/>
        <v>42494340.319999993</v>
      </c>
    </row>
    <row r="228" spans="1:5" x14ac:dyDescent="0.35">
      <c r="A228" s="20" t="s">
        <v>369</v>
      </c>
      <c r="B228" s="220">
        <v>2222841.17</v>
      </c>
      <c r="C228" s="216">
        <v>271682.89</v>
      </c>
      <c r="D228" s="220"/>
      <c r="E228" s="32">
        <f t="shared" si="17"/>
        <v>2494524.06</v>
      </c>
    </row>
    <row r="229" spans="1:5" x14ac:dyDescent="0.35">
      <c r="A229" s="20" t="s">
        <v>370</v>
      </c>
      <c r="B229" s="220"/>
      <c r="C229" s="216"/>
      <c r="D229" s="220"/>
      <c r="E229" s="32">
        <f t="shared" si="17"/>
        <v>0</v>
      </c>
    </row>
    <row r="230" spans="1:5" x14ac:dyDescent="0.35">
      <c r="A230" s="20" t="s">
        <v>371</v>
      </c>
      <c r="B230" s="220">
        <v>27602092.379999999</v>
      </c>
      <c r="C230" s="216">
        <v>3673033.31</v>
      </c>
      <c r="D230" s="220">
        <v>566408.59</v>
      </c>
      <c r="E230" s="32">
        <f t="shared" si="17"/>
        <v>30708717.099999998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/>
      <c r="C232" s="216"/>
      <c r="D232" s="220"/>
      <c r="E232" s="32">
        <f t="shared" si="17"/>
        <v>0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70153881.659999996</v>
      </c>
      <c r="C234" s="266">
        <f>SUM(C225:C233)</f>
        <v>6564040.9699999997</v>
      </c>
      <c r="D234" s="32">
        <f>SUM(D225:D233)</f>
        <v>577468.32999999996</v>
      </c>
      <c r="E234" s="32">
        <f>SUM(E225:E233)</f>
        <v>76140454.299999997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5" t="s">
        <v>377</v>
      </c>
      <c r="C237" s="345"/>
      <c r="D237" s="38"/>
      <c r="E237" s="38"/>
    </row>
    <row r="238" spans="1:5" x14ac:dyDescent="0.35">
      <c r="A238" s="56" t="s">
        <v>377</v>
      </c>
      <c r="B238" s="38"/>
      <c r="C238" s="216">
        <v>3997794</v>
      </c>
      <c r="D238" s="40">
        <f>C238</f>
        <v>3997794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78057310.319999993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72857969.760000005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3537754.36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6126058.2999999998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/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1241229.48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161820322.22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/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3025671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/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3025671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>
        <v>36348075</v>
      </c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36348075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205191862.22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7437299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46042048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27837162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355555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2733233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1025825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29756798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>
        <v>36918748</v>
      </c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>
        <v>457351</v>
      </c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37376099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10642078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555844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62959040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>
        <v>4171948</v>
      </c>
      <c r="D287" s="20"/>
      <c r="E287" s="20"/>
    </row>
    <row r="288" spans="1:5" x14ac:dyDescent="0.35">
      <c r="A288" s="20" t="s">
        <v>413</v>
      </c>
      <c r="B288" s="46" t="s">
        <v>284</v>
      </c>
      <c r="C288" s="216"/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44177626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/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7398318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129904854</v>
      </c>
      <c r="E292" s="20"/>
    </row>
    <row r="293" spans="1:5" x14ac:dyDescent="0.35">
      <c r="A293" s="20" t="s">
        <v>416</v>
      </c>
      <c r="B293" s="46" t="s">
        <v>284</v>
      </c>
      <c r="C293" s="47">
        <v>76140453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53764401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>
        <v>27783</v>
      </c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700576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728359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121625657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9347715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1772536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>
        <v>2506858</v>
      </c>
      <c r="D318" s="20"/>
      <c r="E318" s="20"/>
    </row>
    <row r="319" spans="1:5" x14ac:dyDescent="0.35">
      <c r="A319" s="20" t="s">
        <v>436</v>
      </c>
      <c r="B319" s="46" t="s">
        <v>284</v>
      </c>
      <c r="C319" s="216">
        <v>3717193</v>
      </c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1702547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-255278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1075691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19867262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>
        <v>231060</v>
      </c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>
        <v>5443518</v>
      </c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5674578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2316867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1766208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4083075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1075691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3007384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93076433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121625657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121625657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120114211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206776000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326890211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3237794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161820322.22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3025671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>
        <v>36348075</v>
      </c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204431862.22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122458348.78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4800220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4800220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4800220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127258568.78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61171915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18550944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8532057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16426143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620557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10030205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6564042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1480355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1359993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/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128139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3219240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3219240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128083590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-825021.21999999881</v>
      </c>
      <c r="E418" s="32"/>
    </row>
    <row r="419" spans="1:13" x14ac:dyDescent="0.35">
      <c r="A419" s="32" t="s">
        <v>508</v>
      </c>
      <c r="B419" s="20"/>
      <c r="C419" s="236">
        <v>2717188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2717188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1892166.7800000012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>
        <v>2043436</v>
      </c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3935602.7800000012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212036.65670407479</v>
      </c>
      <c r="E613" s="258">
        <f>SUM(C625:D648)+SUM(C669:D714)</f>
        <v>119514722.48229913</v>
      </c>
      <c r="F613" s="258">
        <f>CE65-(AX65+BD65+BE65+BG65+BJ65+BN65+BP65+BQ65+CB65+CC65+CD65)</f>
        <v>16308508.950000007</v>
      </c>
      <c r="G613" s="256">
        <f>CE92-(AX92+AY92+BD92+BE92+BG92+BJ92+BN92+BP92+BQ92+CB92+CC92+CD92)</f>
        <v>108078</v>
      </c>
      <c r="H613" s="261">
        <f>CE61-(AX61+AY61+AZ61+BD61+BE61+BG61+BJ61+BN61+BO61+BP61+BQ61+BR61+CB61+CC61+CD61)</f>
        <v>530.26336538461533</v>
      </c>
      <c r="I613" s="256">
        <f>CE93-(AX93+AY93+AZ93+BD93+BE93+BF93+BG93+BJ93+BN93+BO93+BP93+BQ93+BR93+CB93+CC93+CD93)</f>
        <v>181695.96900000004</v>
      </c>
      <c r="J613" s="256">
        <f>CE94-(AX94+AY94+AZ94+BA94+BD94+BE94+BF94+BG94+BJ94+BN94+BO94+BP94+BQ94+BR94+CB94+CC94+CD94)</f>
        <v>416667</v>
      </c>
      <c r="K613" s="256">
        <f>CE90-(AW90+AX90+AY90+AZ90+BA90+BB90+BC90+BD90+BE90+BF90+BG90+BH90+BI90+BJ90+BK90+BL90+BM90+BN90+BO90+BP90+BQ90+BR90+BS90+BT90+BU90+BV90+BW90+BX90+CB90+CC90+CD90)</f>
        <v>326890207.81</v>
      </c>
      <c r="L613" s="262">
        <f>CE95-(AW95+AX95+AY95+AZ95+BA95+BB95+BC95+BD95+BE95+BF95+BG95+BH95+BI95+BJ95+BK95+BL95+BM95+BN95+BO95+BP95+BQ95+BR95+BS95+BT95+BU95+BV95+BW95+BX95+BY95+BZ95+CA95+CB95+CC95+CD95)</f>
        <v>97.226120192307718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3707841.16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1240241</v>
      </c>
      <c r="D616" s="256">
        <f>SUM(C615:C616)</f>
        <v>4948082.16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909789.07</v>
      </c>
      <c r="D618" s="256">
        <f>(D616/D613)*BJ91</f>
        <v>35002.804601709635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0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3158655.27</v>
      </c>
      <c r="D620" s="256">
        <f>(D616/D613)*BN91</f>
        <v>688958.22895208257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1049824.8599999999</v>
      </c>
      <c r="D621" s="256">
        <f>(D616/D613)*CC91</f>
        <v>6355.3923073255464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1199545.3400000001</v>
      </c>
      <c r="D622" s="256">
        <f>(D616/D613)*BP91</f>
        <v>28117.796268773629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3094.05</v>
      </c>
      <c r="D623" s="256">
        <f>(D616/D613)*CB91</f>
        <v>2407.3455709566465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7081750.157700846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1070725.71</v>
      </c>
      <c r="D625" s="256">
        <f>(D616/D613)*BD91</f>
        <v>113169.31529067195</v>
      </c>
      <c r="E625" s="258">
        <f>(E624/E613)*SUM(C625:D625)</f>
        <v>70150.761411801737</v>
      </c>
      <c r="F625" s="258">
        <f>SUM(C625:E625)</f>
        <v>1254045.7867024736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1951672.9</v>
      </c>
      <c r="D626" s="256">
        <f>(D616/D613)*AY91</f>
        <v>177493.58894663351</v>
      </c>
      <c r="E626" s="258">
        <f>(E624/E613)*SUM(C626:D626)</f>
        <v>126162.07280322602</v>
      </c>
      <c r="F626" s="258">
        <f>(F625/F613)*AY65</f>
        <v>36183.25154523892</v>
      </c>
      <c r="G626" s="256">
        <f>SUM(C626:F626)</f>
        <v>2291511.813295098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1910543.8</v>
      </c>
      <c r="D627" s="256">
        <f>(D616/D613)*BR91</f>
        <v>39408.246996560301</v>
      </c>
      <c r="E627" s="258">
        <f>(E624/E613)*SUM(C627:D627)</f>
        <v>115542.86308427138</v>
      </c>
      <c r="F627" s="258">
        <f>(F625/F613)*BR65</f>
        <v>963.40437379089428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194340.96</v>
      </c>
      <c r="D628" s="256">
        <f>(D616/D613)*BO91</f>
        <v>4935.0584204611241</v>
      </c>
      <c r="E628" s="258">
        <f>(E624/E613)*SUM(C628:D628)</f>
        <v>11807.942532637417</v>
      </c>
      <c r="F628" s="258">
        <f>(F625/F613)*BO65</f>
        <v>701.66547272420019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1669158.084916973</v>
      </c>
      <c r="H629" s="258">
        <f>SUM(C627:G629)</f>
        <v>3947402.0257974183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2865644.2800000003</v>
      </c>
      <c r="D630" s="256">
        <f>(D616/D613)*BF91</f>
        <v>82379.365438136447</v>
      </c>
      <c r="E630" s="258">
        <f>(E624/E613)*SUM(C630:D630)</f>
        <v>174682.80461496601</v>
      </c>
      <c r="F630" s="258">
        <f>(F625/F613)*BF65</f>
        <v>18526.993228853134</v>
      </c>
      <c r="G630" s="256">
        <f>(G626/G613)*BF92</f>
        <v>0</v>
      </c>
      <c r="H630" s="258">
        <f>(H629/H613)*BF61</f>
        <v>211731.48677971741</v>
      </c>
      <c r="I630" s="256">
        <f>SUM(C630:H630)</f>
        <v>3352964.9300616728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18747</v>
      </c>
      <c r="D631" s="256">
        <f>(D616/D613)*BA91</f>
        <v>15816.260401185165</v>
      </c>
      <c r="E631" s="258">
        <f>(E624/E613)*SUM(C631:D631)</f>
        <v>2048.0186014990759</v>
      </c>
      <c r="F631" s="258">
        <f>(F625/F613)*BA65</f>
        <v>0</v>
      </c>
      <c r="G631" s="256">
        <f>(G626/G613)*BA92</f>
        <v>0</v>
      </c>
      <c r="H631" s="258">
        <f>(H629/H613)*BA61</f>
        <v>0</v>
      </c>
      <c r="I631" s="256">
        <f>(I630/I613)*BA93</f>
        <v>13468.533355465699</v>
      </c>
      <c r="J631" s="256">
        <f>SUM(C631:I631)</f>
        <v>50079.812358149939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954508.58</v>
      </c>
      <c r="D633" s="256">
        <f>(D616/D613)*BB91</f>
        <v>14082.971590096382</v>
      </c>
      <c r="E633" s="258">
        <f>(E624/E613)*SUM(C633:D633)</f>
        <v>57393.124719314641</v>
      </c>
      <c r="F633" s="258">
        <f>(F625/F613)*BB65</f>
        <v>256.72072139796342</v>
      </c>
      <c r="G633" s="256">
        <f>(G626/G613)*BB92</f>
        <v>0</v>
      </c>
      <c r="H633" s="258">
        <f>(H629/H613)*BB61</f>
        <v>49617.076010998928</v>
      </c>
      <c r="I633" s="256">
        <f>(I630/I613)*BB93</f>
        <v>12003.677763934686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2583827.4900000002</v>
      </c>
      <c r="D636" s="256">
        <f>(D616/D613)*BK91</f>
        <v>44969.215265470142</v>
      </c>
      <c r="E636" s="258">
        <f>(E624/E613)*SUM(C636:D636)</f>
        <v>155767.26528260502</v>
      </c>
      <c r="F636" s="258">
        <f>(F625/F613)*BK65</f>
        <v>412.11896648430496</v>
      </c>
      <c r="G636" s="256">
        <f>(G626/G613)*BK92</f>
        <v>0</v>
      </c>
      <c r="H636" s="258">
        <f>(H629/H613)*BK61</f>
        <v>197579.39865686194</v>
      </c>
      <c r="I636" s="256">
        <f>(I630/I613)*BK93</f>
        <v>38330.387978394829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3671639.92</v>
      </c>
      <c r="D637" s="256">
        <f>(D616/D613)*BH91</f>
        <v>85557.061591799167</v>
      </c>
      <c r="E637" s="258">
        <f>(E624/E613)*SUM(C637:D637)</f>
        <v>222629.72932762827</v>
      </c>
      <c r="F637" s="258">
        <f>(F625/F613)*BH65</f>
        <v>1254.1735134468611</v>
      </c>
      <c r="G637" s="256">
        <f>(G626/G613)*BH92</f>
        <v>0</v>
      </c>
      <c r="H637" s="258">
        <f>(H629/H613)*BH61</f>
        <v>54140.769460994648</v>
      </c>
      <c r="I637" s="256">
        <f>(I630/I613)*BH93</f>
        <v>72917.256111765964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1242938.06</v>
      </c>
      <c r="D638" s="256">
        <f>(D616/D613)*BL91</f>
        <v>31945.475726594694</v>
      </c>
      <c r="E638" s="258">
        <f>(E624/E613)*SUM(C638:D638)</f>
        <v>75542.21348352448</v>
      </c>
      <c r="F638" s="258">
        <f>(F625/F613)*BL65</f>
        <v>1057.5440710210553</v>
      </c>
      <c r="G638" s="256">
        <f>(G626/G613)*BL92</f>
        <v>0</v>
      </c>
      <c r="H638" s="258">
        <f>(H629/H613)*BL61</f>
        <v>158918.65328056243</v>
      </c>
      <c r="I638" s="256">
        <f>(I630/I613)*BL93</f>
        <v>27221.899742617985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79657.509999999995</v>
      </c>
      <c r="D639" s="256">
        <f>(D616/D613)*BM91</f>
        <v>0</v>
      </c>
      <c r="E639" s="258">
        <f>(E624/E613)*SUM(C639:D639)</f>
        <v>4720.0426214277113</v>
      </c>
      <c r="F639" s="258">
        <f>(F625/F613)*BM65</f>
        <v>654.18654173342782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27881.37</v>
      </c>
      <c r="D640" s="256">
        <f>(D616/D613)*BS91</f>
        <v>21497.595948642851</v>
      </c>
      <c r="E640" s="258">
        <f>(E624/E613)*SUM(C640:D640)</f>
        <v>2925.911491328588</v>
      </c>
      <c r="F640" s="258">
        <f>(F625/F613)*BS65</f>
        <v>184.57689137957738</v>
      </c>
      <c r="G640" s="256">
        <f>(G626/G613)*BS92</f>
        <v>0</v>
      </c>
      <c r="H640" s="258">
        <f>(H629/H613)*BS61</f>
        <v>0</v>
      </c>
      <c r="I640" s="256">
        <f>(I630/I613)*BS93</f>
        <v>18310.694894137658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2218649.8600000003</v>
      </c>
      <c r="D643" s="256">
        <f>(D616/D613)*BV91</f>
        <v>39528.614275108128</v>
      </c>
      <c r="E643" s="258">
        <f>(E624/E613)*SUM(C643:D643)</f>
        <v>133806.57574369464</v>
      </c>
      <c r="F643" s="258">
        <f>(F625/F613)*BV65</f>
        <v>203.14630921901636</v>
      </c>
      <c r="G643" s="256">
        <f>(G626/G613)*BV92</f>
        <v>0</v>
      </c>
      <c r="H643" s="258">
        <f>(H629/H613)*BV61</f>
        <v>170332.98295859026</v>
      </c>
      <c r="I643" s="256">
        <f>(I630/I613)*BV93</f>
        <v>33691.678605213296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289821.65000000002</v>
      </c>
      <c r="D644" s="256">
        <f>(D616/D613)*BW91</f>
        <v>22653.121822702033</v>
      </c>
      <c r="E644" s="258">
        <f>(E624/E613)*SUM(C644:D644)</f>
        <v>18515.444948304972</v>
      </c>
      <c r="F644" s="258">
        <f>(F625/F613)*BW65</f>
        <v>428.27925822779952</v>
      </c>
      <c r="G644" s="256">
        <f>(G626/G613)*BW92</f>
        <v>0</v>
      </c>
      <c r="H644" s="258">
        <f>(H629/H613)*BW61</f>
        <v>13476.56011294476</v>
      </c>
      <c r="I644" s="256">
        <f>(I630/I613)*BW93</f>
        <v>19307.610505040706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0</v>
      </c>
      <c r="D645" s="256">
        <f>(D616/D613)*BX91</f>
        <v>0</v>
      </c>
      <c r="E645" s="258">
        <f>(E624/E613)*SUM(C645:D645)</f>
        <v>0</v>
      </c>
      <c r="F645" s="258">
        <f>(F625/F613)*BX65</f>
        <v>0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>
        <f>(J631/J613)*BX94</f>
        <v>0</v>
      </c>
      <c r="K645" s="258">
        <f>SUM(C632:J645)</f>
        <v>12870758.196193209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2051450.34</v>
      </c>
      <c r="D646" s="256">
        <f>(D616/D613)*BY91</f>
        <v>14516.293792868575</v>
      </c>
      <c r="E646" s="258">
        <f>(E624/E613)*SUM(C646:D646)</f>
        <v>122417.21547597805</v>
      </c>
      <c r="F646" s="258">
        <f>(F625/F613)*BY65</f>
        <v>1333.5424148975783</v>
      </c>
      <c r="G646" s="256">
        <f>(G626/G613)*BY92</f>
        <v>0</v>
      </c>
      <c r="H646" s="258">
        <f>(H629/H613)*BY61</f>
        <v>96056.790369449474</v>
      </c>
      <c r="I646" s="256">
        <f>(I630/I613)*BY93</f>
        <v>12369.891661817441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365816</v>
      </c>
      <c r="D647" s="256">
        <f>(D616/D613)*BZ91</f>
        <v>0</v>
      </c>
      <c r="E647" s="258">
        <f>(E624/E613)*SUM(C647:D647)</f>
        <v>21676.137147648726</v>
      </c>
      <c r="F647" s="258">
        <f>(F625/F613)*BZ65</f>
        <v>0</v>
      </c>
      <c r="G647" s="256">
        <f>(G626/G613)*BZ92</f>
        <v>0</v>
      </c>
      <c r="H647" s="258">
        <f>(H629/H613)*BZ61</f>
        <v>18416.700923116325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641991.57000000007</v>
      </c>
      <c r="D648" s="256">
        <f>(D616/D613)*CA91</f>
        <v>184811.91948234173</v>
      </c>
      <c r="E648" s="258">
        <f>(E624/E613)*SUM(C648:D648)</f>
        <v>48991.585475139909</v>
      </c>
      <c r="F648" s="258">
        <f>(F625/F613)*CA65</f>
        <v>10592.816714803614</v>
      </c>
      <c r="G648" s="256">
        <f>(G626/G613)*CA92</f>
        <v>0</v>
      </c>
      <c r="H648" s="258">
        <f>(H629/H613)*CA61</f>
        <v>15582.775921328244</v>
      </c>
      <c r="I648" s="256">
        <f>(I630/I613)*CA93</f>
        <v>157492.32130613292</v>
      </c>
      <c r="J648" s="256">
        <f>(J631/J613)*CA94</f>
        <v>0</v>
      </c>
      <c r="K648" s="258">
        <v>0</v>
      </c>
      <c r="L648" s="258">
        <f>SUM(C646:K648)</f>
        <v>3763515.9006855236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33408847.75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5941505.3100000005</v>
      </c>
      <c r="D669" s="256">
        <f>(D616/D613)*C91</f>
        <v>0</v>
      </c>
      <c r="E669" s="258">
        <f>(E624/E613)*SUM(C669:D669)</f>
        <v>352059.18812474899</v>
      </c>
      <c r="F669" s="258">
        <f>(F625/F613)*C65</f>
        <v>21552.824847285992</v>
      </c>
      <c r="G669" s="256">
        <f>(G626/G613)*C92</f>
        <v>0</v>
      </c>
      <c r="H669" s="258">
        <f>(H629/H613)*C61</f>
        <v>186132.7867926124</v>
      </c>
      <c r="I669" s="256">
        <f>(I630/I613)*C93</f>
        <v>0</v>
      </c>
      <c r="J669" s="256">
        <f>(J631/J613)*C94</f>
        <v>0</v>
      </c>
      <c r="K669" s="256">
        <f>(K645/K613)*C90</f>
        <v>622110.80651525664</v>
      </c>
      <c r="L669" s="256">
        <f>(L648/L613)*C95</f>
        <v>676309.75696653244</v>
      </c>
      <c r="M669" s="231">
        <f t="shared" ref="M669:M714" si="18">ROUND(SUM(D669:L669),0)</f>
        <v>1858165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8"/>
        <v>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6089682.5700000012</v>
      </c>
      <c r="D671" s="256">
        <f>(D616/D613)*E91</f>
        <v>481902.43639410165</v>
      </c>
      <c r="E671" s="258">
        <f>(E624/E613)*SUM(C671:D671)</f>
        <v>389394.06115651206</v>
      </c>
      <c r="F671" s="258">
        <f>(F625/F613)*E65</f>
        <v>27524.352537722491</v>
      </c>
      <c r="G671" s="256">
        <f>(G626/G613)*E92</f>
        <v>490199.23687876045</v>
      </c>
      <c r="H671" s="258">
        <f>(H629/H613)*E61</f>
        <v>271335.28257272701</v>
      </c>
      <c r="I671" s="256">
        <f>(I630/I613)*E93</f>
        <v>431201.6058445301</v>
      </c>
      <c r="J671" s="256">
        <f>(J631/J613)*E94</f>
        <v>13720.743007678499</v>
      </c>
      <c r="K671" s="256">
        <f>(K645/K613)*E90</f>
        <v>618863.68744261377</v>
      </c>
      <c r="L671" s="256">
        <f>(L648/L613)*E95</f>
        <v>754087.283755971</v>
      </c>
      <c r="M671" s="231">
        <f t="shared" si="18"/>
        <v>3478229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5230623.6399999987</v>
      </c>
      <c r="D672" s="256">
        <f>(D616/D613)*F91</f>
        <v>305323.63876443147</v>
      </c>
      <c r="E672" s="258">
        <f>(E624/E613)*SUM(C672:D672)</f>
        <v>328028.16841431358</v>
      </c>
      <c r="F672" s="258">
        <f>(F625/F613)*F65</f>
        <v>19593.730119049749</v>
      </c>
      <c r="G672" s="256">
        <f>(G626/G613)*F92</f>
        <v>95707.584570533072</v>
      </c>
      <c r="H672" s="258">
        <f>(H629/H613)*F61</f>
        <v>0</v>
      </c>
      <c r="I672" s="256">
        <f>(I630/I613)*F93</f>
        <v>273204.72316798096</v>
      </c>
      <c r="J672" s="256">
        <f>(J631/J613)*F94</f>
        <v>10120.804658327288</v>
      </c>
      <c r="K672" s="256">
        <f>(K645/K613)*F90</f>
        <v>286304.16233273473</v>
      </c>
      <c r="L672" s="256">
        <f>(L648/L613)*F95</f>
        <v>935807.13259858999</v>
      </c>
      <c r="M672" s="231">
        <f t="shared" si="18"/>
        <v>2254090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0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>
        <f>(F625/F613)*H65</f>
        <v>0</v>
      </c>
      <c r="G674" s="256">
        <f>(G626/G613)*H92</f>
        <v>0</v>
      </c>
      <c r="H674" s="258">
        <f>(H629/H613)*H61</f>
        <v>0</v>
      </c>
      <c r="I674" s="256">
        <f>(I630/I613)*H93</f>
        <v>0</v>
      </c>
      <c r="J674" s="256">
        <f>(J631/J613)*H94</f>
        <v>0</v>
      </c>
      <c r="K674" s="256">
        <f>(K645/K613)*H90</f>
        <v>0</v>
      </c>
      <c r="L674" s="256">
        <f>(L648/L613)*H95</f>
        <v>0</v>
      </c>
      <c r="M674" s="231">
        <f t="shared" si="18"/>
        <v>0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58733.65</v>
      </c>
      <c r="D676" s="256">
        <f>(D616/D613)*J91</f>
        <v>0</v>
      </c>
      <c r="E676" s="258">
        <f>(E624/E613)*SUM(C676:D676)</f>
        <v>3480.2158806121074</v>
      </c>
      <c r="F676" s="258">
        <f>(F625/F613)*J65</f>
        <v>4516.3347885434814</v>
      </c>
      <c r="G676" s="256">
        <f>(G626/G613)*J92</f>
        <v>0</v>
      </c>
      <c r="H676" s="258">
        <f>(H629/H613)*J61</f>
        <v>0</v>
      </c>
      <c r="I676" s="256">
        <f>(I630/I613)*J93</f>
        <v>0</v>
      </c>
      <c r="J676" s="256">
        <f>(J631/J613)*J94</f>
        <v>0</v>
      </c>
      <c r="K676" s="256">
        <f>(K645/K613)*J90</f>
        <v>18975.900846636392</v>
      </c>
      <c r="L676" s="256">
        <f>(L648/L613)*J95</f>
        <v>0</v>
      </c>
      <c r="M676" s="231">
        <f t="shared" si="18"/>
        <v>26972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461.64277630475215</v>
      </c>
      <c r="K680" s="256">
        <f>(K645/K613)*N90</f>
        <v>0</v>
      </c>
      <c r="L680" s="256">
        <f>(L648/L613)*N95</f>
        <v>0</v>
      </c>
      <c r="M680" s="231">
        <f t="shared" si="18"/>
        <v>462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194596.85</v>
      </c>
      <c r="D681" s="256">
        <f>(D616/D613)*O91</f>
        <v>0</v>
      </c>
      <c r="E681" s="258">
        <f>(E624/E613)*SUM(C681:D681)</f>
        <v>11530.68211642035</v>
      </c>
      <c r="F681" s="258">
        <f>(F625/F613)*O65</f>
        <v>14963.560469951681</v>
      </c>
      <c r="G681" s="256">
        <f>(G626/G613)*O92</f>
        <v>0</v>
      </c>
      <c r="H681" s="258">
        <f>(H629/H613)*O61</f>
        <v>0</v>
      </c>
      <c r="I681" s="256">
        <f>(I630/I613)*O93</f>
        <v>0</v>
      </c>
      <c r="J681" s="256">
        <f>(J631/J613)*O94</f>
        <v>0</v>
      </c>
      <c r="K681" s="256">
        <f>(K645/K613)*O90</f>
        <v>736808.36789245298</v>
      </c>
      <c r="L681" s="256">
        <f>(L648/L613)*O95</f>
        <v>0</v>
      </c>
      <c r="M681" s="231">
        <f t="shared" si="18"/>
        <v>763303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6409301.3100000005</v>
      </c>
      <c r="D682" s="256">
        <f>(D616/D613)*P91</f>
        <v>236521.70234649043</v>
      </c>
      <c r="E682" s="258">
        <f>(E624/E613)*SUM(C682:D682)</f>
        <v>393792.97536089877</v>
      </c>
      <c r="F682" s="258">
        <f>(F625/F613)*P65</f>
        <v>186515.40972568747</v>
      </c>
      <c r="G682" s="256">
        <f>(G626/G613)*P92</f>
        <v>0</v>
      </c>
      <c r="H682" s="258">
        <f>(H629/H613)*P61</f>
        <v>130877.42295743771</v>
      </c>
      <c r="I682" s="256">
        <f>(I630/I613)*P93</f>
        <v>211638.06336892542</v>
      </c>
      <c r="J682" s="256">
        <f>(J631/J613)*P94</f>
        <v>3901.4325782581045</v>
      </c>
      <c r="K682" s="256">
        <f>(K645/K613)*P90</f>
        <v>1639203.160261763</v>
      </c>
      <c r="L682" s="256">
        <f>(L648/L613)*P95</f>
        <v>253811.63414126585</v>
      </c>
      <c r="M682" s="231">
        <f t="shared" si="18"/>
        <v>3056262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686046.56</v>
      </c>
      <c r="D683" s="256">
        <f>(D616/D613)*Q91</f>
        <v>33606.544170554786</v>
      </c>
      <c r="E683" s="258">
        <f>(E624/E613)*SUM(C683:D683)</f>
        <v>42642.474316957378</v>
      </c>
      <c r="F683" s="258">
        <f>(F625/F613)*Q65</f>
        <v>3450.3299404928448</v>
      </c>
      <c r="G683" s="256">
        <f>(G626/G613)*Q92</f>
        <v>0</v>
      </c>
      <c r="H683" s="258">
        <f>(H629/H613)*Q61</f>
        <v>25780.00991548692</v>
      </c>
      <c r="I683" s="256">
        <f>(I630/I613)*Q93</f>
        <v>30078.368146103461</v>
      </c>
      <c r="J683" s="256">
        <f>(J631/J613)*Q94</f>
        <v>896.21590947646587</v>
      </c>
      <c r="K683" s="256">
        <f>(K645/K613)*Q90</f>
        <v>193846.59078290928</v>
      </c>
      <c r="L683" s="256">
        <f>(L648/L613)*Q95</f>
        <v>134466.33467356864</v>
      </c>
      <c r="M683" s="231">
        <f t="shared" si="18"/>
        <v>464767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5614675.5499999998</v>
      </c>
      <c r="D684" s="256">
        <f>(D616/D613)*R91</f>
        <v>4477.6627619793617</v>
      </c>
      <c r="E684" s="258">
        <f>(E624/E613)*SUM(C684:D684)</f>
        <v>332958.47008736531</v>
      </c>
      <c r="F684" s="258">
        <f>(F625/F613)*R65</f>
        <v>16029.929032219801</v>
      </c>
      <c r="G684" s="256">
        <f>(G626/G613)*R92</f>
        <v>0</v>
      </c>
      <c r="H684" s="258">
        <f>(H629/H613)*R61</f>
        <v>87400.583397846101</v>
      </c>
      <c r="I684" s="256">
        <f>(I630/I613)*R93</f>
        <v>4016.14574678086</v>
      </c>
      <c r="J684" s="256">
        <f>(J631/J613)*R94</f>
        <v>0</v>
      </c>
      <c r="K684" s="256">
        <f>(K645/K613)*R90</f>
        <v>829598.09133523412</v>
      </c>
      <c r="L684" s="256">
        <f>(L648/L613)*R95</f>
        <v>0</v>
      </c>
      <c r="M684" s="231">
        <f t="shared" si="18"/>
        <v>1274481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3827668.23</v>
      </c>
      <c r="D685" s="256">
        <f>(D616/D613)*S91</f>
        <v>32715.826309300825</v>
      </c>
      <c r="E685" s="258">
        <f>(E624/E613)*SUM(C685:D685)</f>
        <v>228743.99765772111</v>
      </c>
      <c r="F685" s="258">
        <f>(F625/F613)*S65</f>
        <v>240753.21126191731</v>
      </c>
      <c r="G685" s="256">
        <f>(G626/G613)*S92</f>
        <v>0</v>
      </c>
      <c r="H685" s="258">
        <f>(H629/H613)*S61</f>
        <v>41400.329088862607</v>
      </c>
      <c r="I685" s="256">
        <f>(I630/I613)*S93</f>
        <v>29266.594005796687</v>
      </c>
      <c r="J685" s="256">
        <f>(J631/J613)*S94</f>
        <v>169.87416768517568</v>
      </c>
      <c r="K685" s="256">
        <f>(K645/K613)*S90</f>
        <v>350863.96842907008</v>
      </c>
      <c r="L685" s="256">
        <f>(L648/L613)*S95</f>
        <v>0</v>
      </c>
      <c r="M685" s="231">
        <f t="shared" si="18"/>
        <v>923914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0</v>
      </c>
      <c r="D686" s="256">
        <f>(D616/D613)*T91</f>
        <v>0</v>
      </c>
      <c r="E686" s="258">
        <f>(E624/E613)*SUM(C686:D686)</f>
        <v>0</v>
      </c>
      <c r="F686" s="258">
        <f>(F625/F613)*T65</f>
        <v>0</v>
      </c>
      <c r="G686" s="256">
        <f>(G626/G613)*T92</f>
        <v>0</v>
      </c>
      <c r="H686" s="258">
        <f>(H629/H613)*T61</f>
        <v>0</v>
      </c>
      <c r="I686" s="256">
        <f>(I630/I613)*T93</f>
        <v>0</v>
      </c>
      <c r="J686" s="256">
        <f>(J631/J613)*T94</f>
        <v>0</v>
      </c>
      <c r="K686" s="256">
        <f>(K645/K613)*T90</f>
        <v>7.2250072733111823</v>
      </c>
      <c r="L686" s="256">
        <f>(L648/L613)*T95</f>
        <v>0</v>
      </c>
      <c r="M686" s="231">
        <f t="shared" si="18"/>
        <v>7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6549364.1499999994</v>
      </c>
      <c r="D687" s="256">
        <f>(D616/D613)*U91</f>
        <v>78262.804511800568</v>
      </c>
      <c r="E687" s="258">
        <f>(E624/E613)*SUM(C687:D687)</f>
        <v>392714.78237543249</v>
      </c>
      <c r="F687" s="258">
        <f>(F625/F613)*U65</f>
        <v>130970.77377861056</v>
      </c>
      <c r="G687" s="256">
        <f>(G626/G613)*U92</f>
        <v>0</v>
      </c>
      <c r="H687" s="258">
        <f>(H629/H613)*U61</f>
        <v>196604.70568616505</v>
      </c>
      <c r="I687" s="256">
        <f>(I630/I613)*U93</f>
        <v>70026.200840147125</v>
      </c>
      <c r="J687" s="256">
        <f>(J631/J613)*U94</f>
        <v>64.513281239217491</v>
      </c>
      <c r="K687" s="256">
        <f>(K645/K613)*U90</f>
        <v>1131919.9691919559</v>
      </c>
      <c r="L687" s="256">
        <f>(L648/L613)*U95</f>
        <v>0</v>
      </c>
      <c r="M687" s="231">
        <f t="shared" si="18"/>
        <v>2000564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36949.229999999996</v>
      </c>
      <c r="D688" s="256">
        <f>(D616/D613)*V91</f>
        <v>0</v>
      </c>
      <c r="E688" s="258">
        <f>(E624/E613)*SUM(C688:D688)</f>
        <v>2189.3973390448114</v>
      </c>
      <c r="F688" s="258">
        <f>(F625/F613)*V65</f>
        <v>484.22665576649268</v>
      </c>
      <c r="G688" s="256">
        <f>(G626/G613)*V92</f>
        <v>0</v>
      </c>
      <c r="H688" s="258">
        <f>(H629/H613)*V61</f>
        <v>0</v>
      </c>
      <c r="I688" s="256">
        <f>(I630/I613)*V93</f>
        <v>0</v>
      </c>
      <c r="J688" s="256">
        <f>(J631/J613)*V94</f>
        <v>0</v>
      </c>
      <c r="K688" s="256">
        <f>(K645/K613)*V90</f>
        <v>7968.5333624076857</v>
      </c>
      <c r="L688" s="256">
        <f>(L648/L613)*V95</f>
        <v>0</v>
      </c>
      <c r="M688" s="231">
        <f t="shared" si="18"/>
        <v>10642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369911.9</v>
      </c>
      <c r="D689" s="256">
        <f>(D616/D613)*W91</f>
        <v>0</v>
      </c>
      <c r="E689" s="258">
        <f>(E624/E613)*SUM(C689:D689)</f>
        <v>21918.836455888537</v>
      </c>
      <c r="F689" s="258">
        <f>(F625/F613)*W65</f>
        <v>1352.0403202164548</v>
      </c>
      <c r="G689" s="256">
        <f>(G626/G613)*W92</f>
        <v>0</v>
      </c>
      <c r="H689" s="258">
        <f>(H629/H613)*W61</f>
        <v>14889.925762713192</v>
      </c>
      <c r="I689" s="256">
        <f>(I630/I613)*W93</f>
        <v>0</v>
      </c>
      <c r="J689" s="256">
        <f>(J631/J613)*W94</f>
        <v>0</v>
      </c>
      <c r="K689" s="256">
        <f>(K645/K613)*W90</f>
        <v>195125.27178267317</v>
      </c>
      <c r="L689" s="256">
        <f>(L648/L613)*W95</f>
        <v>0</v>
      </c>
      <c r="M689" s="231">
        <f t="shared" si="18"/>
        <v>233286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851906.73</v>
      </c>
      <c r="D690" s="256">
        <f>(D616/D613)*X91</f>
        <v>0</v>
      </c>
      <c r="E690" s="258">
        <f>(E624/E613)*SUM(C690:D690)</f>
        <v>50479.05809610556</v>
      </c>
      <c r="F690" s="258">
        <f>(F625/F613)*X65</f>
        <v>12168.334430730234</v>
      </c>
      <c r="G690" s="256">
        <f>(G626/G613)*X92</f>
        <v>0</v>
      </c>
      <c r="H690" s="258">
        <f>(H629/H613)*X61</f>
        <v>31577.70445521966</v>
      </c>
      <c r="I690" s="256">
        <f>(I630/I613)*X93</f>
        <v>0</v>
      </c>
      <c r="J690" s="256">
        <f>(J631/J613)*X94</f>
        <v>1462.2470101984443</v>
      </c>
      <c r="K690" s="256">
        <f>(K645/K613)*X90</f>
        <v>1116392.7615772875</v>
      </c>
      <c r="L690" s="256">
        <f>(L648/L613)*X95</f>
        <v>0</v>
      </c>
      <c r="M690" s="231">
        <f t="shared" si="18"/>
        <v>1212080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4084356.39</v>
      </c>
      <c r="D691" s="256">
        <f>(D616/D613)*Y91</f>
        <v>160112.55392432655</v>
      </c>
      <c r="E691" s="258">
        <f>(E624/E613)*SUM(C691:D691)</f>
        <v>251502.64326174758</v>
      </c>
      <c r="F691" s="258">
        <f>(F625/F613)*Y65</f>
        <v>10214.632361705877</v>
      </c>
      <c r="G691" s="256">
        <f>(G626/G613)*Y92</f>
        <v>0</v>
      </c>
      <c r="H691" s="258">
        <f>(H629/H613)*Y61</f>
        <v>177600.69802701523</v>
      </c>
      <c r="I691" s="256">
        <f>(I630/I613)*Y93</f>
        <v>143256.77328676832</v>
      </c>
      <c r="J691" s="256">
        <f>(J631/J613)*Y94</f>
        <v>2828.5345668953396</v>
      </c>
      <c r="K691" s="256">
        <f>(K645/K613)*Y90</f>
        <v>850219.39368295914</v>
      </c>
      <c r="L691" s="256">
        <f>(L648/L613)*Y95</f>
        <v>0</v>
      </c>
      <c r="M691" s="231">
        <f t="shared" si="18"/>
        <v>1595735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0</v>
      </c>
      <c r="D692" s="256">
        <f>(D616/D613)*Z91</f>
        <v>0</v>
      </c>
      <c r="E692" s="258">
        <f>(E624/E613)*SUM(C692:D692)</f>
        <v>0</v>
      </c>
      <c r="F692" s="258">
        <f>(F625/F613)*Z65</f>
        <v>0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0</v>
      </c>
      <c r="L692" s="256">
        <f>(L648/L613)*Z95</f>
        <v>0</v>
      </c>
      <c r="M692" s="231">
        <f t="shared" si="18"/>
        <v>0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439489.91000000003</v>
      </c>
      <c r="D693" s="256">
        <f>(D616/D613)*AA91</f>
        <v>0</v>
      </c>
      <c r="E693" s="258">
        <f>(E624/E613)*SUM(C693:D693)</f>
        <v>26041.626293458448</v>
      </c>
      <c r="F693" s="258">
        <f>(F625/F613)*AA65</f>
        <v>12097.758493501387</v>
      </c>
      <c r="G693" s="256">
        <f>(G626/G613)*AA92</f>
        <v>0</v>
      </c>
      <c r="H693" s="258">
        <f>(H629/H613)*AA61</f>
        <v>11374.925368681474</v>
      </c>
      <c r="I693" s="256">
        <f>(I630/I613)*AA93</f>
        <v>0</v>
      </c>
      <c r="J693" s="256">
        <f>(J631/J613)*AA94</f>
        <v>93.852235772630465</v>
      </c>
      <c r="K693" s="256">
        <f>(K645/K613)*AA90</f>
        <v>31030.427811456044</v>
      </c>
      <c r="L693" s="256">
        <f>(L648/L613)*AA95</f>
        <v>0</v>
      </c>
      <c r="M693" s="231">
        <f t="shared" si="18"/>
        <v>80639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6799119.2999999998</v>
      </c>
      <c r="D694" s="256">
        <f>(D616/D613)*AB91</f>
        <v>39745.275376494232</v>
      </c>
      <c r="E694" s="258">
        <f>(E624/E613)*SUM(C694:D694)</f>
        <v>405231.50018057536</v>
      </c>
      <c r="F694" s="258">
        <f>(F625/F613)*AB65</f>
        <v>340476.41309070087</v>
      </c>
      <c r="G694" s="256">
        <f>(G626/G613)*AB92</f>
        <v>0</v>
      </c>
      <c r="H694" s="258">
        <f>(H629/H613)*AB61</f>
        <v>81187.479395277012</v>
      </c>
      <c r="I694" s="256">
        <f>(I630/I613)*AB93</f>
        <v>35568.5248318624</v>
      </c>
      <c r="J694" s="256">
        <f>(J631/J613)*AB94</f>
        <v>0</v>
      </c>
      <c r="K694" s="256">
        <f>(K645/K613)*AB90</f>
        <v>818621.22794983326</v>
      </c>
      <c r="L694" s="256">
        <f>(L648/L613)*AB95</f>
        <v>0</v>
      </c>
      <c r="M694" s="231">
        <f t="shared" si="18"/>
        <v>1720830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1007145.11</v>
      </c>
      <c r="D695" s="256">
        <f>(D616/D613)*AC91</f>
        <v>19956.8947832306</v>
      </c>
      <c r="E695" s="258">
        <f>(E624/E613)*SUM(C695:D695)</f>
        <v>60860.115250033523</v>
      </c>
      <c r="F695" s="258">
        <f>(F625/F613)*AC65</f>
        <v>6807.6159401189889</v>
      </c>
      <c r="G695" s="256">
        <f>(G626/G613)*AC92</f>
        <v>0</v>
      </c>
      <c r="H695" s="258">
        <f>(H629/H613)*AC61</f>
        <v>48214.125124191225</v>
      </c>
      <c r="I695" s="256">
        <f>(I630/I613)*AC93</f>
        <v>17859.031086748928</v>
      </c>
      <c r="J695" s="256">
        <f>(J631/J613)*AC94</f>
        <v>0</v>
      </c>
      <c r="K695" s="256">
        <f>(K645/K613)*AC90</f>
        <v>210756.33641606188</v>
      </c>
      <c r="L695" s="256">
        <f>(L648/L613)*AC95</f>
        <v>0</v>
      </c>
      <c r="M695" s="231">
        <f t="shared" si="18"/>
        <v>364454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0</v>
      </c>
      <c r="L696" s="256">
        <f>(L648/L613)*AD95</f>
        <v>0</v>
      </c>
      <c r="M696" s="231">
        <f t="shared" si="18"/>
        <v>0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1015536.57</v>
      </c>
      <c r="D697" s="256">
        <f>(D616/D613)*AE91</f>
        <v>49085.776191806028</v>
      </c>
      <c r="E697" s="258">
        <f>(E624/E613)*SUM(C697:D697)</f>
        <v>63083.353342951508</v>
      </c>
      <c r="F697" s="258">
        <f>(F625/F613)*AE65</f>
        <v>1193.3801814502547</v>
      </c>
      <c r="G697" s="256">
        <f>(G626/G613)*AE92</f>
        <v>0</v>
      </c>
      <c r="H697" s="258">
        <f>(H629/H613)*AE61</f>
        <v>253532.65897909645</v>
      </c>
      <c r="I697" s="256">
        <f>(I630/I613)*AE93</f>
        <v>43921.253486071531</v>
      </c>
      <c r="J697" s="256">
        <f>(J631/J613)*AE94</f>
        <v>69.213997711421769</v>
      </c>
      <c r="K697" s="256">
        <f>(K645/K613)*AE90</f>
        <v>127581.93456569362</v>
      </c>
      <c r="L697" s="256">
        <f>(L648/L613)*AE95</f>
        <v>0</v>
      </c>
      <c r="M697" s="231">
        <f t="shared" si="18"/>
        <v>538468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8256680.2599999998</v>
      </c>
      <c r="D699" s="256">
        <f>(D616/D613)*AG91</f>
        <v>131729.94964274767</v>
      </c>
      <c r="E699" s="258">
        <f>(E624/E613)*SUM(C699:D699)</f>
        <v>497048.59862595674</v>
      </c>
      <c r="F699" s="258">
        <f>(F625/F613)*AG65</f>
        <v>41542.181453884259</v>
      </c>
      <c r="G699" s="256">
        <f>(G626/G613)*AG92</f>
        <v>28538.415780225412</v>
      </c>
      <c r="H699" s="258">
        <f>(H629/H613)*AG61</f>
        <v>206162.38018166926</v>
      </c>
      <c r="I699" s="256">
        <f>(I630/I613)*AG93</f>
        <v>117878.15016349354</v>
      </c>
      <c r="J699" s="256">
        <f>(J631/J613)*AG94</f>
        <v>13859.3330967728</v>
      </c>
      <c r="K699" s="256">
        <f>(K645/K613)*AG90</f>
        <v>1752012.0578834449</v>
      </c>
      <c r="L699" s="256">
        <f>(L648/L613)*AG95</f>
        <v>728061.69164210907</v>
      </c>
      <c r="M699" s="231">
        <f t="shared" si="18"/>
        <v>3516833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389065.17000000004</v>
      </c>
      <c r="D700" s="256">
        <f>(D616/D613)*AH91</f>
        <v>0</v>
      </c>
      <c r="E700" s="258">
        <f>(E624/E613)*SUM(C700:D700)</f>
        <v>23053.748289558869</v>
      </c>
      <c r="F700" s="258">
        <f>(F625/F613)*AH65</f>
        <v>6285.0578043790729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29339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1625004.81</v>
      </c>
      <c r="D701" s="256">
        <f>(D616/D613)*AI91</f>
        <v>93405.008153117902</v>
      </c>
      <c r="E701" s="258">
        <f>(E624/E613)*SUM(C701:D701)</f>
        <v>101823.01182603574</v>
      </c>
      <c r="F701" s="258">
        <f>(F625/F613)*AI65</f>
        <v>13411.735697934488</v>
      </c>
      <c r="G701" s="256">
        <f>(G626/G613)*AI92</f>
        <v>7908.4911486062992</v>
      </c>
      <c r="H701" s="258">
        <f>(H629/H613)*AI61</f>
        <v>87320.164248798596</v>
      </c>
      <c r="I701" s="256">
        <f>(I630/I613)*AI93</f>
        <v>83570.011496844279</v>
      </c>
      <c r="J701" s="256">
        <f>(J631/J613)*AI94</f>
        <v>2431.4050718298045</v>
      </c>
      <c r="K701" s="256">
        <f>(K645/K613)*AI90</f>
        <v>329712.08517119498</v>
      </c>
      <c r="L701" s="256">
        <f>(L648/L613)*AI95</f>
        <v>280972.06690748595</v>
      </c>
      <c r="M701" s="231">
        <f t="shared" si="18"/>
        <v>1000554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22786260.080000002</v>
      </c>
      <c r="D702" s="256">
        <f>(D616/D613)*AJ91</f>
        <v>1627630.4139794982</v>
      </c>
      <c r="E702" s="258">
        <f>(E624/E613)*SUM(C702:D702)</f>
        <v>1446625.7316661302</v>
      </c>
      <c r="F702" s="258">
        <f>(F625/F613)*AJ65</f>
        <v>64482.036236689542</v>
      </c>
      <c r="G702" s="256">
        <f>(G626/G613)*AJ92</f>
        <v>0</v>
      </c>
      <c r="H702" s="258">
        <f>(H629/H613)*AJ61</f>
        <v>993748.40795876493</v>
      </c>
      <c r="I702" s="256">
        <f>(I630/I613)*AJ93</f>
        <v>1456365.5326650976</v>
      </c>
      <c r="J702" s="256">
        <f>(J631/J613)*AJ94</f>
        <v>0</v>
      </c>
      <c r="K702" s="256">
        <f>(K645/K613)*AJ90</f>
        <v>760537.13208776142</v>
      </c>
      <c r="L702" s="256">
        <f>(L648/L613)*AJ95</f>
        <v>0</v>
      </c>
      <c r="M702" s="231">
        <f t="shared" si="18"/>
        <v>6349389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2710388.28</v>
      </c>
      <c r="D703" s="256">
        <f>(D616/D613)*AK91</f>
        <v>0</v>
      </c>
      <c r="E703" s="258">
        <f>(E624/E613)*SUM(C703:D703)</f>
        <v>160601.90937700847</v>
      </c>
      <c r="F703" s="258">
        <f>(F625/F613)*AK65</f>
        <v>1465.1054599851998</v>
      </c>
      <c r="G703" s="256">
        <f>(G626/G613)*AK92</f>
        <v>0</v>
      </c>
      <c r="H703" s="258">
        <f>(H629/H613)*AK61</f>
        <v>22666.711581494204</v>
      </c>
      <c r="I703" s="256">
        <f>(I630/I613)*AK93</f>
        <v>0</v>
      </c>
      <c r="J703" s="256">
        <f>(J631/J613)*AK94</f>
        <v>0</v>
      </c>
      <c r="K703" s="256">
        <f>(K645/K613)*AK90</f>
        <v>92243.946787088542</v>
      </c>
      <c r="L703" s="256">
        <f>(L648/L613)*AK95</f>
        <v>0</v>
      </c>
      <c r="M703" s="231">
        <f t="shared" si="18"/>
        <v>276978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18584</v>
      </c>
      <c r="D704" s="256">
        <f>(D616/D613)*AL91</f>
        <v>0</v>
      </c>
      <c r="E704" s="258">
        <f>(E624/E613)*SUM(C704:D704)</f>
        <v>1101.1801910028646</v>
      </c>
      <c r="F704" s="258">
        <f>(F625/F613)*AL65</f>
        <v>0</v>
      </c>
      <c r="G704" s="256">
        <f>(G626/G613)*AL92</f>
        <v>0</v>
      </c>
      <c r="H704" s="258">
        <f>(H629/H613)*AL61</f>
        <v>779.31774388360714</v>
      </c>
      <c r="I704" s="256">
        <f>(I630/I613)*AL93</f>
        <v>0</v>
      </c>
      <c r="J704" s="256">
        <f>(J631/J613)*AL94</f>
        <v>0</v>
      </c>
      <c r="K704" s="256">
        <f>(K645/K613)*AL90</f>
        <v>320.49896024388573</v>
      </c>
      <c r="L704" s="256">
        <f>(L648/L613)*AL95</f>
        <v>0</v>
      </c>
      <c r="M704" s="231">
        <f t="shared" si="18"/>
        <v>2201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0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1975262.75</v>
      </c>
      <c r="D708" s="256">
        <f>(D616/D613)*AP91</f>
        <v>0</v>
      </c>
      <c r="E708" s="258">
        <f>(E624/E613)*SUM(C708:D708)</f>
        <v>117042.62873040485</v>
      </c>
      <c r="F708" s="258">
        <f>(F625/F613)*AP65</f>
        <v>2784.2784719606861</v>
      </c>
      <c r="G708" s="256">
        <f>(G626/G613)*AP92</f>
        <v>0</v>
      </c>
      <c r="H708" s="258">
        <f>(H629/H613)*AP61</f>
        <v>69964.409144267178</v>
      </c>
      <c r="I708" s="256">
        <f>(I630/I613)*AP93</f>
        <v>0</v>
      </c>
      <c r="J708" s="256">
        <f>(J631/J613)*AP94</f>
        <v>0</v>
      </c>
      <c r="K708" s="256">
        <f>(K645/K613)*AP90</f>
        <v>87447.299500606867</v>
      </c>
      <c r="L708" s="256">
        <f>(L648/L613)*AP95</f>
        <v>0</v>
      </c>
      <c r="M708" s="231">
        <f t="shared" si="18"/>
        <v>277239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219766.58</v>
      </c>
      <c r="D714" s="256">
        <f>(D616/D613)*AV91</f>
        <v>0</v>
      </c>
      <c r="E714" s="258">
        <f>(E624/E613)*SUM(C714:D714)</f>
        <v>13022.094518965041</v>
      </c>
      <c r="F714" s="258">
        <f>(F625/F613)*AV65</f>
        <v>658.11357874970247</v>
      </c>
      <c r="G714" s="256">
        <f>(G626/G613)*AV92</f>
        <v>0</v>
      </c>
      <c r="H714" s="258">
        <f>(H629/H613)*AV61</f>
        <v>22998.802940644444</v>
      </c>
      <c r="I714" s="256">
        <f>(I630/I613)*AV93</f>
        <v>0</v>
      </c>
      <c r="J714" s="256">
        <f>(J631/J613)*AV94</f>
        <v>0</v>
      </c>
      <c r="K714" s="256">
        <f>(K645/K613)*AV90</f>
        <v>62287.358616596975</v>
      </c>
      <c r="L714" s="256">
        <f>(L648/L613)*AV95</f>
        <v>0</v>
      </c>
      <c r="M714" s="231">
        <f t="shared" si="18"/>
        <v>98966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126596472.63999999</v>
      </c>
      <c r="D716" s="231">
        <f>SUM(D617:D648)+SUM(D669:D714)</f>
        <v>4948082.16</v>
      </c>
      <c r="E716" s="231">
        <f>SUM(E625:E648)+SUM(E669:E714)</f>
        <v>7081750.1577008478</v>
      </c>
      <c r="F716" s="231">
        <f>SUM(F626:F649)+SUM(F669:F714)</f>
        <v>1254045.7867024727</v>
      </c>
      <c r="G716" s="231">
        <f>SUM(G627:G648)+SUM(G669:G714)</f>
        <v>2291511.813295098</v>
      </c>
      <c r="H716" s="231">
        <f>SUM(H630:H648)+SUM(H669:H714)</f>
        <v>3947402.0257974183</v>
      </c>
      <c r="I716" s="231">
        <f>SUM(I631:I648)+SUM(I669:I714)</f>
        <v>3352964.9300616723</v>
      </c>
      <c r="J716" s="231">
        <f>SUM(J632:J648)+SUM(J669:J714)</f>
        <v>50079.812358149931</v>
      </c>
      <c r="K716" s="231">
        <f>SUM(K669:K714)</f>
        <v>12870758.196193209</v>
      </c>
      <c r="L716" s="231">
        <f>SUM(L669:L714)</f>
        <v>3763515.9006855227</v>
      </c>
      <c r="M716" s="231">
        <f>SUM(M669:M714)</f>
        <v>33408849</v>
      </c>
      <c r="N716" s="250" t="s">
        <v>669</v>
      </c>
    </row>
    <row r="717" spans="1:14" s="231" customFormat="1" ht="12.65" customHeight="1" x14ac:dyDescent="0.3">
      <c r="C717" s="253">
        <f>CE86</f>
        <v>126596472.63999997</v>
      </c>
      <c r="D717" s="231">
        <f>D616</f>
        <v>4948082.16</v>
      </c>
      <c r="E717" s="231">
        <f>E624</f>
        <v>7081750.157700846</v>
      </c>
      <c r="F717" s="231">
        <f>F625</f>
        <v>1254045.7867024736</v>
      </c>
      <c r="G717" s="231">
        <f>G626</f>
        <v>2291511.813295098</v>
      </c>
      <c r="H717" s="231">
        <f>H629</f>
        <v>3947402.0257974183</v>
      </c>
      <c r="I717" s="231">
        <f>I630</f>
        <v>3352964.9300616728</v>
      </c>
      <c r="J717" s="231">
        <f>J631</f>
        <v>50079.812358149939</v>
      </c>
      <c r="K717" s="231">
        <f>K645</f>
        <v>12870758.196193209</v>
      </c>
      <c r="L717" s="231">
        <f>L648</f>
        <v>3763515.9006855236</v>
      </c>
      <c r="M717" s="231">
        <f>C649</f>
        <v>33408847.75</v>
      </c>
      <c r="N717" s="250" t="s">
        <v>670</v>
      </c>
    </row>
  </sheetData>
  <mergeCells count="1">
    <mergeCell ref="B237:C237"/>
  </mergeCells>
  <hyperlinks>
    <hyperlink ref="G43" r:id="rId1" xr:uid="{00000000-0004-0000-0B00-000000000000}"/>
    <hyperlink ref="A44" r:id="rId2" xr:uid="{00000000-0004-0000-0B00-000001000000}"/>
    <hyperlink ref="C31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L3" sqref="L3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078</v>
      </c>
      <c r="C2" s="12" t="str">
        <f>SUBSTITUTE(LEFT(data!C98,49),",","")</f>
        <v>Samaritan Hospital</v>
      </c>
      <c r="D2" s="12" t="str">
        <f>LEFT(data!C99,49)</f>
        <v>801 E Wheeler Road</v>
      </c>
      <c r="E2" s="12" t="str">
        <f>RIGHT(data!C100,100)</f>
        <v>Moses Lake</v>
      </c>
      <c r="F2" s="12" t="str">
        <f>RIGHT(data!C101,100)</f>
        <v>WA</v>
      </c>
      <c r="G2" s="12" t="str">
        <f>RIGHT(data!C102,100)</f>
        <v>98837</v>
      </c>
      <c r="H2" s="12" t="str">
        <f>RIGHT(data!C103,100)</f>
        <v>Grant</v>
      </c>
      <c r="I2" s="12" t="str">
        <f>LEFT(data!C104,49)</f>
        <v>Theresa Sullivan</v>
      </c>
      <c r="J2" s="12" t="str">
        <f>LEFT(data!C105,49)</f>
        <v>Alexander Town</v>
      </c>
      <c r="K2" s="12" t="str">
        <f>LEFT(data!C107,49)</f>
        <v>509-793-9601</v>
      </c>
      <c r="L2" s="12" t="str">
        <f>LEFT(data!C108,49)</f>
        <v>509-764-3242</v>
      </c>
      <c r="M2" s="12" t="str">
        <f>LEFT(data!C109,49)</f>
        <v>Billy Brice</v>
      </c>
      <c r="N2" s="12" t="str">
        <f>LEFT(data!C110,49)</f>
        <v>bbrice@samaritanhealthcare.com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topLeftCell="BK1" workbookViewId="0">
      <selection activeCell="BW34" sqref="BW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078</v>
      </c>
      <c r="B2" s="224" t="str">
        <f>RIGHT(data!C96,4)</f>
        <v>2022</v>
      </c>
      <c r="C2" s="16" t="s">
        <v>1123</v>
      </c>
      <c r="D2" s="223">
        <f>ROUND(data!C181,0)</f>
        <v>3926071</v>
      </c>
      <c r="E2" s="223">
        <f>ROUND(data!C182,0)</f>
        <v>112721</v>
      </c>
      <c r="F2" s="223">
        <f>ROUND(data!C183,0)</f>
        <v>549343</v>
      </c>
      <c r="G2" s="223">
        <f>ROUND(data!C184,0)</f>
        <v>10239705</v>
      </c>
      <c r="H2" s="223">
        <f>ROUND(data!C185,0)</f>
        <v>198802</v>
      </c>
      <c r="I2" s="223">
        <f>ROUND(data!C186,0)</f>
        <v>3580996</v>
      </c>
      <c r="J2" s="223">
        <f>ROUND(data!C187+data!C188,0)</f>
        <v>1503091</v>
      </c>
      <c r="K2" s="223">
        <f>ROUND(data!C191,0)</f>
        <v>105492</v>
      </c>
      <c r="L2" s="223">
        <f>ROUND(data!C192,0)</f>
        <v>430659</v>
      </c>
      <c r="M2" s="223">
        <f>ROUND(data!C195,0)</f>
        <v>1105986</v>
      </c>
      <c r="N2" s="223">
        <f>ROUND(data!C196,0)</f>
        <v>287763</v>
      </c>
      <c r="O2" s="223">
        <f>ROUND(data!C199,0)</f>
        <v>0</v>
      </c>
      <c r="P2" s="223">
        <f>ROUND(data!C200,0)</f>
        <v>0</v>
      </c>
      <c r="Q2" s="223">
        <f>ROUND(data!C201,0)</f>
        <v>0</v>
      </c>
      <c r="R2" s="223">
        <f>ROUND(data!C204,0)</f>
        <v>0</v>
      </c>
      <c r="S2" s="223">
        <f>ROUND(data!C205,0)</f>
        <v>314822</v>
      </c>
      <c r="T2" s="223">
        <f>ROUND(data!B211,0)</f>
        <v>10642078</v>
      </c>
      <c r="U2" s="223">
        <f>ROUND(data!C211,0)</f>
        <v>0</v>
      </c>
      <c r="V2" s="223">
        <f>ROUND(data!D211,0)</f>
        <v>0</v>
      </c>
      <c r="W2" s="223">
        <f>ROUND(data!B212,0)</f>
        <v>555844</v>
      </c>
      <c r="X2" s="223">
        <f>ROUND(data!C212,0)</f>
        <v>0</v>
      </c>
      <c r="Y2" s="223">
        <f>ROUND(data!D212,0)</f>
        <v>0</v>
      </c>
      <c r="Z2" s="223">
        <f>ROUND(data!B213,0)</f>
        <v>66316453</v>
      </c>
      <c r="AA2" s="223">
        <f>ROUND(data!C213,0)</f>
        <v>2783546</v>
      </c>
      <c r="AB2" s="223">
        <f>ROUND(data!D213,0)</f>
        <v>0</v>
      </c>
      <c r="AC2" s="223">
        <f>ROUND(data!B214,0)</f>
        <v>3857273</v>
      </c>
      <c r="AD2" s="223">
        <f>ROUND(data!C214,0)</f>
        <v>0</v>
      </c>
      <c r="AE2" s="223">
        <f>ROUND(data!D214,0)</f>
        <v>0</v>
      </c>
      <c r="AF2" s="223">
        <f>ROUND(data!B215,0)</f>
        <v>314675</v>
      </c>
      <c r="AG2" s="223">
        <f>ROUND(data!C215,0)</f>
        <v>0</v>
      </c>
      <c r="AH2" s="223">
        <f>ROUND(data!D215,0)</f>
        <v>0</v>
      </c>
      <c r="AI2" s="223">
        <f>ROUND(data!B216,0)</f>
        <v>47445315</v>
      </c>
      <c r="AJ2" s="223">
        <f>ROUND(data!C216,0)</f>
        <v>1509199</v>
      </c>
      <c r="AK2" s="223">
        <f>ROUND(data!D216,0)</f>
        <v>243417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7398317</v>
      </c>
      <c r="AS2" s="223">
        <f>ROUND(data!C219,0)</f>
        <v>8516318</v>
      </c>
      <c r="AT2" s="223">
        <f>ROUND(data!D219,0)</f>
        <v>2783220</v>
      </c>
      <c r="AU2" s="223">
        <v>0</v>
      </c>
      <c r="AV2" s="223">
        <v>0</v>
      </c>
      <c r="AW2" s="223">
        <v>0</v>
      </c>
      <c r="AX2" s="223">
        <f>ROUND(data!B225,0)</f>
        <v>442873</v>
      </c>
      <c r="AY2" s="223">
        <f>ROUND(data!C225,0)</f>
        <v>43733</v>
      </c>
      <c r="AZ2" s="223">
        <f>ROUND(data!D225,0)</f>
        <v>0</v>
      </c>
      <c r="BA2" s="223">
        <f>ROUND(data!B226,0)</f>
        <v>43265395</v>
      </c>
      <c r="BB2" s="223">
        <f>ROUND(data!C226,0)</f>
        <v>2739931</v>
      </c>
      <c r="BC2" s="223">
        <f>ROUND(data!D226,0)</f>
        <v>0</v>
      </c>
      <c r="BD2" s="223">
        <f>ROUND(data!B227,0)</f>
        <v>2494524</v>
      </c>
      <c r="BE2" s="223">
        <f>ROUND(data!C227,0)</f>
        <v>274904</v>
      </c>
      <c r="BF2" s="223">
        <f>ROUND(data!D227,0)</f>
        <v>0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32266094</v>
      </c>
      <c r="BK2" s="223">
        <f>ROUND(data!C229,0)</f>
        <v>3226992</v>
      </c>
      <c r="BL2" s="223">
        <f>ROUND(data!D229,0)</f>
        <v>240669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98606290</v>
      </c>
      <c r="BW2" s="223">
        <f>ROUND(data!C240,0)</f>
        <v>95748665</v>
      </c>
      <c r="BX2" s="223">
        <f>ROUND(data!C241,0)</f>
        <v>3975199</v>
      </c>
      <c r="BY2" s="223">
        <f>ROUND(data!C242,0)</f>
        <v>11406677</v>
      </c>
      <c r="BZ2" s="223">
        <f>ROUND(data!C243,0)</f>
        <v>0</v>
      </c>
      <c r="CA2" s="223">
        <f>ROUND(data!C244,0)</f>
        <v>44464627</v>
      </c>
      <c r="CB2" s="223">
        <f>ROUND(data!C247,0)</f>
        <v>0</v>
      </c>
      <c r="CC2" s="223">
        <f>ROUND(data!C249,0)</f>
        <v>2994727</v>
      </c>
      <c r="CD2" s="223">
        <f>ROUND(data!C250,0)</f>
        <v>0</v>
      </c>
      <c r="CE2" s="223">
        <f>ROUND(data!C254+data!C255,0)</f>
        <v>-2170305</v>
      </c>
      <c r="CF2" s="223">
        <f>data!D237</f>
        <v>4331658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078</v>
      </c>
      <c r="B2" s="16" t="str">
        <f>RIGHT(data!C96,4)</f>
        <v>2022</v>
      </c>
      <c r="C2" s="16" t="s">
        <v>1123</v>
      </c>
      <c r="D2" s="222">
        <f>ROUND(data!C127,0)</f>
        <v>3002</v>
      </c>
      <c r="E2" s="222">
        <f>ROUND(data!C128,0)</f>
        <v>0</v>
      </c>
      <c r="F2" s="222">
        <f>ROUND(data!C129,0)</f>
        <v>0</v>
      </c>
      <c r="G2" s="222">
        <f>ROUND(data!C130,0)</f>
        <v>985</v>
      </c>
      <c r="H2" s="222">
        <f>ROUND(data!D127,0)</f>
        <v>10969</v>
      </c>
      <c r="I2" s="222">
        <f>ROUND(data!D128,0)</f>
        <v>0</v>
      </c>
      <c r="J2" s="222">
        <f>ROUND(data!D129,0)</f>
        <v>0</v>
      </c>
      <c r="K2" s="222">
        <f>ROUND(data!D130,0)</f>
        <v>1431</v>
      </c>
      <c r="L2" s="222">
        <f>ROUND(data!C132,0)</f>
        <v>0</v>
      </c>
      <c r="M2" s="222">
        <f>ROUND(data!C133,0)</f>
        <v>12</v>
      </c>
      <c r="N2" s="222">
        <f>ROUND(data!C134,0)</f>
        <v>0</v>
      </c>
      <c r="O2" s="222">
        <f>ROUND(data!C135,0)</f>
        <v>0</v>
      </c>
      <c r="P2" s="222">
        <f>ROUND(data!C136,0)</f>
        <v>11</v>
      </c>
      <c r="Q2" s="222">
        <f>ROUND(data!C137,0)</f>
        <v>0</v>
      </c>
      <c r="R2" s="222">
        <f>ROUND(data!C138,0)</f>
        <v>0</v>
      </c>
      <c r="S2" s="222">
        <f>ROUND(data!C139,0)</f>
        <v>23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50</v>
      </c>
      <c r="X2" s="222">
        <f>ROUND(data!C145,0)</f>
        <v>11</v>
      </c>
      <c r="Y2" s="222">
        <f>ROUND(data!B154,0)</f>
        <v>1005</v>
      </c>
      <c r="Z2" s="222">
        <f>ROUND(data!B155,0)</f>
        <v>5080</v>
      </c>
      <c r="AA2" s="222">
        <f>ROUND(data!B156,0)</f>
        <v>0</v>
      </c>
      <c r="AB2" s="222">
        <f>ROUND(data!B157,0)</f>
        <v>60547712</v>
      </c>
      <c r="AC2" s="222">
        <f>ROUND(data!B158,0)</f>
        <v>80703383</v>
      </c>
      <c r="AD2" s="222">
        <f>ROUND(data!C154,0)</f>
        <v>1056</v>
      </c>
      <c r="AE2" s="222">
        <f>ROUND(data!C155,0)</f>
        <v>2397</v>
      </c>
      <c r="AF2" s="222">
        <f>ROUND(data!C156,0)</f>
        <v>0</v>
      </c>
      <c r="AG2" s="222">
        <f>ROUND(data!C157,0)</f>
        <v>40130924</v>
      </c>
      <c r="AH2" s="222">
        <f>ROUND(data!C158,0)</f>
        <v>78082902</v>
      </c>
      <c r="AI2" s="222">
        <f>ROUND(data!D154,0)</f>
        <v>942</v>
      </c>
      <c r="AJ2" s="222">
        <f>ROUND(data!D155,0)</f>
        <v>3268</v>
      </c>
      <c r="AK2" s="222">
        <f>ROUND(data!D156,0)</f>
        <v>0</v>
      </c>
      <c r="AL2" s="222">
        <f>ROUND(data!D157,0)</f>
        <v>35732764</v>
      </c>
      <c r="AM2" s="222">
        <f>ROUND(data!D158,0)</f>
        <v>97578626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078</v>
      </c>
      <c r="B2" s="224" t="str">
        <f>RIGHT(data!C96,4)</f>
        <v>2022</v>
      </c>
      <c r="C2" s="16" t="s">
        <v>1123</v>
      </c>
      <c r="D2" s="222">
        <f>ROUND(data!C266,0)</f>
        <v>3057239</v>
      </c>
      <c r="E2" s="222">
        <f>ROUND(data!C267,0)</f>
        <v>120285</v>
      </c>
      <c r="F2" s="222">
        <f>ROUND(data!C268,0)</f>
        <v>48556920</v>
      </c>
      <c r="G2" s="222">
        <f>ROUND(data!C269,0)</f>
        <v>31166546</v>
      </c>
      <c r="H2" s="222">
        <f>ROUND(data!C270,0)</f>
        <v>0</v>
      </c>
      <c r="I2" s="222">
        <f>ROUND(data!C271,0)</f>
        <v>241891</v>
      </c>
      <c r="J2" s="222">
        <f>ROUND(data!C272,0)</f>
        <v>0</v>
      </c>
      <c r="K2" s="222">
        <f>ROUND(data!C273,0)</f>
        <v>2361476</v>
      </c>
      <c r="L2" s="222">
        <f>ROUND(data!C274,0)</f>
        <v>1048129</v>
      </c>
      <c r="M2" s="222">
        <f>ROUND(data!C275,0)</f>
        <v>0</v>
      </c>
      <c r="N2" s="222">
        <f>ROUND(data!C278,0)</f>
        <v>31643791</v>
      </c>
      <c r="O2" s="222">
        <f>ROUND(data!C279,0)</f>
        <v>0</v>
      </c>
      <c r="P2" s="222">
        <f>ROUND(data!C280,0)</f>
        <v>293000</v>
      </c>
      <c r="Q2" s="222">
        <f>ROUND(data!C283,0)</f>
        <v>10642078</v>
      </c>
      <c r="R2" s="222">
        <f>ROUND(data!C284,0)</f>
        <v>555844</v>
      </c>
      <c r="S2" s="222">
        <f>ROUND(data!C285,0)</f>
        <v>69099999</v>
      </c>
      <c r="T2" s="222">
        <f>ROUND(data!C286,0)</f>
        <v>3857273</v>
      </c>
      <c r="U2" s="222">
        <f>ROUND(data!C287,0)</f>
        <v>314675</v>
      </c>
      <c r="V2" s="222">
        <f>ROUND(data!C288,0)</f>
        <v>48711097</v>
      </c>
      <c r="W2" s="222">
        <f>ROUND(data!C289,0)</f>
        <v>0</v>
      </c>
      <c r="X2" s="222">
        <f>ROUND(data!C290,0)</f>
        <v>13131416</v>
      </c>
      <c r="Y2" s="222">
        <f>ROUND(data!C291,0)</f>
        <v>0</v>
      </c>
      <c r="Z2" s="222">
        <f>ROUND(data!C292,0)</f>
        <v>84513777</v>
      </c>
      <c r="AA2" s="222">
        <f>ROUND(data!C295,0)</f>
        <v>0</v>
      </c>
      <c r="AB2" s="222">
        <f>ROUND(data!C296,0)</f>
        <v>0</v>
      </c>
      <c r="AC2" s="222">
        <f>ROUND(data!C297,0)</f>
        <v>27783</v>
      </c>
      <c r="AD2" s="222">
        <f>ROUND(data!C298,0)</f>
        <v>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7549212</v>
      </c>
      <c r="AK2" s="222">
        <f>ROUND(data!C316,0)</f>
        <v>1407984</v>
      </c>
      <c r="AL2" s="222">
        <f>ROUND(data!C317,0)</f>
        <v>3597034</v>
      </c>
      <c r="AM2" s="222">
        <f>ROUND(data!C318,0)</f>
        <v>0</v>
      </c>
      <c r="AN2" s="222">
        <f>ROUND(data!C319,0)</f>
        <v>344669</v>
      </c>
      <c r="AO2" s="222">
        <f>ROUND(data!C320,0)</f>
        <v>0</v>
      </c>
      <c r="AP2" s="222">
        <f>ROUND(data!C321,0)</f>
        <v>0</v>
      </c>
      <c r="AQ2" s="222">
        <f>ROUND(data!C322,0)</f>
        <v>24889</v>
      </c>
      <c r="AR2" s="222">
        <f>ROUND(data!C323,0)</f>
        <v>2323110</v>
      </c>
      <c r="AS2" s="222">
        <f>ROUND(data!C326,0)</f>
        <v>240697</v>
      </c>
      <c r="AT2" s="222">
        <f>ROUND(data!C327,0)</f>
        <v>0</v>
      </c>
      <c r="AU2" s="222">
        <f>ROUND(data!C328,0)</f>
        <v>3000101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4739090</v>
      </c>
      <c r="AZ2" s="222">
        <f>ROUND(data!C335,0)</f>
        <v>1244279</v>
      </c>
      <c r="BA2" s="222">
        <f>ROUND(data!C336,0)</f>
        <v>0</v>
      </c>
      <c r="BB2" s="222">
        <f>ROUND(data!C337,0)</f>
        <v>0</v>
      </c>
      <c r="BC2" s="222">
        <f>ROUND(data!C338,0)</f>
        <v>1809689</v>
      </c>
      <c r="BD2" s="222">
        <f>ROUND(data!C339,0)</f>
        <v>0</v>
      </c>
      <c r="BE2" s="222">
        <f>ROUND(data!C343,0)</f>
        <v>94024929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613.24</v>
      </c>
      <c r="BL2" s="222">
        <f>ROUND(data!C358,0)</f>
        <v>136385624</v>
      </c>
      <c r="BM2" s="222">
        <f>ROUND(data!C359,0)</f>
        <v>256367319</v>
      </c>
      <c r="BN2" s="222">
        <f>ROUND(data!C363,0)</f>
        <v>254201458</v>
      </c>
      <c r="BO2" s="222">
        <f>ROUND(data!C364,0)</f>
        <v>2994726</v>
      </c>
      <c r="BP2" s="222">
        <f>ROUND(data!C365,0)</f>
        <v>-2170305</v>
      </c>
      <c r="BQ2" s="222">
        <f>ROUND(data!D381,0)</f>
        <v>4497282</v>
      </c>
      <c r="BR2" s="222">
        <f>ROUND(data!C370,0)</f>
        <v>0</v>
      </c>
      <c r="BS2" s="222">
        <f>ROUND(data!C371,0)</f>
        <v>111751</v>
      </c>
      <c r="BT2" s="222">
        <f>ROUND(data!C372,0)</f>
        <v>0</v>
      </c>
      <c r="BU2" s="222">
        <f>ROUND(data!C373,0)</f>
        <v>0</v>
      </c>
      <c r="BV2" s="222">
        <f>ROUND(data!C374,0)</f>
        <v>2692064</v>
      </c>
      <c r="BW2" s="222">
        <f>ROUND(data!C375,0)</f>
        <v>0</v>
      </c>
      <c r="BX2" s="222">
        <f>ROUND(data!C376,0)</f>
        <v>0</v>
      </c>
      <c r="BY2" s="222">
        <f>ROUND(data!C377,0)</f>
        <v>537</v>
      </c>
      <c r="BZ2" s="222">
        <f>ROUND(data!C378,0)</f>
        <v>0</v>
      </c>
      <c r="CA2" s="222">
        <f>ROUND(data!C379,0)</f>
        <v>292516</v>
      </c>
      <c r="CB2" s="222">
        <f>ROUND(data!C380,0)</f>
        <v>1400414</v>
      </c>
      <c r="CC2" s="222">
        <f>ROUND(data!C382,0)</f>
        <v>0</v>
      </c>
      <c r="CD2" s="222">
        <f>ROUND(data!C389,0)</f>
        <v>69685697</v>
      </c>
      <c r="CE2" s="222">
        <f>ROUND(data!C390,0)</f>
        <v>20110729</v>
      </c>
      <c r="CF2" s="222">
        <f>ROUND(data!C391,0)</f>
        <v>10404415</v>
      </c>
      <c r="CG2" s="222">
        <f>ROUND(data!C392,0)</f>
        <v>18794873</v>
      </c>
      <c r="CH2" s="222">
        <f>ROUND(data!C393,0)</f>
        <v>627470</v>
      </c>
      <c r="CI2" s="222">
        <f>ROUND(data!C394,0)</f>
        <v>7576701</v>
      </c>
      <c r="CJ2" s="222">
        <f>ROUND(data!C395,0)</f>
        <v>7475398</v>
      </c>
      <c r="CK2" s="222">
        <f>ROUND(data!C396,0)</f>
        <v>536151</v>
      </c>
      <c r="CL2" s="222">
        <f>ROUND(data!C397,0)</f>
        <v>1393749</v>
      </c>
      <c r="CM2" s="222">
        <f>ROUND(data!C398,0)</f>
        <v>0</v>
      </c>
      <c r="CN2" s="222">
        <f>ROUND(data!C399,0)</f>
        <v>314822</v>
      </c>
      <c r="CO2" s="222">
        <f>ROUND(data!C362,0)</f>
        <v>4331658</v>
      </c>
      <c r="CP2" s="222">
        <f>ROUND(data!D415,0)</f>
        <v>6123506</v>
      </c>
      <c r="CQ2" s="65">
        <f>ROUND(data!C401,0)</f>
        <v>0</v>
      </c>
      <c r="CR2" s="65">
        <f>ROUND(data!C402,0)</f>
        <v>696988</v>
      </c>
      <c r="CS2" s="65">
        <f>ROUND(data!C403,0)</f>
        <v>0</v>
      </c>
      <c r="CT2" s="65">
        <f>ROUND(data!C404,0)</f>
        <v>0</v>
      </c>
      <c r="CU2" s="65">
        <f>ROUND(data!C405,0)</f>
        <v>-30</v>
      </c>
      <c r="CV2" s="65">
        <f>ROUND(data!C406,0)</f>
        <v>0</v>
      </c>
      <c r="CW2" s="65">
        <f>ROUND(data!C407,0)</f>
        <v>0</v>
      </c>
      <c r="CX2" s="65">
        <f>ROUND(data!C408,0)</f>
        <v>2893470</v>
      </c>
      <c r="CY2" s="65">
        <f>ROUND(data!C409,0)</f>
        <v>281371</v>
      </c>
      <c r="CZ2" s="65">
        <f>ROUND(data!C410,0)</f>
        <v>795297</v>
      </c>
      <c r="DA2" s="65">
        <f>ROUND(data!C411,0)</f>
        <v>269711</v>
      </c>
      <c r="DB2" s="65">
        <f>ROUND(data!C412,0)</f>
        <v>1045555</v>
      </c>
      <c r="DC2" s="65">
        <f>ROUND(data!C413,0)</f>
        <v>0</v>
      </c>
      <c r="DD2" s="65">
        <f>ROUND(data!C414,0)</f>
        <v>141144</v>
      </c>
      <c r="DE2" s="65">
        <f>ROUND(data!C419,0)</f>
        <v>4500683</v>
      </c>
      <c r="DF2" s="222">
        <f>ROUND(data!D420,0)</f>
        <v>6245931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078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3091</v>
      </c>
      <c r="F2" s="212">
        <f>ROUND(data!C60,2)</f>
        <v>28.79</v>
      </c>
      <c r="G2" s="222">
        <f>ROUND(data!C61,0)</f>
        <v>3444321</v>
      </c>
      <c r="H2" s="222">
        <f>ROUND(data!C62,0)</f>
        <v>994003</v>
      </c>
      <c r="I2" s="222">
        <f>ROUND(data!C63,0)</f>
        <v>2890888</v>
      </c>
      <c r="J2" s="222">
        <f>ROUND(data!C64,0)</f>
        <v>297342</v>
      </c>
      <c r="K2" s="222">
        <f>ROUND(data!C65,0)</f>
        <v>0</v>
      </c>
      <c r="L2" s="222">
        <f>ROUND(data!C66,0)</f>
        <v>4315</v>
      </c>
      <c r="M2" s="66">
        <f>ROUND(data!C67,0)</f>
        <v>0</v>
      </c>
      <c r="N2" s="222">
        <f>ROUND(data!C68,0)</f>
        <v>9657</v>
      </c>
      <c r="O2" s="222">
        <f>ROUND(data!C69,0)</f>
        <v>329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229</v>
      </c>
      <c r="Y2" s="222">
        <f>ROUND(data!C79,0)</f>
        <v>0</v>
      </c>
      <c r="Z2" s="222">
        <f>ROUND(data!C80,0)</f>
        <v>100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20259913</v>
      </c>
      <c r="AF2" s="222">
        <f>ROUND(data!C87,0)</f>
        <v>18273137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15.39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078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078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6001</v>
      </c>
      <c r="F4" s="212">
        <f>ROUND(data!E60,2)</f>
        <v>36.950000000000003</v>
      </c>
      <c r="G4" s="222">
        <f>ROUND(data!E61,0)</f>
        <v>6060533</v>
      </c>
      <c r="H4" s="222">
        <f>ROUND(data!E62,0)</f>
        <v>1749021</v>
      </c>
      <c r="I4" s="222">
        <f>ROUND(data!E63,0)</f>
        <v>0</v>
      </c>
      <c r="J4" s="222">
        <f>ROUND(data!E64,0)</f>
        <v>419567</v>
      </c>
      <c r="K4" s="222">
        <f>ROUND(data!E65,0)</f>
        <v>0</v>
      </c>
      <c r="L4" s="222">
        <f>ROUND(data!E66,0)</f>
        <v>9505</v>
      </c>
      <c r="M4" s="66">
        <f>ROUND(data!E67,0)</f>
        <v>650490</v>
      </c>
      <c r="N4" s="222">
        <f>ROUND(data!E68,0)</f>
        <v>29316</v>
      </c>
      <c r="O4" s="222">
        <f>ROUND(data!E69,0)</f>
        <v>2247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2020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227</v>
      </c>
      <c r="AD4" s="222">
        <f>ROUND(data!E84,0)</f>
        <v>0</v>
      </c>
      <c r="AE4" s="222">
        <f>ROUND(data!E89,0)</f>
        <v>26330317</v>
      </c>
      <c r="AF4" s="222">
        <f>ROUND(data!E87,0)</f>
        <v>22107719</v>
      </c>
      <c r="AG4" s="222">
        <f>IF(data!E90&gt;0,ROUND(data!E90,0),0)</f>
        <v>20630</v>
      </c>
      <c r="AH4" s="222">
        <f>IF(data!E91&gt;0,ROUND(data!E91,0),0)</f>
        <v>24341</v>
      </c>
      <c r="AI4" s="222">
        <f>IF(data!E92&gt;0,ROUND(data!E92,0),0)</f>
        <v>24535</v>
      </c>
      <c r="AJ4" s="222">
        <f>IF(data!E93&gt;0,ROUND(data!E93,0),0)</f>
        <v>119889</v>
      </c>
      <c r="AK4" s="212">
        <f>IF(data!E94&gt;0,ROUND(data!E94,2),0)</f>
        <v>17.899999999999999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078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1653</v>
      </c>
      <c r="F5" s="212">
        <f>ROUND(data!F60,2)</f>
        <v>30.82</v>
      </c>
      <c r="G5" s="222">
        <f>ROUND(data!F61,0)</f>
        <v>4040120</v>
      </c>
      <c r="H5" s="222">
        <f>ROUND(data!F62,0)</f>
        <v>1165946</v>
      </c>
      <c r="I5" s="222">
        <f>ROUND(data!F63,0)</f>
        <v>0</v>
      </c>
      <c r="J5" s="222">
        <f>ROUND(data!F64,0)</f>
        <v>275655</v>
      </c>
      <c r="K5" s="222">
        <f>ROUND(data!F65,0)</f>
        <v>0</v>
      </c>
      <c r="L5" s="222">
        <f>ROUND(data!F66,0)</f>
        <v>59070</v>
      </c>
      <c r="M5" s="66">
        <f>ROUND(data!F67,0)</f>
        <v>412137</v>
      </c>
      <c r="N5" s="222">
        <f>ROUND(data!F68,0)</f>
        <v>0</v>
      </c>
      <c r="O5" s="222">
        <f>ROUND(data!F69,0)</f>
        <v>6271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766</v>
      </c>
      <c r="Y5" s="222">
        <f>ROUND(data!F79,0)</f>
        <v>0</v>
      </c>
      <c r="Z5" s="222">
        <f>ROUND(data!F80,0)</f>
        <v>5354</v>
      </c>
      <c r="AA5" s="222">
        <f>ROUND(data!F81,0)</f>
        <v>0</v>
      </c>
      <c r="AB5" s="222">
        <f>ROUND(data!F82,0)</f>
        <v>0</v>
      </c>
      <c r="AC5" s="222">
        <f>ROUND(data!F83,0)</f>
        <v>151</v>
      </c>
      <c r="AD5" s="222">
        <f>ROUND(data!F84,0)</f>
        <v>0</v>
      </c>
      <c r="AE5" s="222">
        <f>ROUND(data!F89,0)</f>
        <v>8164431</v>
      </c>
      <c r="AF5" s="222">
        <f>ROUND(data!F87,0)</f>
        <v>8124455</v>
      </c>
      <c r="AG5" s="222">
        <f>IF(data!F90&gt;0,ROUND(data!F90,0),0)</f>
        <v>13071</v>
      </c>
      <c r="AH5" s="222">
        <f>IF(data!F91&gt;0,ROUND(data!F91,0),0)</f>
        <v>4680</v>
      </c>
      <c r="AI5" s="222">
        <f>IF(data!F92&gt;0,ROUND(data!F92,0),0)</f>
        <v>15545</v>
      </c>
      <c r="AJ5" s="222">
        <f>IF(data!F93&gt;0,ROUND(data!F93,0),0)</f>
        <v>88434</v>
      </c>
      <c r="AK5" s="212">
        <f>IF(data!F94&gt;0,ROUND(data!F94,2),0)</f>
        <v>21.76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078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078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078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078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1431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233977</v>
      </c>
      <c r="J9" s="222">
        <f>ROUND(data!J64,0)</f>
        <v>56440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572657</v>
      </c>
      <c r="AF9" s="222">
        <f>ROUND(data!J87,0)</f>
        <v>563347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078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078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078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078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1.9</v>
      </c>
      <c r="G13" s="222">
        <f>ROUND(data!N61,0)</f>
        <v>112341</v>
      </c>
      <c r="H13" s="222">
        <f>ROUND(data!N62,0)</f>
        <v>32421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4034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078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985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208729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17634122</v>
      </c>
      <c r="AF14" s="222">
        <f>ROUND(data!O87,0)</f>
        <v>16965464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078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318948</v>
      </c>
      <c r="F15" s="212">
        <f>ROUND(data!P60,2)</f>
        <v>18.14</v>
      </c>
      <c r="G15" s="222">
        <f>ROUND(data!P61,0)</f>
        <v>2537305</v>
      </c>
      <c r="H15" s="222">
        <f>ROUND(data!P62,0)</f>
        <v>732246</v>
      </c>
      <c r="I15" s="222">
        <f>ROUND(data!P63,0)</f>
        <v>0</v>
      </c>
      <c r="J15" s="222">
        <f>ROUND(data!P64,0)</f>
        <v>3084296</v>
      </c>
      <c r="K15" s="222">
        <f>ROUND(data!P65,0)</f>
        <v>0</v>
      </c>
      <c r="L15" s="222">
        <f>ROUND(data!P66,0)</f>
        <v>53164</v>
      </c>
      <c r="M15" s="66">
        <f>ROUND(data!P67,0)</f>
        <v>319266</v>
      </c>
      <c r="N15" s="222">
        <f>ROUND(data!P68,0)</f>
        <v>140035</v>
      </c>
      <c r="O15" s="222">
        <f>ROUND(data!P69,0)</f>
        <v>15969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1685</v>
      </c>
      <c r="Y15" s="222">
        <f>ROUND(data!P79,0)</f>
        <v>0</v>
      </c>
      <c r="Z15" s="222">
        <f>ROUND(data!P80,0)</f>
        <v>12506</v>
      </c>
      <c r="AA15" s="222">
        <f>ROUND(data!P81,0)</f>
        <v>0</v>
      </c>
      <c r="AB15" s="222">
        <f>ROUND(data!P82,0)</f>
        <v>0</v>
      </c>
      <c r="AC15" s="222">
        <f>ROUND(data!P83,0)</f>
        <v>1778</v>
      </c>
      <c r="AD15" s="222">
        <f>ROUND(data!P84,0)</f>
        <v>0</v>
      </c>
      <c r="AE15" s="222">
        <f>ROUND(data!P89,0)</f>
        <v>49926930</v>
      </c>
      <c r="AF15" s="222">
        <f>ROUND(data!P87,0)</f>
        <v>7334413</v>
      </c>
      <c r="AG15" s="222">
        <f>IF(data!P90&gt;0,ROUND(data!P90,0),0)</f>
        <v>10125</v>
      </c>
      <c r="AH15" s="222">
        <f>IF(data!P91&gt;0,ROUND(data!P91,0),0)</f>
        <v>0</v>
      </c>
      <c r="AI15" s="222">
        <f>IF(data!P92&gt;0,ROUND(data!P92,0),0)</f>
        <v>12042</v>
      </c>
      <c r="AJ15" s="222">
        <f>IF(data!P93&gt;0,ROUND(data!P93,0),0)</f>
        <v>34090</v>
      </c>
      <c r="AK15" s="212">
        <f>IF(data!P94&gt;0,ROUND(data!P94,2),0)</f>
        <v>6.71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078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116382</v>
      </c>
      <c r="F16" s="212">
        <f>ROUND(data!Q60,2)</f>
        <v>4.22</v>
      </c>
      <c r="G16" s="222">
        <f>ROUND(data!Q61,0)</f>
        <v>536870</v>
      </c>
      <c r="H16" s="222">
        <f>ROUND(data!Q62,0)</f>
        <v>154936</v>
      </c>
      <c r="I16" s="222">
        <f>ROUND(data!Q63,0)</f>
        <v>0</v>
      </c>
      <c r="J16" s="222">
        <f>ROUND(data!Q64,0)</f>
        <v>51943</v>
      </c>
      <c r="K16" s="222">
        <f>ROUND(data!Q65,0)</f>
        <v>0</v>
      </c>
      <c r="L16" s="222">
        <f>ROUND(data!Q66,0)</f>
        <v>1177</v>
      </c>
      <c r="M16" s="66">
        <f>ROUND(data!Q67,0)</f>
        <v>45363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6567101</v>
      </c>
      <c r="AF16" s="222">
        <f>ROUND(data!Q87,0)</f>
        <v>1157124</v>
      </c>
      <c r="AG16" s="222">
        <f>IF(data!Q90&gt;0,ROUND(data!Q90,0),0)</f>
        <v>1439</v>
      </c>
      <c r="AH16" s="222">
        <f>IF(data!Q91&gt;0,ROUND(data!Q91,0),0)</f>
        <v>0</v>
      </c>
      <c r="AI16" s="222">
        <f>IF(data!Q92&gt;0,ROUND(data!Q92,0),0)</f>
        <v>1711</v>
      </c>
      <c r="AJ16" s="222">
        <f>IF(data!Q93&gt;0,ROUND(data!Q93,0),0)</f>
        <v>7831</v>
      </c>
      <c r="AK16" s="212">
        <f>IF(data!Q94&gt;0,ROUND(data!Q94,2),0)</f>
        <v>4.22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078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365575</v>
      </c>
      <c r="F17" s="212">
        <f>ROUND(data!R60,2)</f>
        <v>12.97</v>
      </c>
      <c r="G17" s="222">
        <f>ROUND(data!R61,0)</f>
        <v>3627011</v>
      </c>
      <c r="H17" s="222">
        <f>ROUND(data!R62,0)</f>
        <v>1046726</v>
      </c>
      <c r="I17" s="222">
        <f>ROUND(data!R63,0)</f>
        <v>857860</v>
      </c>
      <c r="J17" s="222">
        <f>ROUND(data!R64,0)</f>
        <v>308631</v>
      </c>
      <c r="K17" s="222">
        <f>ROUND(data!R65,0)</f>
        <v>0</v>
      </c>
      <c r="L17" s="222">
        <f>ROUND(data!R66,0)</f>
        <v>15562</v>
      </c>
      <c r="M17" s="66">
        <f>ROUND(data!R67,0)</f>
        <v>6044</v>
      </c>
      <c r="N17" s="222">
        <f>ROUND(data!R68,0)</f>
        <v>0</v>
      </c>
      <c r="O17" s="222">
        <f>ROUND(data!R69,0)</f>
        <v>24301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7566</v>
      </c>
      <c r="Y17" s="222">
        <f>ROUND(data!R79,0)</f>
        <v>0</v>
      </c>
      <c r="Z17" s="222">
        <f>ROUND(data!R80,0)</f>
        <v>16735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23800385</v>
      </c>
      <c r="AF17" s="222">
        <f>ROUND(data!R87,0)</f>
        <v>7523883</v>
      </c>
      <c r="AG17" s="222">
        <f>IF(data!R90&gt;0,ROUND(data!R90,0),0)</f>
        <v>192</v>
      </c>
      <c r="AH17" s="222">
        <f>IF(data!R91&gt;0,ROUND(data!R91,0),0)</f>
        <v>0</v>
      </c>
      <c r="AI17" s="222">
        <f>IF(data!R92&gt;0,ROUND(data!R92,0),0)</f>
        <v>229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078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5.87</v>
      </c>
      <c r="G18" s="222">
        <f>ROUND(data!S61,0)</f>
        <v>326124</v>
      </c>
      <c r="H18" s="222">
        <f>ROUND(data!S62,0)</f>
        <v>94117</v>
      </c>
      <c r="I18" s="222">
        <f>ROUND(data!S63,0)</f>
        <v>0</v>
      </c>
      <c r="J18" s="222">
        <f>ROUND(data!S64,0)</f>
        <v>3502039</v>
      </c>
      <c r="K18" s="222">
        <f>ROUND(data!S65,0)</f>
        <v>0</v>
      </c>
      <c r="L18" s="222">
        <f>ROUND(data!S66,0)</f>
        <v>98731</v>
      </c>
      <c r="M18" s="66">
        <f>ROUND(data!S67,0)</f>
        <v>44161</v>
      </c>
      <c r="N18" s="222">
        <f>ROUND(data!S68,0)</f>
        <v>-108927</v>
      </c>
      <c r="O18" s="222">
        <f>ROUND(data!S69,0)</f>
        <v>14861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14861</v>
      </c>
      <c r="AD18" s="222">
        <f>ROUND(data!S84,0)</f>
        <v>0</v>
      </c>
      <c r="AE18" s="222">
        <f>ROUND(data!S89,0)</f>
        <v>9428122</v>
      </c>
      <c r="AF18" s="222">
        <f>ROUND(data!S87,0)</f>
        <v>1819359</v>
      </c>
      <c r="AG18" s="222">
        <f>IF(data!S90&gt;0,ROUND(data!S90,0),0)</f>
        <v>1401</v>
      </c>
      <c r="AH18" s="222">
        <f>IF(data!S91&gt;0,ROUND(data!S91,0),0)</f>
        <v>0</v>
      </c>
      <c r="AI18" s="222">
        <f>IF(data!S92&gt;0,ROUND(data!S92,0),0)</f>
        <v>1665</v>
      </c>
      <c r="AJ18" s="222">
        <f>IF(data!S93&gt;0,ROUND(data!S93,0),0)</f>
        <v>1484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078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816</v>
      </c>
      <c r="H19" s="222">
        <f>ROUND(data!T62,0)</f>
        <v>235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462628</v>
      </c>
      <c r="AF19" s="222">
        <f>ROUND(data!T87,0)</f>
        <v>2440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078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287034</v>
      </c>
      <c r="F20" s="212">
        <f>ROUND(data!U60,2)</f>
        <v>23.23</v>
      </c>
      <c r="G20" s="222">
        <f>ROUND(data!U61,0)</f>
        <v>2822452</v>
      </c>
      <c r="H20" s="222">
        <f>ROUND(data!U62,0)</f>
        <v>814537</v>
      </c>
      <c r="I20" s="222">
        <f>ROUND(data!U63,0)</f>
        <v>10926</v>
      </c>
      <c r="J20" s="222">
        <f>ROUND(data!U64,0)</f>
        <v>2025187</v>
      </c>
      <c r="K20" s="222">
        <f>ROUND(data!U65,0)</f>
        <v>0</v>
      </c>
      <c r="L20" s="222">
        <f>ROUND(data!U66,0)</f>
        <v>1473123</v>
      </c>
      <c r="M20" s="66">
        <f>ROUND(data!U67,0)</f>
        <v>105642</v>
      </c>
      <c r="N20" s="222">
        <f>ROUND(data!U68,0)</f>
        <v>100480</v>
      </c>
      <c r="O20" s="222">
        <f>ROUND(data!U69,0)</f>
        <v>3464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2757</v>
      </c>
      <c r="Y20" s="222">
        <f>ROUND(data!U79,0)</f>
        <v>0</v>
      </c>
      <c r="Z20" s="222">
        <f>ROUND(data!U80,0)</f>
        <v>617</v>
      </c>
      <c r="AA20" s="222">
        <f>ROUND(data!U81,0)</f>
        <v>0</v>
      </c>
      <c r="AB20" s="222">
        <f>ROUND(data!U82,0)</f>
        <v>0</v>
      </c>
      <c r="AC20" s="222">
        <f>ROUND(data!U83,0)</f>
        <v>90</v>
      </c>
      <c r="AD20" s="222">
        <f>ROUND(data!U84,0)</f>
        <v>0</v>
      </c>
      <c r="AE20" s="222">
        <f>ROUND(data!U89,0)</f>
        <v>31426399</v>
      </c>
      <c r="AF20" s="222">
        <f>ROUND(data!U87,0)</f>
        <v>10725773</v>
      </c>
      <c r="AG20" s="222">
        <f>IF(data!U90&gt;0,ROUND(data!U90,0),0)</f>
        <v>3350</v>
      </c>
      <c r="AH20" s="222">
        <f>IF(data!U91&gt;0,ROUND(data!U91,0),0)</f>
        <v>0</v>
      </c>
      <c r="AI20" s="222">
        <f>IF(data!U92&gt;0,ROUND(data!U92,0),0)</f>
        <v>3984</v>
      </c>
      <c r="AJ20" s="222">
        <f>IF(data!U93&gt;0,ROUND(data!U93,0),0)</f>
        <v>564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078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1330</v>
      </c>
      <c r="F21" s="212">
        <f>ROUND(data!V60,2)</f>
        <v>0.22</v>
      </c>
      <c r="G21" s="222">
        <f>ROUND(data!V61,0)</f>
        <v>13639</v>
      </c>
      <c r="H21" s="222">
        <f>ROUND(data!V62,0)</f>
        <v>3936</v>
      </c>
      <c r="I21" s="222">
        <f>ROUND(data!V63,0)</f>
        <v>0</v>
      </c>
      <c r="J21" s="222">
        <f>ROUND(data!V64,0)</f>
        <v>7466</v>
      </c>
      <c r="K21" s="222">
        <f>ROUND(data!V65,0)</f>
        <v>0</v>
      </c>
      <c r="L21" s="222">
        <f>ROUND(data!V66,0)</f>
        <v>36942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265272</v>
      </c>
      <c r="AF21" s="222">
        <f>ROUND(data!V87,0)</f>
        <v>32529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078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2405</v>
      </c>
      <c r="F22" s="212">
        <f>ROUND(data!W60,2)</f>
        <v>2.16</v>
      </c>
      <c r="G22" s="222">
        <f>ROUND(data!W61,0)</f>
        <v>253102</v>
      </c>
      <c r="H22" s="222">
        <f>ROUND(data!W62,0)</f>
        <v>73043</v>
      </c>
      <c r="I22" s="222">
        <f>ROUND(data!W63,0)</f>
        <v>0</v>
      </c>
      <c r="J22" s="222">
        <f>ROUND(data!W64,0)</f>
        <v>27223</v>
      </c>
      <c r="K22" s="222">
        <f>ROUND(data!W65,0)</f>
        <v>0</v>
      </c>
      <c r="L22" s="222">
        <f>ROUND(data!W66,0)</f>
        <v>28943</v>
      </c>
      <c r="M22" s="66">
        <f>ROUND(data!W67,0)</f>
        <v>0</v>
      </c>
      <c r="N22" s="222">
        <f>ROUND(data!W68,0)</f>
        <v>0</v>
      </c>
      <c r="O22" s="222">
        <f>ROUND(data!W69,0)</f>
        <v>145341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145341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5542486</v>
      </c>
      <c r="AF22" s="222">
        <f>ROUND(data!W87,0)</f>
        <v>760451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078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10550</v>
      </c>
      <c r="F23" s="212">
        <f>ROUND(data!X60,2)</f>
        <v>4.2300000000000004</v>
      </c>
      <c r="G23" s="222">
        <f>ROUND(data!X61,0)</f>
        <v>448929</v>
      </c>
      <c r="H23" s="222">
        <f>ROUND(data!X62,0)</f>
        <v>129557</v>
      </c>
      <c r="I23" s="222">
        <f>ROUND(data!X63,0)</f>
        <v>0</v>
      </c>
      <c r="J23" s="222">
        <f>ROUND(data!X64,0)</f>
        <v>198891</v>
      </c>
      <c r="K23" s="222">
        <f>ROUND(data!X65,0)</f>
        <v>0</v>
      </c>
      <c r="L23" s="222">
        <f>ROUND(data!X66,0)</f>
        <v>96007</v>
      </c>
      <c r="M23" s="66">
        <f>ROUND(data!X67,0)</f>
        <v>0</v>
      </c>
      <c r="N23" s="222">
        <f>ROUND(data!X68,0)</f>
        <v>0</v>
      </c>
      <c r="O23" s="222">
        <f>ROUND(data!X69,0)</f>
        <v>1250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1250</v>
      </c>
      <c r="AD23" s="222">
        <f>ROUND(data!X84,0)</f>
        <v>0</v>
      </c>
      <c r="AE23" s="222">
        <f>ROUND(data!X89,0)</f>
        <v>30299849</v>
      </c>
      <c r="AF23" s="222">
        <f>ROUND(data!X87,0)</f>
        <v>6583112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12777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078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36898</v>
      </c>
      <c r="F24" s="212">
        <f>ROUND(data!Y60,2)</f>
        <v>24.5</v>
      </c>
      <c r="G24" s="222">
        <f>ROUND(data!Y61,0)</f>
        <v>2674070</v>
      </c>
      <c r="H24" s="222">
        <f>ROUND(data!Y62,0)</f>
        <v>771715</v>
      </c>
      <c r="I24" s="222">
        <f>ROUND(data!Y63,0)</f>
        <v>46080</v>
      </c>
      <c r="J24" s="222">
        <f>ROUND(data!Y64,0)</f>
        <v>162320</v>
      </c>
      <c r="K24" s="222">
        <f>ROUND(data!Y65,0)</f>
        <v>0</v>
      </c>
      <c r="L24" s="222">
        <f>ROUND(data!Y66,0)</f>
        <v>689606</v>
      </c>
      <c r="M24" s="66">
        <f>ROUND(data!Y67,0)</f>
        <v>216126</v>
      </c>
      <c r="N24" s="222">
        <f>ROUND(data!Y68,0)</f>
        <v>0</v>
      </c>
      <c r="O24" s="222">
        <f>ROUND(data!Y69,0)</f>
        <v>9946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2615</v>
      </c>
      <c r="Y24" s="222">
        <f>ROUND(data!Y79,0)</f>
        <v>0</v>
      </c>
      <c r="Z24" s="222">
        <f>ROUND(data!Y80,0)</f>
        <v>3272</v>
      </c>
      <c r="AA24" s="222">
        <f>ROUND(data!Y81,0)</f>
        <v>0</v>
      </c>
      <c r="AB24" s="222">
        <f>ROUND(data!Y82,0)</f>
        <v>0</v>
      </c>
      <c r="AC24" s="222">
        <f>ROUND(data!Y83,0)</f>
        <v>4059</v>
      </c>
      <c r="AD24" s="222">
        <f>ROUND(data!Y84,0)</f>
        <v>0</v>
      </c>
      <c r="AE24" s="222">
        <f>ROUND(data!Y89,0)</f>
        <v>23772477</v>
      </c>
      <c r="AF24" s="222">
        <f>ROUND(data!Y87,0)</f>
        <v>3003944</v>
      </c>
      <c r="AG24" s="222">
        <f>IF(data!Y90&gt;0,ROUND(data!Y90,0),0)</f>
        <v>6854</v>
      </c>
      <c r="AH24" s="222">
        <f>IF(data!Y91&gt;0,ROUND(data!Y91,0),0)</f>
        <v>0</v>
      </c>
      <c r="AI24" s="222">
        <f>IF(data!Y92&gt;0,ROUND(data!Y92,0),0)</f>
        <v>8151</v>
      </c>
      <c r="AJ24" s="222">
        <f>IF(data!Y93&gt;0,ROUND(data!Y93,0),0)</f>
        <v>24715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078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078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386</v>
      </c>
      <c r="F26" s="212">
        <f>ROUND(data!AA60,2)</f>
        <v>1.22</v>
      </c>
      <c r="G26" s="222">
        <f>ROUND(data!AA61,0)</f>
        <v>160463</v>
      </c>
      <c r="H26" s="222">
        <f>ROUND(data!AA62,0)</f>
        <v>46308</v>
      </c>
      <c r="I26" s="222">
        <f>ROUND(data!AA63,0)</f>
        <v>0</v>
      </c>
      <c r="J26" s="222">
        <f>ROUND(data!AA64,0)</f>
        <v>186905</v>
      </c>
      <c r="K26" s="222">
        <f>ROUND(data!AA65,0)</f>
        <v>0</v>
      </c>
      <c r="L26" s="222">
        <f>ROUND(data!AA66,0)</f>
        <v>84930</v>
      </c>
      <c r="M26" s="66">
        <f>ROUND(data!AA67,0)</f>
        <v>0</v>
      </c>
      <c r="N26" s="222">
        <f>ROUND(data!AA68,0)</f>
        <v>0</v>
      </c>
      <c r="O26" s="222">
        <f>ROUND(data!AA69,0)</f>
        <v>9260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7860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1400</v>
      </c>
      <c r="AD26" s="222">
        <f>ROUND(data!AA84,0)</f>
        <v>0</v>
      </c>
      <c r="AE26" s="222">
        <f>ROUND(data!AA89,0)</f>
        <v>899316</v>
      </c>
      <c r="AF26" s="222">
        <f>ROUND(data!AA87,0)</f>
        <v>80630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820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078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11.8</v>
      </c>
      <c r="G27" s="222">
        <f>ROUND(data!AB61,0)</f>
        <v>1413386</v>
      </c>
      <c r="H27" s="222">
        <f>ROUND(data!AB62,0)</f>
        <v>407892</v>
      </c>
      <c r="I27" s="222">
        <f>ROUND(data!AB63,0)</f>
        <v>7500</v>
      </c>
      <c r="J27" s="222">
        <f>ROUND(data!AB64,0)</f>
        <v>4443064</v>
      </c>
      <c r="K27" s="222">
        <f>ROUND(data!AB65,0)</f>
        <v>0</v>
      </c>
      <c r="L27" s="222">
        <f>ROUND(data!AB66,0)</f>
        <v>410909</v>
      </c>
      <c r="M27" s="66">
        <f>ROUND(data!AB67,0)</f>
        <v>53650</v>
      </c>
      <c r="N27" s="222">
        <f>ROUND(data!AB68,0)</f>
        <v>200941</v>
      </c>
      <c r="O27" s="222">
        <f>ROUND(data!AB69,0)</f>
        <v>14457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3400</v>
      </c>
      <c r="Y27" s="222">
        <f>ROUND(data!AB79,0)</f>
        <v>0</v>
      </c>
      <c r="Z27" s="222">
        <f>ROUND(data!AB80,0)</f>
        <v>7675</v>
      </c>
      <c r="AA27" s="222">
        <f>ROUND(data!AB81,0)</f>
        <v>0</v>
      </c>
      <c r="AB27" s="222">
        <f>ROUND(data!AB82,0)</f>
        <v>0</v>
      </c>
      <c r="AC27" s="222">
        <f>ROUND(data!AB83,0)</f>
        <v>3382</v>
      </c>
      <c r="AD27" s="222">
        <f>ROUND(data!AB84,0)</f>
        <v>0</v>
      </c>
      <c r="AE27" s="222">
        <f>ROUND(data!AB89,0)</f>
        <v>31572326</v>
      </c>
      <c r="AF27" s="222">
        <f>ROUND(data!AB87,0)</f>
        <v>13875183</v>
      </c>
      <c r="AG27" s="222">
        <f>IF(data!AB90&gt;0,ROUND(data!AB90,0),0)</f>
        <v>1701</v>
      </c>
      <c r="AH27" s="222">
        <f>IF(data!AB91&gt;0,ROUND(data!AB91,0),0)</f>
        <v>0</v>
      </c>
      <c r="AI27" s="222">
        <f>IF(data!AB92&gt;0,ROUND(data!AB92,0),0)</f>
        <v>2024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078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14825</v>
      </c>
      <c r="F28" s="212">
        <f>ROUND(data!AC60,2)</f>
        <v>5.5</v>
      </c>
      <c r="G28" s="222">
        <f>ROUND(data!AC61,0)</f>
        <v>1521832</v>
      </c>
      <c r="H28" s="222">
        <f>ROUND(data!AC62,0)</f>
        <v>439188</v>
      </c>
      <c r="I28" s="222">
        <f>ROUND(data!AC63,0)</f>
        <v>0</v>
      </c>
      <c r="J28" s="222">
        <f>ROUND(data!AC64,0)</f>
        <v>87011</v>
      </c>
      <c r="K28" s="222">
        <f>ROUND(data!AC65,0)</f>
        <v>0</v>
      </c>
      <c r="L28" s="222">
        <f>ROUND(data!AC66,0)</f>
        <v>13657</v>
      </c>
      <c r="M28" s="66">
        <f>ROUND(data!AC67,0)</f>
        <v>26939</v>
      </c>
      <c r="N28" s="222">
        <f>ROUND(data!AC68,0)</f>
        <v>0</v>
      </c>
      <c r="O28" s="222">
        <f>ROUND(data!AC69,0)</f>
        <v>2110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235</v>
      </c>
      <c r="Y28" s="222">
        <f>ROUND(data!AC79,0)</f>
        <v>0</v>
      </c>
      <c r="Z28" s="222">
        <f>ROUND(data!AC80,0)</f>
        <v>1805</v>
      </c>
      <c r="AA28" s="222">
        <f>ROUND(data!AC81,0)</f>
        <v>0</v>
      </c>
      <c r="AB28" s="222">
        <f>ROUND(data!AC82,0)</f>
        <v>0</v>
      </c>
      <c r="AC28" s="222">
        <f>ROUND(data!AC83,0)</f>
        <v>70</v>
      </c>
      <c r="AD28" s="222">
        <f>ROUND(data!AC84,0)</f>
        <v>0</v>
      </c>
      <c r="AE28" s="222">
        <f>ROUND(data!AC89,0)</f>
        <v>7473899</v>
      </c>
      <c r="AF28" s="222">
        <f>ROUND(data!AC87,0)</f>
        <v>6326690</v>
      </c>
      <c r="AG28" s="222">
        <f>IF(data!AC90&gt;0,ROUND(data!AC90,0),0)</f>
        <v>854</v>
      </c>
      <c r="AH28" s="222">
        <f>IF(data!AC91&gt;0,ROUND(data!AC91,0),0)</f>
        <v>0</v>
      </c>
      <c r="AI28" s="222">
        <f>IF(data!AC92&gt;0,ROUND(data!AC92,0),0)</f>
        <v>1016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078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078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14825</v>
      </c>
      <c r="F30" s="212">
        <f>ROUND(data!AE60,2)</f>
        <v>5.66</v>
      </c>
      <c r="G30" s="222">
        <f>ROUND(data!AE61,0)</f>
        <v>684674</v>
      </c>
      <c r="H30" s="222">
        <f>ROUND(data!AE62,0)</f>
        <v>197591</v>
      </c>
      <c r="I30" s="222">
        <f>ROUND(data!AE63,0)</f>
        <v>0</v>
      </c>
      <c r="J30" s="222">
        <f>ROUND(data!AE64,0)</f>
        <v>25846</v>
      </c>
      <c r="K30" s="222">
        <f>ROUND(data!AE65,0)</f>
        <v>0</v>
      </c>
      <c r="L30" s="222">
        <f>ROUND(data!AE66,0)</f>
        <v>48928</v>
      </c>
      <c r="M30" s="66">
        <f>ROUND(data!AE67,0)</f>
        <v>66258</v>
      </c>
      <c r="N30" s="222">
        <f>ROUND(data!AE68,0)</f>
        <v>0</v>
      </c>
      <c r="O30" s="222">
        <f>ROUND(data!AE69,0)</f>
        <v>10558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1482</v>
      </c>
      <c r="Y30" s="222">
        <f>ROUND(data!AE79,0)</f>
        <v>0</v>
      </c>
      <c r="Z30" s="222">
        <f>ROUND(data!AE80,0)</f>
        <v>8716</v>
      </c>
      <c r="AA30" s="222">
        <f>ROUND(data!AE81,0)</f>
        <v>0</v>
      </c>
      <c r="AB30" s="222">
        <f>ROUND(data!AE82,0)</f>
        <v>0</v>
      </c>
      <c r="AC30" s="222">
        <f>ROUND(data!AE83,0)</f>
        <v>360</v>
      </c>
      <c r="AD30" s="222">
        <f>ROUND(data!AE84,0)</f>
        <v>0</v>
      </c>
      <c r="AE30" s="222">
        <f>ROUND(data!AE89,0)</f>
        <v>3300781</v>
      </c>
      <c r="AF30" s="222">
        <f>ROUND(data!AE87,0)</f>
        <v>964704</v>
      </c>
      <c r="AG30" s="222">
        <f>IF(data!AE90&gt;0,ROUND(data!AE90,0),0)</f>
        <v>2101</v>
      </c>
      <c r="AH30" s="222">
        <f>IF(data!AE91&gt;0,ROUND(data!AE91,0),0)</f>
        <v>0</v>
      </c>
      <c r="AI30" s="222">
        <f>IF(data!AE92&gt;0,ROUND(data!AE92,0),0)</f>
        <v>2499</v>
      </c>
      <c r="AJ30" s="222">
        <f>IF(data!AE93&gt;0,ROUND(data!AE93,0),0)</f>
        <v>605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078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078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24304</v>
      </c>
      <c r="F32" s="212">
        <f>ROUND(data!AG60,2)</f>
        <v>29.72</v>
      </c>
      <c r="G32" s="222">
        <f>ROUND(data!AG61,0)</f>
        <v>3954214</v>
      </c>
      <c r="H32" s="222">
        <f>ROUND(data!AG62,0)</f>
        <v>1141154</v>
      </c>
      <c r="I32" s="222">
        <f>ROUND(data!AG63,0)</f>
        <v>3761429</v>
      </c>
      <c r="J32" s="222">
        <f>ROUND(data!AG64,0)</f>
        <v>729281</v>
      </c>
      <c r="K32" s="222">
        <f>ROUND(data!AG65,0)</f>
        <v>0</v>
      </c>
      <c r="L32" s="222">
        <f>ROUND(data!AG66,0)</f>
        <v>6128</v>
      </c>
      <c r="M32" s="66">
        <f>ROUND(data!AG67,0)</f>
        <v>177814</v>
      </c>
      <c r="N32" s="222">
        <f>ROUND(data!AG68,0)</f>
        <v>240</v>
      </c>
      <c r="O32" s="222">
        <f>ROUND(data!AG69,0)</f>
        <v>42567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380</v>
      </c>
      <c r="Y32" s="222">
        <f>ROUND(data!AG79,0)</f>
        <v>0</v>
      </c>
      <c r="Z32" s="222">
        <f>ROUND(data!AG80,0)</f>
        <v>8350</v>
      </c>
      <c r="AA32" s="222">
        <f>ROUND(data!AG81,0)</f>
        <v>0</v>
      </c>
      <c r="AB32" s="222">
        <f>ROUND(data!AG82,0)</f>
        <v>0</v>
      </c>
      <c r="AC32" s="222">
        <f>ROUND(data!AG83,0)</f>
        <v>33837</v>
      </c>
      <c r="AD32" s="222">
        <f>ROUND(data!AG84,0)</f>
        <v>0</v>
      </c>
      <c r="AE32" s="222">
        <f>ROUND(data!AG89,0)</f>
        <v>56461808</v>
      </c>
      <c r="AF32" s="222">
        <f>ROUND(data!AG87,0)</f>
        <v>7746686</v>
      </c>
      <c r="AG32" s="222">
        <f>IF(data!AG90&gt;0,ROUND(data!AG90,0),0)</f>
        <v>5639</v>
      </c>
      <c r="AH32" s="222" t="e">
        <f>IF(data!#REF!&gt;0,ROUND(data!#REF!,0),0)</f>
        <v>#REF!</v>
      </c>
      <c r="AI32" s="222">
        <f>IF(data!AG91&gt;0,ROUND(data!AG91,0),0)</f>
        <v>1204</v>
      </c>
      <c r="AJ32" s="222">
        <f>IF(data!AG93&gt;0,ROUND(data!AG93,0),0)</f>
        <v>121100</v>
      </c>
      <c r="AK32" s="212">
        <f>IF(data!AG94&gt;0,ROUND(data!AG94,2),0)</f>
        <v>19.53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078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2.34</v>
      </c>
      <c r="G33" s="222">
        <f>ROUND(data!AH61,0)</f>
        <v>89324</v>
      </c>
      <c r="H33" s="222">
        <f>ROUND(data!AH62,0)</f>
        <v>25778</v>
      </c>
      <c r="I33" s="222">
        <f>ROUND(data!AH63,0)</f>
        <v>23902</v>
      </c>
      <c r="J33" s="222">
        <f>ROUND(data!AH64,0)</f>
        <v>53371</v>
      </c>
      <c r="K33" s="222">
        <f>ROUND(data!AH65,0)</f>
        <v>0</v>
      </c>
      <c r="L33" s="222">
        <f>ROUND(data!AH66,0)</f>
        <v>13878</v>
      </c>
      <c r="M33" s="66">
        <f>ROUND(data!AH67,0)</f>
        <v>0</v>
      </c>
      <c r="N33" s="222">
        <f>ROUND(data!AH68,0)</f>
        <v>508</v>
      </c>
      <c r="O33" s="222">
        <f>ROUND(data!AH69,0)</f>
        <v>257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257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078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9969</v>
      </c>
      <c r="F34" s="212">
        <f>ROUND(data!AI60,2)</f>
        <v>9.43</v>
      </c>
      <c r="G34" s="222">
        <f>ROUND(data!AI61,0)</f>
        <v>962644</v>
      </c>
      <c r="H34" s="222">
        <f>ROUND(data!AI62,0)</f>
        <v>277811</v>
      </c>
      <c r="I34" s="222">
        <f>ROUND(data!AI63,0)</f>
        <v>0</v>
      </c>
      <c r="J34" s="222">
        <f>ROUND(data!AI64,0)</f>
        <v>217253</v>
      </c>
      <c r="K34" s="222">
        <f>ROUND(data!AI65,0)</f>
        <v>0</v>
      </c>
      <c r="L34" s="222">
        <f>ROUND(data!AI66,0)</f>
        <v>1836</v>
      </c>
      <c r="M34" s="66">
        <f>ROUND(data!AI67,0)</f>
        <v>126081</v>
      </c>
      <c r="N34" s="222">
        <f>ROUND(data!AI68,0)</f>
        <v>0</v>
      </c>
      <c r="O34" s="222">
        <f>ROUND(data!AI69,0)</f>
        <v>1112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115</v>
      </c>
      <c r="Y34" s="222">
        <f>ROUND(data!AI79,0)</f>
        <v>0</v>
      </c>
      <c r="Z34" s="222">
        <f>ROUND(data!AI80,0)</f>
        <v>997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8785427</v>
      </c>
      <c r="AF34" s="222">
        <f>ROUND(data!AI87,0)</f>
        <v>84292</v>
      </c>
      <c r="AG34" s="222">
        <f>IF(data!AI90&gt;0,ROUND(data!AI90,0),0)</f>
        <v>3999</v>
      </c>
      <c r="AH34" s="222" t="e">
        <f>IF(data!#REF!&gt;0,ROUND(data!#REF!,0),0)</f>
        <v>#REF!</v>
      </c>
      <c r="AI34" s="222">
        <f>IF(data!AI91&gt;0,ROUND(data!AI91,0),0)</f>
        <v>207</v>
      </c>
      <c r="AJ34" s="222">
        <f>IF(data!AI93&gt;0,ROUND(data!AI93,0),0)</f>
        <v>21245</v>
      </c>
      <c r="AK34" s="212">
        <f>IF(data!AI94&gt;0,ROUND(data!AI94,2),0)</f>
        <v>7.63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078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68346</v>
      </c>
      <c r="F35" s="212">
        <f>ROUND(data!AJ60,2)</f>
        <v>117.26</v>
      </c>
      <c r="G35" s="222">
        <f>ROUND(data!AJ61,0)</f>
        <v>15703754</v>
      </c>
      <c r="H35" s="222">
        <f>ROUND(data!AJ62,0)</f>
        <v>4531976</v>
      </c>
      <c r="I35" s="222">
        <f>ROUND(data!AJ63,0)</f>
        <v>383849</v>
      </c>
      <c r="J35" s="222">
        <f>ROUND(data!AJ64,0)</f>
        <v>1092609</v>
      </c>
      <c r="K35" s="222">
        <f>ROUND(data!AJ65,0)</f>
        <v>0</v>
      </c>
      <c r="L35" s="222">
        <f>ROUND(data!AJ66,0)</f>
        <v>183337</v>
      </c>
      <c r="M35" s="66">
        <f>ROUND(data!AJ67,0)</f>
        <v>2197035</v>
      </c>
      <c r="N35" s="222">
        <f>ROUND(data!AJ68,0)</f>
        <v>-27389</v>
      </c>
      <c r="O35" s="222">
        <f>ROUND(data!AJ69,0)</f>
        <v>364492</v>
      </c>
      <c r="P35" s="222">
        <f>ROUND(data!AJ70,0)</f>
        <v>0</v>
      </c>
      <c r="Q35" s="222">
        <f>ROUND(data!AJ71,0)</f>
        <v>177044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81175</v>
      </c>
      <c r="Y35" s="222">
        <f>ROUND(data!AJ79,0)</f>
        <v>15880</v>
      </c>
      <c r="Z35" s="222">
        <f>ROUND(data!AJ80,0)</f>
        <v>83989</v>
      </c>
      <c r="AA35" s="222">
        <f>ROUND(data!AJ81,0)</f>
        <v>0</v>
      </c>
      <c r="AB35" s="222">
        <f>ROUND(data!AJ82,0)</f>
        <v>0</v>
      </c>
      <c r="AC35" s="222">
        <f>ROUND(data!AJ83,0)</f>
        <v>6404</v>
      </c>
      <c r="AD35" s="222">
        <f>ROUND(data!AJ84,0)</f>
        <v>0</v>
      </c>
      <c r="AE35" s="222">
        <f>ROUND(data!AJ89,0)</f>
        <v>23080863</v>
      </c>
      <c r="AF35" s="222">
        <f>ROUND(data!AJ87,0)</f>
        <v>2097935</v>
      </c>
      <c r="AG35" s="222">
        <f>IF(data!AJ90&gt;0,ROUND(data!AJ90,0),0)</f>
        <v>69677</v>
      </c>
      <c r="AH35" s="222">
        <f>IF(data!AJ91&gt;0,ROUND(data!AJ91,0),0)</f>
        <v>0</v>
      </c>
      <c r="AI35" s="222">
        <f>IF(data!AJ92&gt;0,ROUND(data!AJ92,0),0)</f>
        <v>82866</v>
      </c>
      <c r="AJ35" s="222">
        <f>IF(data!AJ93&gt;0,ROUND(data!AJ93,0),0)</f>
        <v>0</v>
      </c>
      <c r="AK35" s="212">
        <f>IF(data!AJ94&gt;0,ROUND(data!AJ94,2),0)</f>
        <v>10.91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078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9790</v>
      </c>
      <c r="F36" s="212">
        <f>ROUND(data!AK60,2)</f>
        <v>14.19</v>
      </c>
      <c r="G36" s="222">
        <f>ROUND(data!AK61,0)</f>
        <v>1968909</v>
      </c>
      <c r="H36" s="222">
        <f>ROUND(data!AK62,0)</f>
        <v>568211</v>
      </c>
      <c r="I36" s="222">
        <f>ROUND(data!AK63,0)</f>
        <v>760</v>
      </c>
      <c r="J36" s="222">
        <f>ROUND(data!AK64,0)</f>
        <v>9572</v>
      </c>
      <c r="K36" s="222">
        <f>ROUND(data!AK65,0)</f>
        <v>0</v>
      </c>
      <c r="L36" s="222">
        <f>ROUND(data!AK66,0)</f>
        <v>2619</v>
      </c>
      <c r="M36" s="66">
        <f>ROUND(data!AK67,0)</f>
        <v>0</v>
      </c>
      <c r="N36" s="222">
        <f>ROUND(data!AK68,0)</f>
        <v>89838</v>
      </c>
      <c r="O36" s="222">
        <f>ROUND(data!AK69,0)</f>
        <v>25998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9918</v>
      </c>
      <c r="Y36" s="222">
        <f>ROUND(data!AK79,0)</f>
        <v>0</v>
      </c>
      <c r="Z36" s="222">
        <f>ROUND(data!AK80,0)</f>
        <v>13335</v>
      </c>
      <c r="AA36" s="222">
        <f>ROUND(data!AK81,0)</f>
        <v>0</v>
      </c>
      <c r="AB36" s="222">
        <f>ROUND(data!AK82,0)</f>
        <v>0</v>
      </c>
      <c r="AC36" s="222">
        <f>ROUND(data!AK83,0)</f>
        <v>2745</v>
      </c>
      <c r="AD36" s="222">
        <f>ROUND(data!AK84,0)</f>
        <v>0</v>
      </c>
      <c r="AE36" s="222">
        <f>ROUND(data!AK89,0)</f>
        <v>2643533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0.23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078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1150</v>
      </c>
      <c r="F37" s="212">
        <f>ROUND(data!AL60,2)</f>
        <v>0.62</v>
      </c>
      <c r="G37" s="222">
        <f>ROUND(data!AL61,0)</f>
        <v>74342</v>
      </c>
      <c r="H37" s="222">
        <f>ROUND(data!AL62,0)</f>
        <v>21455</v>
      </c>
      <c r="I37" s="222">
        <f>ROUND(data!AL63,0)</f>
        <v>0</v>
      </c>
      <c r="J37" s="222">
        <f>ROUND(data!AL64,0)</f>
        <v>349</v>
      </c>
      <c r="K37" s="222">
        <f>ROUND(data!AL65,0)</f>
        <v>0</v>
      </c>
      <c r="L37" s="222">
        <f>ROUND(data!AL66,0)</f>
        <v>-1539</v>
      </c>
      <c r="M37" s="66">
        <f>ROUND(data!AL67,0)</f>
        <v>0</v>
      </c>
      <c r="N37" s="222">
        <f>ROUND(data!AL68,0)</f>
        <v>0</v>
      </c>
      <c r="O37" s="222">
        <f>ROUND(data!AL69,0)</f>
        <v>600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600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237497</v>
      </c>
      <c r="AF37" s="222">
        <f>ROUND(data!AL87,0)</f>
        <v>79984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078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078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078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078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6745</v>
      </c>
      <c r="F41" s="212">
        <f>ROUND(data!AP60,2)</f>
        <v>9.98</v>
      </c>
      <c r="G41" s="222">
        <f>ROUND(data!AP61,0)</f>
        <v>1259016</v>
      </c>
      <c r="H41" s="222">
        <f>ROUND(data!AP62,0)</f>
        <v>363342</v>
      </c>
      <c r="I41" s="222">
        <f>ROUND(data!AP63,0)</f>
        <v>261097</v>
      </c>
      <c r="J41" s="222">
        <f>ROUND(data!AP64,0)</f>
        <v>43665</v>
      </c>
      <c r="K41" s="222">
        <f>ROUND(data!AP65,0)</f>
        <v>0</v>
      </c>
      <c r="L41" s="222">
        <f>ROUND(data!AP66,0)</f>
        <v>58463</v>
      </c>
      <c r="M41" s="66">
        <f>ROUND(data!AP67,0)</f>
        <v>0</v>
      </c>
      <c r="N41" s="222">
        <f>ROUND(data!AP68,0)</f>
        <v>0</v>
      </c>
      <c r="O41" s="222">
        <f>ROUND(data!AP69,0)</f>
        <v>19977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7260</v>
      </c>
      <c r="Y41" s="222">
        <f>ROUND(data!AP79,0)</f>
        <v>0</v>
      </c>
      <c r="Z41" s="222">
        <f>ROUND(data!AP80,0)</f>
        <v>8551</v>
      </c>
      <c r="AA41" s="222">
        <f>ROUND(data!AP81,0)</f>
        <v>0</v>
      </c>
      <c r="AB41" s="222">
        <f>ROUND(data!AP82,0)</f>
        <v>0</v>
      </c>
      <c r="AC41" s="222">
        <f>ROUND(data!AP83,0)</f>
        <v>4166</v>
      </c>
      <c r="AD41" s="222">
        <f>ROUND(data!AP84,0)</f>
        <v>0</v>
      </c>
      <c r="AE41" s="222">
        <f>ROUND(data!AP89,0)</f>
        <v>1997177</v>
      </c>
      <c r="AF41" s="222">
        <f>ROUND(data!AP87,0)</f>
        <v>150674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0.57999999999999996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078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078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078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078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078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078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3.07</v>
      </c>
      <c r="G47" s="222">
        <f>ROUND(data!AV61,0)</f>
        <v>163532</v>
      </c>
      <c r="H47" s="222">
        <f>ROUND(data!AV62,0)</f>
        <v>47194</v>
      </c>
      <c r="I47" s="222">
        <f>ROUND(data!AV63,0)</f>
        <v>0</v>
      </c>
      <c r="J47" s="222">
        <f>ROUND(data!AV64,0)</f>
        <v>6722</v>
      </c>
      <c r="K47" s="222">
        <f>ROUND(data!AV65,0)</f>
        <v>0</v>
      </c>
      <c r="L47" s="222">
        <f>ROUND(data!AV66,0)</f>
        <v>1122</v>
      </c>
      <c r="M47" s="66">
        <f>ROUND(data!AV67,0)</f>
        <v>0</v>
      </c>
      <c r="N47" s="222">
        <f>ROUND(data!AV68,0)</f>
        <v>0</v>
      </c>
      <c r="O47" s="222">
        <f>ROUND(data!AV69,0)</f>
        <v>1860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1026</v>
      </c>
      <c r="Y47" s="222">
        <f>ROUND(data!AV79,0)</f>
        <v>0</v>
      </c>
      <c r="Z47" s="222">
        <f>ROUND(data!AV80,0)</f>
        <v>834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1847227</v>
      </c>
      <c r="AF47" s="222">
        <f>ROUND(data!AV87,0)</f>
        <v>1696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078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078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078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30433</v>
      </c>
      <c r="F50" s="212">
        <f>ROUND(data!AY60,2)</f>
        <v>19.41</v>
      </c>
      <c r="G50" s="222">
        <f>ROUND(data!AY61,0)</f>
        <v>975378</v>
      </c>
      <c r="H50" s="222">
        <f>ROUND(data!AY62,0)</f>
        <v>281486</v>
      </c>
      <c r="I50" s="222">
        <f>ROUND(data!AY63,0)</f>
        <v>0</v>
      </c>
      <c r="J50" s="222">
        <f>ROUND(data!AY64,0)</f>
        <v>568527</v>
      </c>
      <c r="K50" s="222">
        <f>ROUND(data!AY65,0)</f>
        <v>0</v>
      </c>
      <c r="L50" s="222">
        <f>ROUND(data!AY66,0)</f>
        <v>39746</v>
      </c>
      <c r="M50" s="66">
        <f>ROUND(data!AY67,0)</f>
        <v>239587</v>
      </c>
      <c r="N50" s="222">
        <f>ROUND(data!AY68,0)</f>
        <v>0</v>
      </c>
      <c r="O50" s="222">
        <f>ROUND(data!AY69,0)</f>
        <v>1709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339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1370</v>
      </c>
      <c r="AD50" s="222">
        <f>ROUND(data!AY84,0)</f>
        <v>0</v>
      </c>
      <c r="AE50" s="222"/>
      <c r="AF50" s="222"/>
      <c r="AG50" s="222">
        <f>IF(data!AY90&gt;0,ROUND(data!AY90,0),0)</f>
        <v>7598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078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82996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82996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078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0</v>
      </c>
      <c r="M52" s="66">
        <f>ROUND(data!BA67,0)</f>
        <v>21349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677</v>
      </c>
      <c r="AH52" s="222">
        <f>IFERROR(IF(data!BA$91&gt;0,ROUND(data!BA$91,0),0),0)</f>
        <v>0</v>
      </c>
      <c r="AI52" s="222">
        <f>IFERROR(IF(data!BA$92&gt;0,ROUND(data!BA$92,0),0),0)</f>
        <v>766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078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5.28</v>
      </c>
      <c r="G53" s="222">
        <f>ROUND(data!BB61,0)</f>
        <v>535874</v>
      </c>
      <c r="H53" s="222">
        <f>ROUND(data!BB62,0)</f>
        <v>154649</v>
      </c>
      <c r="I53" s="222">
        <f>ROUND(data!BB63,0)</f>
        <v>0</v>
      </c>
      <c r="J53" s="222">
        <f>ROUND(data!BB64,0)</f>
        <v>2158</v>
      </c>
      <c r="K53" s="222">
        <f>ROUND(data!BB65,0)</f>
        <v>0</v>
      </c>
      <c r="L53" s="222">
        <f>ROUND(data!BB66,0)</f>
        <v>140515</v>
      </c>
      <c r="M53" s="66">
        <f>ROUND(data!BB67,0)</f>
        <v>19010</v>
      </c>
      <c r="N53" s="222">
        <f>ROUND(data!BB68,0)</f>
        <v>0</v>
      </c>
      <c r="O53" s="222">
        <f>ROUND(data!BB69,0)</f>
        <v>586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586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603</v>
      </c>
      <c r="AH53" s="222">
        <f>IFERROR(IF(data!BB$91&gt;0,ROUND(data!BB$91,0),0),0)</f>
        <v>0</v>
      </c>
      <c r="AI53" s="222">
        <f>IFERROR(IF(data!BB$92&gt;0,ROUND(data!BB$92,0),0),0)</f>
        <v>683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078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078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6.65</v>
      </c>
      <c r="G55" s="222">
        <f>ROUND(data!BD61,0)</f>
        <v>330290</v>
      </c>
      <c r="H55" s="222">
        <f>ROUND(data!BD62,0)</f>
        <v>95319</v>
      </c>
      <c r="I55" s="222">
        <f>ROUND(data!BD63,0)</f>
        <v>0</v>
      </c>
      <c r="J55" s="222">
        <f>ROUND(data!BD64,0)</f>
        <v>103735</v>
      </c>
      <c r="K55" s="222">
        <f>ROUND(data!BD65,0)</f>
        <v>0</v>
      </c>
      <c r="L55" s="222">
        <f>ROUND(data!BD66,0)</f>
        <v>245687</v>
      </c>
      <c r="M55" s="66">
        <f>ROUND(data!BD67,0)</f>
        <v>152760</v>
      </c>
      <c r="N55" s="222">
        <f>ROUND(data!BD68,0)</f>
        <v>33706</v>
      </c>
      <c r="O55" s="222">
        <f>ROUND(data!BD69,0)</f>
        <v>34997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34997</v>
      </c>
      <c r="AD55" s="222">
        <f>ROUND(data!BD84,0)</f>
        <v>0</v>
      </c>
      <c r="AE55" s="222"/>
      <c r="AF55" s="222"/>
      <c r="AG55" s="222">
        <f>IF(data!BD90&gt;0,ROUND(data!BD90,0),0)</f>
        <v>4845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078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237076</v>
      </c>
      <c r="F56" s="212">
        <f>ROUND(data!BE60,2)</f>
        <v>23.6</v>
      </c>
      <c r="G56" s="222">
        <f>ROUND(data!BE61,0)</f>
        <v>1549555</v>
      </c>
      <c r="H56" s="222">
        <f>ROUND(data!BE62,0)</f>
        <v>447189</v>
      </c>
      <c r="I56" s="222">
        <f>ROUND(data!BE63,0)</f>
        <v>4973</v>
      </c>
      <c r="J56" s="222">
        <f>ROUND(data!BE64,0)</f>
        <v>9727</v>
      </c>
      <c r="K56" s="222">
        <f>ROUND(data!BE65,0)</f>
        <v>337722</v>
      </c>
      <c r="L56" s="222">
        <f>ROUND(data!BE66,0)</f>
        <v>36150</v>
      </c>
      <c r="M56" s="66">
        <f>ROUND(data!BE67,0)</f>
        <v>796296</v>
      </c>
      <c r="N56" s="222">
        <f>ROUND(data!BE68,0)</f>
        <v>33741</v>
      </c>
      <c r="O56" s="222">
        <f>ROUND(data!BE69,0)</f>
        <v>940161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926705</v>
      </c>
      <c r="X56" s="222">
        <f>ROUND(data!BE78,0)</f>
        <v>275</v>
      </c>
      <c r="Y56" s="222">
        <f>ROUND(data!BE79,0)</f>
        <v>0</v>
      </c>
      <c r="Z56" s="222">
        <f>ROUND(data!BE80,0)</f>
        <v>13097</v>
      </c>
      <c r="AA56" s="222">
        <f>ROUND(data!BE81,0)</f>
        <v>0</v>
      </c>
      <c r="AB56" s="222">
        <f>ROUND(data!BE82,0)</f>
        <v>0</v>
      </c>
      <c r="AC56" s="222">
        <f>ROUND(data!BE83,0)</f>
        <v>84</v>
      </c>
      <c r="AD56" s="222">
        <f>ROUND(data!BE84,0)</f>
        <v>0</v>
      </c>
      <c r="AE56" s="222"/>
      <c r="AF56" s="222"/>
      <c r="AG56" s="222">
        <f>IF(data!BE90&gt;0,ROUND(data!BE90,0),0)</f>
        <v>25254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078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28.92</v>
      </c>
      <c r="G57" s="222">
        <f>ROUND(data!BF61,0)</f>
        <v>1270495</v>
      </c>
      <c r="H57" s="222">
        <f>ROUND(data!BF62,0)</f>
        <v>366655</v>
      </c>
      <c r="I57" s="222">
        <f>ROUND(data!BF63,0)</f>
        <v>0</v>
      </c>
      <c r="J57" s="222">
        <f>ROUND(data!BF64,0)</f>
        <v>266100</v>
      </c>
      <c r="K57" s="222">
        <f>ROUND(data!BF65,0)</f>
        <v>0</v>
      </c>
      <c r="L57" s="222">
        <f>ROUND(data!BF66,0)</f>
        <v>914724</v>
      </c>
      <c r="M57" s="66">
        <f>ROUND(data!BF67,0)</f>
        <v>111199</v>
      </c>
      <c r="N57" s="222">
        <f>ROUND(data!BF68,0)</f>
        <v>0</v>
      </c>
      <c r="O57" s="222">
        <f>ROUND(data!BF69,0)</f>
        <v>2430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-30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92</v>
      </c>
      <c r="AA57" s="222">
        <f>ROUND(data!BF81,0)</f>
        <v>0</v>
      </c>
      <c r="AB57" s="222">
        <f>ROUND(data!BF82,0)</f>
        <v>0</v>
      </c>
      <c r="AC57" s="222">
        <f>ROUND(data!BF83,0)</f>
        <v>2368</v>
      </c>
      <c r="AD57" s="222">
        <f>ROUND(data!BF84,0)</f>
        <v>0</v>
      </c>
      <c r="AE57" s="222"/>
      <c r="AF57" s="222"/>
      <c r="AG57" s="222">
        <f>IF(data!BF90&gt;0,ROUND(data!BF90,0),0)</f>
        <v>3527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078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078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6.83</v>
      </c>
      <c r="G59" s="222">
        <f>ROUND(data!BH61,0)</f>
        <v>616208</v>
      </c>
      <c r="H59" s="222">
        <f>ROUND(data!BH62,0)</f>
        <v>177833</v>
      </c>
      <c r="I59" s="222">
        <f>ROUND(data!BH63,0)</f>
        <v>32554</v>
      </c>
      <c r="J59" s="222">
        <f>ROUND(data!BH64,0)</f>
        <v>14066</v>
      </c>
      <c r="K59" s="222">
        <f>ROUND(data!BH65,0)</f>
        <v>160345</v>
      </c>
      <c r="L59" s="222">
        <f>ROUND(data!BH66,0)</f>
        <v>1089036</v>
      </c>
      <c r="M59" s="66">
        <f>ROUND(data!BH67,0)</f>
        <v>115488</v>
      </c>
      <c r="N59" s="222">
        <f>ROUND(data!BH68,0)</f>
        <v>0</v>
      </c>
      <c r="O59" s="222">
        <f>ROUND(data!BH69,0)</f>
        <v>1806655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1806207</v>
      </c>
      <c r="X59" s="222">
        <f>ROUND(data!BH78,0)</f>
        <v>448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3663</v>
      </c>
      <c r="AH59" s="222">
        <f>IFERROR(IF(data!BH$91&gt;0,ROUND(data!BH$91,0),0),0)</f>
        <v>0</v>
      </c>
      <c r="AI59" s="222">
        <f>IFERROR(IF(data!BH$92&gt;0,ROUND(data!BH$92,0),0),0)</f>
        <v>4149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078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078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7.96</v>
      </c>
      <c r="G61" s="222">
        <f>ROUND(data!BJ61,0)</f>
        <v>656621</v>
      </c>
      <c r="H61" s="222">
        <f>ROUND(data!BJ62,0)</f>
        <v>189496</v>
      </c>
      <c r="I61" s="222">
        <f>ROUND(data!BJ63,0)</f>
        <v>78924</v>
      </c>
      <c r="J61" s="222">
        <f>ROUND(data!BJ64,0)</f>
        <v>2268</v>
      </c>
      <c r="K61" s="222">
        <f>ROUND(data!BJ65,0)</f>
        <v>0</v>
      </c>
      <c r="L61" s="222">
        <f>ROUND(data!BJ66,0)</f>
        <v>144887</v>
      </c>
      <c r="M61" s="66">
        <f>ROUND(data!BJ67,0)</f>
        <v>47248</v>
      </c>
      <c r="N61" s="222">
        <f>ROUND(data!BJ68,0)</f>
        <v>0</v>
      </c>
      <c r="O61" s="222">
        <f>ROUND(data!BJ69,0)</f>
        <v>1084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219</v>
      </c>
      <c r="Y61" s="222">
        <f>ROUND(data!BJ79,0)</f>
        <v>0</v>
      </c>
      <c r="Z61" s="222">
        <f>ROUND(data!BJ80,0)</f>
        <v>865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1498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078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29.02</v>
      </c>
      <c r="G62" s="222">
        <f>ROUND(data!BK61,0)</f>
        <v>1664954</v>
      </c>
      <c r="H62" s="222">
        <f>ROUND(data!BK62,0)</f>
        <v>480492</v>
      </c>
      <c r="I62" s="222">
        <f>ROUND(data!BK63,0)</f>
        <v>517337</v>
      </c>
      <c r="J62" s="222">
        <f>ROUND(data!BK64,0)</f>
        <v>11637</v>
      </c>
      <c r="K62" s="222">
        <f>ROUND(data!BK65,0)</f>
        <v>0</v>
      </c>
      <c r="L62" s="222">
        <f>ROUND(data!BK66,0)</f>
        <v>33106</v>
      </c>
      <c r="M62" s="66">
        <f>ROUND(data!BK67,0)</f>
        <v>60701</v>
      </c>
      <c r="N62" s="222">
        <f>ROUND(data!BK68,0)</f>
        <v>11044</v>
      </c>
      <c r="O62" s="222">
        <f>ROUND(data!BK69,0)</f>
        <v>8242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-6447</v>
      </c>
      <c r="Y62" s="222">
        <f>ROUND(data!BK79,0)</f>
        <v>0</v>
      </c>
      <c r="Z62" s="222">
        <f>ROUND(data!BK80,0)</f>
        <v>9146</v>
      </c>
      <c r="AA62" s="222">
        <f>ROUND(data!BK81,0)</f>
        <v>0</v>
      </c>
      <c r="AB62" s="222">
        <f>ROUND(data!BK82,0)</f>
        <v>0</v>
      </c>
      <c r="AC62" s="222">
        <f>ROUND(data!BK83,0)</f>
        <v>5543</v>
      </c>
      <c r="AD62" s="222">
        <f>ROUND(data!BK84,0)</f>
        <v>0</v>
      </c>
      <c r="AE62" s="222"/>
      <c r="AF62" s="222"/>
      <c r="AG62" s="222">
        <f>IF(data!BK90&gt;0,ROUND(data!BK90,0),0)</f>
        <v>1925</v>
      </c>
      <c r="AH62" s="222">
        <f>IFERROR(IF(data!BK$91&gt;0,ROUND(data!BK$91,0),0),0)</f>
        <v>0</v>
      </c>
      <c r="AI62" s="222">
        <f>IFERROR(IF(data!BK$92&gt;0,ROUND(data!BK$92,0),0),0)</f>
        <v>2181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078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17.690000000000001</v>
      </c>
      <c r="G63" s="222">
        <f>ROUND(data!BL61,0)</f>
        <v>794063</v>
      </c>
      <c r="H63" s="222">
        <f>ROUND(data!BL62,0)</f>
        <v>229160</v>
      </c>
      <c r="I63" s="222">
        <f>ROUND(data!BL63,0)</f>
        <v>0</v>
      </c>
      <c r="J63" s="222">
        <f>ROUND(data!BL64,0)</f>
        <v>14804</v>
      </c>
      <c r="K63" s="222">
        <f>ROUND(data!BL65,0)</f>
        <v>0</v>
      </c>
      <c r="L63" s="222">
        <f>ROUND(data!BL66,0)</f>
        <v>2259</v>
      </c>
      <c r="M63" s="66">
        <f>ROUND(data!BL67,0)</f>
        <v>43121</v>
      </c>
      <c r="N63" s="222">
        <f>ROUND(data!BL68,0)</f>
        <v>0</v>
      </c>
      <c r="O63" s="222">
        <f>ROUND(data!BL69,0)</f>
        <v>2153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1943</v>
      </c>
      <c r="AA63" s="222">
        <f>ROUND(data!BL81,0)</f>
        <v>0</v>
      </c>
      <c r="AB63" s="222">
        <f>ROUND(data!BL82,0)</f>
        <v>0</v>
      </c>
      <c r="AC63" s="222">
        <f>ROUND(data!BL83,0)</f>
        <v>210</v>
      </c>
      <c r="AD63" s="222">
        <f>ROUND(data!BL84,0)</f>
        <v>0</v>
      </c>
      <c r="AE63" s="222"/>
      <c r="AF63" s="222"/>
      <c r="AG63" s="222">
        <f>IF(data!BL90&gt;0,ROUND(data!BL90,0),0)</f>
        <v>1368</v>
      </c>
      <c r="AH63" s="222">
        <f>IFERROR(IF(data!BL$91&gt;0,ROUND(data!BL$91,0),0),0)</f>
        <v>0</v>
      </c>
      <c r="AI63" s="222">
        <f>IFERROR(IF(data!BL$92&gt;0,ROUND(data!BL$92,0),0),0)</f>
        <v>1549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078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39158</v>
      </c>
      <c r="J64" s="222">
        <f>ROUND(data!BM64,0)</f>
        <v>3447</v>
      </c>
      <c r="K64" s="222">
        <f>ROUND(data!BM65,0)</f>
        <v>0</v>
      </c>
      <c r="L64" s="222">
        <f>ROUND(data!BM66,0)</f>
        <v>4583</v>
      </c>
      <c r="M64" s="66">
        <f>ROUND(data!BM67,0)</f>
        <v>0</v>
      </c>
      <c r="N64" s="222">
        <f>ROUND(data!BM68,0)</f>
        <v>0</v>
      </c>
      <c r="O64" s="222">
        <f>ROUND(data!BM69,0)</f>
        <v>16690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420</v>
      </c>
      <c r="Z64" s="222">
        <f>ROUND(data!BM80,0)</f>
        <v>7077</v>
      </c>
      <c r="AA64" s="222">
        <f>ROUND(data!BM81,0)</f>
        <v>0</v>
      </c>
      <c r="AB64" s="222">
        <f>ROUND(data!BM82,0)</f>
        <v>0</v>
      </c>
      <c r="AC64" s="222">
        <f>ROUND(data!BM83,0)</f>
        <v>9193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078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7.36</v>
      </c>
      <c r="G65" s="222">
        <f>ROUND(data!BN61,0)</f>
        <v>1444628</v>
      </c>
      <c r="H65" s="222">
        <f>ROUND(data!BN62,0)</f>
        <v>416908</v>
      </c>
      <c r="I65" s="222">
        <f>ROUND(data!BN63,0)</f>
        <v>675318</v>
      </c>
      <c r="J65" s="222">
        <f>ROUND(data!BN64,0)</f>
        <v>24529</v>
      </c>
      <c r="K65" s="222">
        <f>ROUND(data!BN65,0)</f>
        <v>0</v>
      </c>
      <c r="L65" s="222">
        <f>ROUND(data!BN66,0)</f>
        <v>55417</v>
      </c>
      <c r="M65" s="66">
        <f>ROUND(data!BN67,0)</f>
        <v>929981</v>
      </c>
      <c r="N65" s="222">
        <f>ROUND(data!BN68,0)</f>
        <v>0</v>
      </c>
      <c r="O65" s="222">
        <f>ROUND(data!BN69,0)</f>
        <v>612526</v>
      </c>
      <c r="P65" s="222">
        <f>ROUND(data!BN70,0)</f>
        <v>0</v>
      </c>
      <c r="Q65" s="222">
        <f>ROUND(data!BN71,0)</f>
        <v>378079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168978</v>
      </c>
      <c r="Y65" s="222">
        <f>ROUND(data!BN79,0)</f>
        <v>6846</v>
      </c>
      <c r="Z65" s="222">
        <f>ROUND(data!BN80,0)</f>
        <v>21628</v>
      </c>
      <c r="AA65" s="222">
        <f>ROUND(data!BN81,0)</f>
        <v>0</v>
      </c>
      <c r="AB65" s="222">
        <f>ROUND(data!BN82,0)</f>
        <v>0</v>
      </c>
      <c r="AC65" s="222">
        <f>ROUND(data!BN83,0)</f>
        <v>36995</v>
      </c>
      <c r="AD65" s="222">
        <f>ROUND(data!BN84,0)</f>
        <v>0</v>
      </c>
      <c r="AE65" s="222"/>
      <c r="AF65" s="222"/>
      <c r="AG65" s="222">
        <f>IF(data!BN90&gt;0,ROUND(data!BN90,0),0)</f>
        <v>29494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078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1.87</v>
      </c>
      <c r="G66" s="222">
        <f>ROUND(data!BO61,0)</f>
        <v>138676</v>
      </c>
      <c r="H66" s="222">
        <f>ROUND(data!BO62,0)</f>
        <v>40021</v>
      </c>
      <c r="I66" s="222">
        <f>ROUND(data!BO63,0)</f>
        <v>0</v>
      </c>
      <c r="J66" s="222">
        <f>ROUND(data!BO64,0)</f>
        <v>14826</v>
      </c>
      <c r="K66" s="222">
        <f>ROUND(data!BO65,0)</f>
        <v>0</v>
      </c>
      <c r="L66" s="222">
        <f>ROUND(data!BO66,0)</f>
        <v>3184</v>
      </c>
      <c r="M66" s="66">
        <f>ROUND(data!BO67,0)</f>
        <v>6662</v>
      </c>
      <c r="N66" s="222">
        <f>ROUND(data!BO68,0)</f>
        <v>0</v>
      </c>
      <c r="O66" s="222">
        <f>ROUND(data!BO69,0)</f>
        <v>920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421</v>
      </c>
      <c r="Z66" s="222">
        <f>ROUND(data!BO80,0)</f>
        <v>499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211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078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3.77</v>
      </c>
      <c r="G67" s="222">
        <f>ROUND(data!BP61,0)</f>
        <v>287927</v>
      </c>
      <c r="H67" s="222">
        <f>ROUND(data!BP62,0)</f>
        <v>83093</v>
      </c>
      <c r="I67" s="222">
        <f>ROUND(data!BP63,0)</f>
        <v>207635</v>
      </c>
      <c r="J67" s="222">
        <f>ROUND(data!BP64,0)</f>
        <v>41407</v>
      </c>
      <c r="K67" s="222">
        <f>ROUND(data!BP65,0)</f>
        <v>0</v>
      </c>
      <c r="L67" s="222">
        <f>ROUND(data!BP66,0)</f>
        <v>187003</v>
      </c>
      <c r="M67" s="66">
        <f>ROUND(data!BP67,0)</f>
        <v>37954</v>
      </c>
      <c r="N67" s="222">
        <f>ROUND(data!BP68,0)</f>
        <v>3290</v>
      </c>
      <c r="O67" s="222">
        <f>ROUND(data!BP69,0)</f>
        <v>785010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727722</v>
      </c>
      <c r="Z67" s="222">
        <f>ROUND(data!BP80,0)</f>
        <v>16603</v>
      </c>
      <c r="AA67" s="222">
        <f>ROUND(data!BP81,0)</f>
        <v>0</v>
      </c>
      <c r="AB67" s="222">
        <f>ROUND(data!BP82,0)</f>
        <v>0</v>
      </c>
      <c r="AC67" s="222">
        <f>ROUND(data!BP83,0)</f>
        <v>40685</v>
      </c>
      <c r="AD67" s="222">
        <f>ROUND(data!BP84,0)</f>
        <v>0</v>
      </c>
      <c r="AE67" s="222"/>
      <c r="AF67" s="222"/>
      <c r="AG67" s="222">
        <f>IF(data!BP90&gt;0,ROUND(data!BP90,0),0)</f>
        <v>1204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078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078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6.94</v>
      </c>
      <c r="G69" s="222">
        <f>ROUND(data!BR61,0)</f>
        <v>651767</v>
      </c>
      <c r="H69" s="222">
        <f>ROUND(data!BR62,0)</f>
        <v>188095</v>
      </c>
      <c r="I69" s="222">
        <f>ROUND(data!BR63,0)</f>
        <v>266949</v>
      </c>
      <c r="J69" s="222">
        <f>ROUND(data!BR64,0)</f>
        <v>7918</v>
      </c>
      <c r="K69" s="222">
        <f>ROUND(data!BR65,0)</f>
        <v>0</v>
      </c>
      <c r="L69" s="222">
        <f>ROUND(data!BR66,0)</f>
        <v>453740</v>
      </c>
      <c r="M69" s="66">
        <f>ROUND(data!BR67,0)</f>
        <v>53195</v>
      </c>
      <c r="N69" s="222">
        <f>ROUND(data!BR68,0)</f>
        <v>18071</v>
      </c>
      <c r="O69" s="222">
        <f>ROUND(data!BR69,0)</f>
        <v>188884</v>
      </c>
      <c r="P69" s="222">
        <f>ROUND(data!BR70,0)</f>
        <v>0</v>
      </c>
      <c r="Q69" s="222">
        <f>ROUND(data!BR71,0)</f>
        <v>141865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519</v>
      </c>
      <c r="Y69" s="222">
        <f>ROUND(data!BR79,0)</f>
        <v>41888</v>
      </c>
      <c r="Z69" s="222">
        <f>ROUND(data!BR80,0)</f>
        <v>2724</v>
      </c>
      <c r="AA69" s="222">
        <f>ROUND(data!BR81,0)</f>
        <v>0</v>
      </c>
      <c r="AB69" s="222">
        <f>ROUND(data!BR82,0)</f>
        <v>0</v>
      </c>
      <c r="AC69" s="222">
        <f>ROUND(data!BR83,0)</f>
        <v>1888</v>
      </c>
      <c r="AD69" s="222">
        <f>ROUND(data!BR84,0)</f>
        <v>0</v>
      </c>
      <c r="AE69" s="222"/>
      <c r="AF69" s="222"/>
      <c r="AG69" s="222">
        <f>IF(data!BR90&gt;0,ROUND(data!BR90,0),0)</f>
        <v>1687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078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2555</v>
      </c>
      <c r="K70" s="222">
        <f>ROUND(data!BS65,0)</f>
        <v>0</v>
      </c>
      <c r="L70" s="222">
        <f>ROUND(data!BS66,0)</f>
        <v>0</v>
      </c>
      <c r="M70" s="66">
        <f>ROUND(data!BS67,0)</f>
        <v>29018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920</v>
      </c>
      <c r="AH70" s="222">
        <f>IFERROR(IF(data!BS$91&gt;0,ROUND(data!BS$91,0),0),0)</f>
        <v>0</v>
      </c>
      <c r="AI70" s="222">
        <f>IFERROR(IF(data!BS$92&gt;0,ROUND(data!BS$92,0),0),0)</f>
        <v>1042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078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078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078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21</v>
      </c>
      <c r="G73" s="222">
        <f>ROUND(data!BV61,0)</f>
        <v>1308640</v>
      </c>
      <c r="H73" s="222">
        <f>ROUND(data!BV62,0)</f>
        <v>377663</v>
      </c>
      <c r="I73" s="222">
        <f>ROUND(data!BV63,0)</f>
        <v>0</v>
      </c>
      <c r="J73" s="222">
        <f>ROUND(data!BV64,0)</f>
        <v>2086</v>
      </c>
      <c r="K73" s="222">
        <f>ROUND(data!BV65,0)</f>
        <v>0</v>
      </c>
      <c r="L73" s="222">
        <f>ROUND(data!BV66,0)</f>
        <v>397545</v>
      </c>
      <c r="M73" s="66">
        <f>ROUND(data!BV67,0)</f>
        <v>53357</v>
      </c>
      <c r="N73" s="222">
        <f>ROUND(data!BV68,0)</f>
        <v>0</v>
      </c>
      <c r="O73" s="222">
        <f>ROUND(data!BV69,0)</f>
        <v>-21656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-27190</v>
      </c>
      <c r="Y73" s="222">
        <f>ROUND(data!BV79,0)</f>
        <v>0</v>
      </c>
      <c r="Z73" s="222">
        <f>ROUND(data!BV80,0)</f>
        <v>1943</v>
      </c>
      <c r="AA73" s="222">
        <f>ROUND(data!BV81,0)</f>
        <v>0</v>
      </c>
      <c r="AB73" s="222">
        <f>ROUND(data!BV82,0)</f>
        <v>0</v>
      </c>
      <c r="AC73" s="222">
        <f>ROUND(data!BV83,0)</f>
        <v>3591</v>
      </c>
      <c r="AD73" s="222">
        <f>ROUND(data!BV84,0)</f>
        <v>0</v>
      </c>
      <c r="AE73" s="222"/>
      <c r="AF73" s="222"/>
      <c r="AG73" s="222">
        <f>IF(data!BV90&gt;0,ROUND(data!BV90,0),0)</f>
        <v>1692</v>
      </c>
      <c r="AH73" s="222">
        <f>IF(data!BV91&gt;0,ROUND(data!BV91,0),0)</f>
        <v>0</v>
      </c>
      <c r="AI73" s="222">
        <f>IF(data!BV92&gt;0,ROUND(data!BV92,0),0)</f>
        <v>1917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078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2.06</v>
      </c>
      <c r="G74" s="222">
        <f>ROUND(data!BW61,0)</f>
        <v>131354</v>
      </c>
      <c r="H74" s="222">
        <f>ROUND(data!BW62,0)</f>
        <v>37908</v>
      </c>
      <c r="I74" s="222">
        <f>ROUND(data!BW63,0)</f>
        <v>27364</v>
      </c>
      <c r="J74" s="222">
        <f>ROUND(data!BW64,0)</f>
        <v>9667</v>
      </c>
      <c r="K74" s="222">
        <f>ROUND(data!BW65,0)</f>
        <v>0</v>
      </c>
      <c r="L74" s="222">
        <f>ROUND(data!BW66,0)</f>
        <v>86174</v>
      </c>
      <c r="M74" s="66">
        <f>ROUND(data!BW67,0)</f>
        <v>30578</v>
      </c>
      <c r="N74" s="222">
        <f>ROUND(data!BW68,0)</f>
        <v>0</v>
      </c>
      <c r="O74" s="222">
        <f>ROUND(data!BW69,0)</f>
        <v>8655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6203</v>
      </c>
      <c r="Y74" s="222">
        <f>ROUND(data!BW79,0)</f>
        <v>1841</v>
      </c>
      <c r="Z74" s="222">
        <f>ROUND(data!BW80,0)</f>
        <v>575</v>
      </c>
      <c r="AA74" s="222">
        <f>ROUND(data!BW81,0)</f>
        <v>0</v>
      </c>
      <c r="AB74" s="222">
        <f>ROUND(data!BW82,0)</f>
        <v>0</v>
      </c>
      <c r="AC74" s="222">
        <f>ROUND(data!BW83,0)</f>
        <v>36</v>
      </c>
      <c r="AD74" s="222">
        <f>ROUND(data!BW84,0)</f>
        <v>0</v>
      </c>
      <c r="AE74" s="222"/>
      <c r="AF74" s="222"/>
      <c r="AG74" s="222">
        <f>IF(data!BW90&gt;0,ROUND(data!BW90,0),0)</f>
        <v>970</v>
      </c>
      <c r="AH74" s="222">
        <f>IF(data!BW91&gt;0,ROUND(data!BW91,0),0)</f>
        <v>0</v>
      </c>
      <c r="AI74" s="222">
        <f>IF(data!BW92&gt;0,ROUND(data!BW92,0),0)</f>
        <v>1099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078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078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9.07</v>
      </c>
      <c r="G76" s="222">
        <f>ROUND(data!BY61,0)</f>
        <v>1412024</v>
      </c>
      <c r="H76" s="222">
        <f>ROUND(data!BY62,0)</f>
        <v>407499</v>
      </c>
      <c r="I76" s="222">
        <f>ROUND(data!BY63,0)</f>
        <v>46318</v>
      </c>
      <c r="J76" s="222">
        <f>ROUND(data!BY64,0)</f>
        <v>13278</v>
      </c>
      <c r="K76" s="222">
        <f>ROUND(data!BY65,0)</f>
        <v>0</v>
      </c>
      <c r="L76" s="222">
        <f>ROUND(data!BY66,0)</f>
        <v>97911</v>
      </c>
      <c r="M76" s="66">
        <f>ROUND(data!BY67,0)</f>
        <v>19595</v>
      </c>
      <c r="N76" s="222">
        <f>ROUND(data!BY68,0)</f>
        <v>1600</v>
      </c>
      <c r="O76" s="222">
        <f>ROUND(data!BY69,0)</f>
        <v>1498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1129</v>
      </c>
      <c r="Y76" s="222">
        <f>ROUND(data!BY79,0)</f>
        <v>0</v>
      </c>
      <c r="Z76" s="222">
        <f>ROUND(data!BY80,0)</f>
        <v>136</v>
      </c>
      <c r="AA76" s="222">
        <f>ROUND(data!BY81,0)</f>
        <v>0</v>
      </c>
      <c r="AB76" s="222">
        <f>ROUND(data!BY82,0)</f>
        <v>0</v>
      </c>
      <c r="AC76" s="222">
        <f>ROUND(data!BY83,0)</f>
        <v>233</v>
      </c>
      <c r="AD76" s="222">
        <f>ROUND(data!BY84,0)</f>
        <v>0</v>
      </c>
      <c r="AE76" s="222"/>
      <c r="AF76" s="222"/>
      <c r="AG76" s="222">
        <f>IF(data!BY90&gt;0,ROUND(data!BY90,0),0)</f>
        <v>621</v>
      </c>
      <c r="AH76" s="222">
        <f>IF(data!BY91&gt;0,ROUND(data!BY91,0),0)</f>
        <v>0</v>
      </c>
      <c r="AI76" s="222">
        <f>IF(data!BY92&gt;0,ROUND(data!BY92,0),0)</f>
        <v>704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078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2.83</v>
      </c>
      <c r="G77" s="222">
        <f>ROUND(data!BZ61,0)</f>
        <v>214856</v>
      </c>
      <c r="H77" s="222">
        <f>ROUND(data!BZ62,0)</f>
        <v>62006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110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110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078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2.6</v>
      </c>
      <c r="G78" s="222">
        <f>ROUND(data!CA61,0)</f>
        <v>240502</v>
      </c>
      <c r="H78" s="222">
        <f>ROUND(data!CA62,0)</f>
        <v>69407</v>
      </c>
      <c r="I78" s="222">
        <f>ROUND(data!CA63,0)</f>
        <v>0</v>
      </c>
      <c r="J78" s="222">
        <f>ROUND(data!CA64,0)</f>
        <v>148354</v>
      </c>
      <c r="K78" s="222">
        <f>ROUND(data!CA65,0)</f>
        <v>0</v>
      </c>
      <c r="L78" s="222">
        <f>ROUND(data!CA66,0)</f>
        <v>162609</v>
      </c>
      <c r="M78" s="66">
        <f>ROUND(data!CA67,0)</f>
        <v>249466</v>
      </c>
      <c r="N78" s="222">
        <f>ROUND(data!CA68,0)</f>
        <v>0</v>
      </c>
      <c r="O78" s="222">
        <f>ROUND(data!CA69,0)</f>
        <v>18167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18167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7912</v>
      </c>
      <c r="AH78" s="222">
        <f>IF(data!CA91&gt;0,ROUND(data!CA91,0),0)</f>
        <v>0</v>
      </c>
      <c r="AI78" s="222">
        <f>IF(data!CA92&gt;0,ROUND(data!CA92,0),0)</f>
        <v>8961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078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40</v>
      </c>
      <c r="K79" s="222">
        <f>ROUND(data!CB65,0)</f>
        <v>0</v>
      </c>
      <c r="L79" s="222">
        <f>ROUND(data!CB66,0)</f>
        <v>10618</v>
      </c>
      <c r="M79" s="66">
        <f>ROUND(data!CB67,0)</f>
        <v>3250</v>
      </c>
      <c r="N79" s="222">
        <f>ROUND(data!CB68,0)</f>
        <v>0</v>
      </c>
      <c r="O79" s="222">
        <f>ROUND(data!CB69,0)</f>
        <v>1194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1194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103</v>
      </c>
      <c r="AH79" s="222">
        <f>IF(data!CB91&gt;0,ROUND(data!CB91,0),0)</f>
        <v>0</v>
      </c>
      <c r="AI79" s="222">
        <f>IF(data!CB92&gt;0,ROUND(data!CB92,0),0)</f>
        <v>111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078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5.6</v>
      </c>
      <c r="G80" s="222">
        <f>ROUND(data!CC61,0)</f>
        <v>608162</v>
      </c>
      <c r="H80" s="222">
        <f>ROUND(data!CC62,0)</f>
        <v>175511</v>
      </c>
      <c r="I80" s="222">
        <f>ROUND(data!CC63,0)</f>
        <v>29617</v>
      </c>
      <c r="J80" s="222">
        <f>ROUND(data!CC64,0)</f>
        <v>12367</v>
      </c>
      <c r="K80" s="222">
        <f>ROUND(data!CC65,0)</f>
        <v>129403</v>
      </c>
      <c r="L80" s="222">
        <f>ROUND(data!CC66,0)</f>
        <v>81394</v>
      </c>
      <c r="M80" s="66">
        <f>ROUND(data!CC67,0)</f>
        <v>8579</v>
      </c>
      <c r="N80" s="222">
        <f>ROUND(data!CC68,0)</f>
        <v>0</v>
      </c>
      <c r="O80" s="222">
        <f>ROUND(data!CC69,0)</f>
        <v>996264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15217</v>
      </c>
      <c r="X80" s="222">
        <f>ROUND(data!CC78,0)</f>
        <v>6299</v>
      </c>
      <c r="Y80" s="222">
        <f>ROUND(data!CC79,0)</f>
        <v>279</v>
      </c>
      <c r="Z80" s="222">
        <f>ROUND(data!CC80,0)</f>
        <v>0</v>
      </c>
      <c r="AA80" s="222">
        <f>ROUND(data!CC81,0)</f>
        <v>1045555</v>
      </c>
      <c r="AB80" s="222">
        <f>ROUND(data!CC82,0)</f>
        <v>0</v>
      </c>
      <c r="AC80" s="222">
        <f>ROUND(data!CC83,0)</f>
        <v>-71086</v>
      </c>
      <c r="AD80" s="222">
        <f>ROUND(data!CC84,0)</f>
        <v>0</v>
      </c>
      <c r="AE80" s="222"/>
      <c r="AF80" s="222"/>
      <c r="AG80" s="222">
        <f>IF(data!CC90&gt;0,ROUND(data!CC90,0),0)</f>
        <v>272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topLeftCell="A16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Samaritan Hospital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H-078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801 E Wheeler Road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Moses Lake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zoomScaleNormal="100" workbookViewId="0">
      <selection activeCell="H72" sqref="H7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078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5941505.3100000005</v>
      </c>
      <c r="C15" s="275">
        <f>data!C85</f>
        <v>7640855</v>
      </c>
      <c r="D15" s="275">
        <f>'Prior Year'!C60</f>
        <v>3439</v>
      </c>
      <c r="E15" s="1">
        <f>data!C59</f>
        <v>3091</v>
      </c>
      <c r="F15" s="238">
        <f t="shared" ref="F15:F59" si="0">IF(B15=0,"",IF(D15=0,"",B15/D15))</f>
        <v>1727.684009886595</v>
      </c>
      <c r="G15" s="238">
        <f t="shared" ref="G15:G29" si="1">IF(C15=0,"",IF(E15=0,"",C15/E15))</f>
        <v>2471.9686185700421</v>
      </c>
      <c r="H15" s="6">
        <f t="shared" ref="H15:H59" si="2">IF(B15=0,"",IF(C15=0,"",IF(D15=0,"",IF(E15=0,"",IF(G15/F15-1&lt;-0.25,G15/F15-1,IF(G15/F15-1&gt;0.25,G15/F15-1,""))))))</f>
        <v>0.43079903756955051</v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5">
        <f>'Prior Year'!E86</f>
        <v>6089682.5700000012</v>
      </c>
      <c r="C17" s="275">
        <f>data!E85</f>
        <v>8920679</v>
      </c>
      <c r="D17" s="275">
        <f>'Prior Year'!E60</f>
        <v>5373</v>
      </c>
      <c r="E17" s="1">
        <f>data!E59</f>
        <v>6001</v>
      </c>
      <c r="F17" s="238">
        <f t="shared" si="0"/>
        <v>1133.3859240647685</v>
      </c>
      <c r="G17" s="238">
        <f t="shared" si="1"/>
        <v>1486.5320779870021</v>
      </c>
      <c r="H17" s="6">
        <f t="shared" si="2"/>
        <v>0.31158508891279713</v>
      </c>
      <c r="I17" s="275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5">
        <f>'Prior Year'!F86</f>
        <v>5230623.6399999987</v>
      </c>
      <c r="C18" s="275">
        <f>data!F85</f>
        <v>5959199</v>
      </c>
      <c r="D18" s="275">
        <f>'Prior Year'!F60</f>
        <v>1767</v>
      </c>
      <c r="E18" s="1">
        <f>data!F59</f>
        <v>1653</v>
      </c>
      <c r="F18" s="238">
        <f t="shared" si="0"/>
        <v>2960.1718392756075</v>
      </c>
      <c r="G18" s="238">
        <f t="shared" si="1"/>
        <v>3605.0810647307926</v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5">
        <f>'Prior Year'!J86</f>
        <v>58733.65</v>
      </c>
      <c r="C22" s="275">
        <f>data!J85</f>
        <v>290417</v>
      </c>
      <c r="D22" s="275">
        <f>'Prior Year'!J60</f>
        <v>1474</v>
      </c>
      <c r="E22" s="1">
        <f>data!J59</f>
        <v>1431</v>
      </c>
      <c r="F22" s="238">
        <f t="shared" si="0"/>
        <v>39.846438263229309</v>
      </c>
      <c r="G22" s="238">
        <f t="shared" si="1"/>
        <v>202.94689028651294</v>
      </c>
      <c r="H22" s="6">
        <f t="shared" si="2"/>
        <v>4.0932253705043031</v>
      </c>
      <c r="I22" s="275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144762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5">
        <f>'Prior Year'!O86</f>
        <v>194596.85</v>
      </c>
      <c r="C27" s="275">
        <f>data!O85</f>
        <v>208729</v>
      </c>
      <c r="D27" s="275">
        <f>'Prior Year'!O60</f>
        <v>1026</v>
      </c>
      <c r="E27" s="1">
        <f>data!O59</f>
        <v>985</v>
      </c>
      <c r="F27" s="238">
        <f t="shared" si="0"/>
        <v>189.66554580896687</v>
      </c>
      <c r="G27" s="238">
        <f t="shared" si="1"/>
        <v>211.90761421319797</v>
      </c>
      <c r="H27" s="6" t="str">
        <f t="shared" si="2"/>
        <v/>
      </c>
      <c r="I27" s="275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5">
        <f>'Prior Year'!P86</f>
        <v>6409301.3100000005</v>
      </c>
      <c r="C28" s="275">
        <f>data!P85</f>
        <v>6882281</v>
      </c>
      <c r="D28" s="275">
        <f>'Prior Year'!P60</f>
        <v>285483</v>
      </c>
      <c r="E28" s="1">
        <f>data!P59</f>
        <v>318948.00000000006</v>
      </c>
      <c r="F28" s="238">
        <f t="shared" si="0"/>
        <v>22.450728449680017</v>
      </c>
      <c r="G28" s="238">
        <f t="shared" si="1"/>
        <v>21.578066017030984</v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5">
        <f>'Prior Year'!Q86</f>
        <v>686046.56</v>
      </c>
      <c r="C29" s="275">
        <f>data!Q85</f>
        <v>790289</v>
      </c>
      <c r="D29" s="275">
        <f>'Prior Year'!Q60</f>
        <v>91661</v>
      </c>
      <c r="E29" s="1">
        <f>data!Q59</f>
        <v>116382.09999999999</v>
      </c>
      <c r="F29" s="238">
        <f t="shared" si="0"/>
        <v>7.4846069757039535</v>
      </c>
      <c r="G29" s="238">
        <f t="shared" si="1"/>
        <v>6.790468637359182</v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5">
        <f>'Prior Year'!R86</f>
        <v>5614675.5499999998</v>
      </c>
      <c r="C30" s="275">
        <f>data!R85</f>
        <v>5886135</v>
      </c>
      <c r="D30" s="275">
        <f>'Prior Year'!R60</f>
        <v>338897</v>
      </c>
      <c r="E30" s="1">
        <f>data!R59</f>
        <v>365574.99999999994</v>
      </c>
      <c r="F30" s="238">
        <f t="shared" si="0"/>
        <v>16.567498532002347</v>
      </c>
      <c r="G30" s="238">
        <f>IFERROR(IF(C30=0,"",IF(E30=0,"",C30/E30)),"")</f>
        <v>16.101032619845451</v>
      </c>
      <c r="H30" s="6" t="str">
        <f t="shared" si="2"/>
        <v/>
      </c>
      <c r="I30" s="275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5">
        <f>'Prior Year'!S86</f>
        <v>3827668.23</v>
      </c>
      <c r="C31" s="275">
        <f>data!S85</f>
        <v>3971106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5" t="e">
        <f t="shared" si="3"/>
        <v>#VALUE!</v>
      </c>
      <c r="M31" s="7"/>
    </row>
    <row r="32" spans="1:13" x14ac:dyDescent="0.35">
      <c r="A32" s="1" t="s">
        <v>726</v>
      </c>
      <c r="B32" s="275">
        <f>'Prior Year'!T86</f>
        <v>0</v>
      </c>
      <c r="C32" s="275">
        <f>data!T85</f>
        <v>1051</v>
      </c>
      <c r="D32" s="275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5" t="str">
        <f t="shared" si="3"/>
        <v>Please provide explanation for the fluctuation noted here</v>
      </c>
      <c r="M32" s="7"/>
    </row>
    <row r="33" spans="1:13" x14ac:dyDescent="0.35">
      <c r="A33" s="1" t="s">
        <v>727</v>
      </c>
      <c r="B33" s="275">
        <f>'Prior Year'!U86</f>
        <v>6549364.1499999994</v>
      </c>
      <c r="C33" s="275">
        <f>data!U85</f>
        <v>7355811</v>
      </c>
      <c r="D33" s="275">
        <f>'Prior Year'!U60</f>
        <v>268780</v>
      </c>
      <c r="E33" s="1">
        <f>data!U59</f>
        <v>287034</v>
      </c>
      <c r="F33" s="238">
        <f t="shared" si="0"/>
        <v>24.367007031773195</v>
      </c>
      <c r="G33" s="238">
        <f t="shared" ref="G33:G69" si="5">IF(C33=0,"",IF(E33=0,"",C33/E33))</f>
        <v>25.626967536946843</v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5">
        <f>'Prior Year'!V86</f>
        <v>36949.229999999996</v>
      </c>
      <c r="C34" s="275">
        <f>data!V85</f>
        <v>61983</v>
      </c>
      <c r="D34" s="275">
        <f>'Prior Year'!V60</f>
        <v>1005</v>
      </c>
      <c r="E34" s="1">
        <f>data!V59</f>
        <v>1330</v>
      </c>
      <c r="F34" s="238">
        <f t="shared" si="0"/>
        <v>36.765402985074623</v>
      </c>
      <c r="G34" s="238">
        <f t="shared" si="5"/>
        <v>46.603759398496237</v>
      </c>
      <c r="H34" s="6">
        <f t="shared" si="2"/>
        <v>0.26759822046328763</v>
      </c>
      <c r="I34" s="275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5">
        <f>'Prior Year'!W86</f>
        <v>369911.9</v>
      </c>
      <c r="C35" s="275">
        <f>data!W85</f>
        <v>527652</v>
      </c>
      <c r="D35" s="275">
        <f>'Prior Year'!W60</f>
        <v>2184</v>
      </c>
      <c r="E35" s="1">
        <f>data!W59</f>
        <v>2405</v>
      </c>
      <c r="F35" s="238">
        <f t="shared" si="0"/>
        <v>169.37358058608061</v>
      </c>
      <c r="G35" s="238">
        <f t="shared" si="5"/>
        <v>219.39792099792101</v>
      </c>
      <c r="H35" s="6">
        <f t="shared" si="2"/>
        <v>0.29534913437350729</v>
      </c>
      <c r="I35" s="275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5">
        <f>'Prior Year'!X86</f>
        <v>851906.73</v>
      </c>
      <c r="C36" s="275">
        <f>data!X85</f>
        <v>874634</v>
      </c>
      <c r="D36" s="275">
        <f>'Prior Year'!X60</f>
        <v>9653</v>
      </c>
      <c r="E36" s="1">
        <f>data!X59</f>
        <v>10550</v>
      </c>
      <c r="F36" s="238">
        <f t="shared" si="0"/>
        <v>88.253053972858183</v>
      </c>
      <c r="G36" s="238">
        <f t="shared" si="5"/>
        <v>82.903696682464457</v>
      </c>
      <c r="H36" s="6" t="str">
        <f t="shared" si="2"/>
        <v/>
      </c>
      <c r="I36" s="275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5">
        <f>'Prior Year'!Y86</f>
        <v>4084356.39</v>
      </c>
      <c r="C37" s="275">
        <f>data!Y85</f>
        <v>4569863</v>
      </c>
      <c r="D37" s="275">
        <f>'Prior Year'!Y60</f>
        <v>30927</v>
      </c>
      <c r="E37" s="1">
        <f>data!Y59</f>
        <v>36898</v>
      </c>
      <c r="F37" s="238">
        <f t="shared" si="0"/>
        <v>132.06442234940343</v>
      </c>
      <c r="G37" s="238">
        <f t="shared" si="5"/>
        <v>123.85123854951487</v>
      </c>
      <c r="H37" s="6" t="str">
        <f t="shared" si="2"/>
        <v/>
      </c>
      <c r="I37" s="275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5">
        <f>'Prior Year'!AA86</f>
        <v>439489.91000000003</v>
      </c>
      <c r="C39" s="275">
        <f>data!AA85</f>
        <v>487866</v>
      </c>
      <c r="D39" s="275">
        <f>'Prior Year'!AA60</f>
        <v>389</v>
      </c>
      <c r="E39" s="1">
        <f>data!AA59</f>
        <v>386</v>
      </c>
      <c r="F39" s="238">
        <f t="shared" si="0"/>
        <v>1129.7941131105399</v>
      </c>
      <c r="G39" s="238">
        <f t="shared" si="5"/>
        <v>1263.9015544041451</v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5">
        <f>'Prior Year'!AB86</f>
        <v>6799119.2999999998</v>
      </c>
      <c r="C40" s="275">
        <f>data!AB85</f>
        <v>6951799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e">
        <f t="shared" si="3"/>
        <v>#VALUE!</v>
      </c>
      <c r="M40" s="7"/>
    </row>
    <row r="41" spans="1:13" x14ac:dyDescent="0.35">
      <c r="A41" s="1" t="s">
        <v>735</v>
      </c>
      <c r="B41" s="275">
        <f>'Prior Year'!AC86</f>
        <v>1007145.11</v>
      </c>
      <c r="C41" s="275">
        <f>data!AC85</f>
        <v>2090737</v>
      </c>
      <c r="D41" s="275">
        <f>'Prior Year'!AC60</f>
        <v>26083</v>
      </c>
      <c r="E41" s="1">
        <f>data!AC59</f>
        <v>14825</v>
      </c>
      <c r="F41" s="238">
        <f t="shared" si="0"/>
        <v>38.613085534639417</v>
      </c>
      <c r="G41" s="238">
        <f t="shared" si="5"/>
        <v>141.02779089376054</v>
      </c>
      <c r="H41" s="6">
        <f t="shared" si="2"/>
        <v>2.6523315591354621</v>
      </c>
      <c r="I41" s="275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5">
        <f>'Prior Year'!AE86</f>
        <v>1015536.57</v>
      </c>
      <c r="C43" s="275">
        <f>data!AE85</f>
        <v>1033855</v>
      </c>
      <c r="D43" s="275">
        <f>'Prior Year'!AE60</f>
        <v>15001</v>
      </c>
      <c r="E43" s="1">
        <f>data!AE59</f>
        <v>14825</v>
      </c>
      <c r="F43" s="238">
        <f t="shared" si="0"/>
        <v>67.697924805013002</v>
      </c>
      <c r="G43" s="238">
        <f t="shared" si="5"/>
        <v>69.737268128161887</v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5">
        <f>'Prior Year'!AG86</f>
        <v>8256680.2599999998</v>
      </c>
      <c r="C45" s="275">
        <f>data!AG85</f>
        <v>9812827</v>
      </c>
      <c r="D45" s="275">
        <f>'Prior Year'!AG60</f>
        <v>21199</v>
      </c>
      <c r="E45" s="1">
        <f>data!AG59</f>
        <v>24304</v>
      </c>
      <c r="F45" s="238">
        <f t="shared" si="0"/>
        <v>389.48442190669368</v>
      </c>
      <c r="G45" s="238">
        <f t="shared" si="5"/>
        <v>403.75357965766955</v>
      </c>
      <c r="H45" s="6" t="str">
        <f t="shared" si="2"/>
        <v/>
      </c>
      <c r="I45" s="275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5">
        <f>'Prior Year'!AH86</f>
        <v>389065.17000000004</v>
      </c>
      <c r="C46" s="275">
        <f>data!AH85</f>
        <v>207018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5">
        <f>'Prior Year'!AI86</f>
        <v>1625004.81</v>
      </c>
      <c r="C47" s="275">
        <f>data!AI85</f>
        <v>1586737</v>
      </c>
      <c r="D47" s="275">
        <f>'Prior Year'!AI60</f>
        <v>3533.72</v>
      </c>
      <c r="E47" s="1">
        <f>data!AI59</f>
        <v>9969</v>
      </c>
      <c r="F47" s="238">
        <f t="shared" si="0"/>
        <v>459.85669775760391</v>
      </c>
      <c r="G47" s="238">
        <f t="shared" si="5"/>
        <v>159.1671180660046</v>
      </c>
      <c r="H47" s="6">
        <f t="shared" si="2"/>
        <v>-0.65387669932361514</v>
      </c>
      <c r="I47" s="275" t="str">
        <f t="shared" ref="I47:I78" si="6">IF(H47&gt;ABS(25%),"Please provide explanation for the fluctuation noted here","")</f>
        <v/>
      </c>
      <c r="M47" s="7"/>
    </row>
    <row r="48" spans="1:13" x14ac:dyDescent="0.35">
      <c r="A48" s="1" t="s">
        <v>742</v>
      </c>
      <c r="B48" s="275">
        <f>'Prior Year'!AJ86</f>
        <v>22786260.080000002</v>
      </c>
      <c r="C48" s="275">
        <f>data!AJ85</f>
        <v>24429663</v>
      </c>
      <c r="D48" s="275">
        <f>'Prior Year'!AJ60</f>
        <v>58792</v>
      </c>
      <c r="E48" s="1">
        <f>data!AJ59</f>
        <v>68346</v>
      </c>
      <c r="F48" s="238">
        <f t="shared" si="0"/>
        <v>387.57416111035519</v>
      </c>
      <c r="G48" s="238">
        <f t="shared" si="5"/>
        <v>357.44100605741374</v>
      </c>
      <c r="H48" s="6" t="str">
        <f t="shared" si="2"/>
        <v/>
      </c>
      <c r="I48" s="275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5">
        <f>'Prior Year'!AK86</f>
        <v>2710388.28</v>
      </c>
      <c r="C49" s="275">
        <f>data!AK85</f>
        <v>2665907</v>
      </c>
      <c r="D49" s="275">
        <f>'Prior Year'!AK60</f>
        <v>7685</v>
      </c>
      <c r="E49" s="1">
        <f>data!AK59</f>
        <v>9790</v>
      </c>
      <c r="F49" s="238">
        <f t="shared" si="0"/>
        <v>352.68552765126867</v>
      </c>
      <c r="G49" s="238">
        <f t="shared" si="5"/>
        <v>272.30919305413687</v>
      </c>
      <c r="H49" s="6" t="str">
        <f t="shared" si="2"/>
        <v/>
      </c>
      <c r="I49" s="275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5">
        <f>'Prior Year'!AL86</f>
        <v>18584</v>
      </c>
      <c r="C50" s="275">
        <f>data!AL85</f>
        <v>95207</v>
      </c>
      <c r="D50" s="275">
        <f>'Prior Year'!AL60</f>
        <v>50</v>
      </c>
      <c r="E50" s="1">
        <f>data!AL59</f>
        <v>1150</v>
      </c>
      <c r="F50" s="238">
        <f t="shared" si="0"/>
        <v>371.68</v>
      </c>
      <c r="G50" s="238">
        <f t="shared" si="5"/>
        <v>82.788695652173914</v>
      </c>
      <c r="H50" s="6">
        <f t="shared" si="2"/>
        <v>-0.77725813696681578</v>
      </c>
      <c r="I50" s="275" t="str">
        <f t="shared" si="6"/>
        <v/>
      </c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5">
        <f>'Prior Year'!AP86</f>
        <v>1975262.75</v>
      </c>
      <c r="C54" s="275">
        <f>data!AP85</f>
        <v>2005560</v>
      </c>
      <c r="D54" s="275">
        <f>'Prior Year'!AP60</f>
        <v>6877</v>
      </c>
      <c r="E54" s="1">
        <f>data!AP59</f>
        <v>6745</v>
      </c>
      <c r="F54" s="238">
        <f t="shared" si="0"/>
        <v>287.22738839610292</v>
      </c>
      <c r="G54" s="238">
        <f t="shared" si="5"/>
        <v>297.34025203854708</v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5">
        <f>'Prior Year'!AV86</f>
        <v>219766.58</v>
      </c>
      <c r="C60" s="275">
        <f>data!AV85</f>
        <v>220430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35">
      <c r="A63" s="1" t="s">
        <v>757</v>
      </c>
      <c r="B63" s="275">
        <f>'Prior Year'!AY86</f>
        <v>1951672.9</v>
      </c>
      <c r="C63" s="275">
        <f>data!AY85</f>
        <v>2106433</v>
      </c>
      <c r="D63" s="275">
        <f>'Prior Year'!AY60</f>
        <v>29354</v>
      </c>
      <c r="E63" s="1">
        <f>data!AY59</f>
        <v>30433</v>
      </c>
      <c r="F63" s="238">
        <f>IF(B63=0,"",IF(D63=0,"",B63/D63))</f>
        <v>66.487459971383799</v>
      </c>
      <c r="G63" s="238">
        <f t="shared" si="5"/>
        <v>69.215424046265568</v>
      </c>
      <c r="H63" s="6" t="str">
        <f>IF(B63=0,"",IF(C63=0,"",IF(D63=0,"",IF(E63=0,"",IF(G63/F63-1&lt;-0.25,G63/F63-1,IF(G63/F63-1&gt;0.25,G63/F63-1,""))))))</f>
        <v/>
      </c>
      <c r="I63" s="275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5">
        <f>'Prior Year'!AZ86</f>
        <v>0</v>
      </c>
      <c r="C64" s="275">
        <f>data!AZ85</f>
        <v>0</v>
      </c>
      <c r="D64" s="275">
        <f>'Prior Year'!AZ60</f>
        <v>78725</v>
      </c>
      <c r="E64" s="1">
        <f>data!AZ59</f>
        <v>82996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5">
        <f>'Prior Year'!BA86</f>
        <v>18747</v>
      </c>
      <c r="C65" s="275">
        <f>data!BA85</f>
        <v>21349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5">
        <f>'Prior Year'!BB86</f>
        <v>954508.58</v>
      </c>
      <c r="C66" s="275">
        <f>data!BB85</f>
        <v>852792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35">
      <c r="A67" s="1" t="s">
        <v>761</v>
      </c>
      <c r="B67" s="275">
        <f>'Prior Year'!BC86</f>
        <v>0</v>
      </c>
      <c r="C67" s="275">
        <f>data!BC85</f>
        <v>0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35">
      <c r="A68" s="1" t="s">
        <v>762</v>
      </c>
      <c r="B68" s="275">
        <f>'Prior Year'!BD86</f>
        <v>1070725.71</v>
      </c>
      <c r="C68" s="275">
        <f>data!BD85</f>
        <v>996494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35">
      <c r="A69" s="1" t="s">
        <v>763</v>
      </c>
      <c r="B69" s="275">
        <f>'Prior Year'!BE86</f>
        <v>3707841.16</v>
      </c>
      <c r="C69" s="275">
        <f>data!BE85</f>
        <v>4155514</v>
      </c>
      <c r="D69" s="275">
        <f>'Prior Year'!BE60</f>
        <v>237316.0816</v>
      </c>
      <c r="E69" s="1">
        <f>data!BE59</f>
        <v>237076.0816</v>
      </c>
      <c r="F69" s="238">
        <f>IF(B69=0,"",IF(D69=0,"",B69/D69))</f>
        <v>15.62406194726249</v>
      </c>
      <c r="G69" s="238">
        <f t="shared" si="5"/>
        <v>17.528187457608123</v>
      </c>
      <c r="H69" s="6" t="str">
        <f>IF(B69=0,"",IF(C69=0,"",IF(D69=0,"",IF(E69=0,"",IF(G69/F69-1&lt;-0.25,G69/F69-1,IF(G69/F69-1&gt;0.25,G69/F69-1,""))))))</f>
        <v/>
      </c>
      <c r="I69" s="275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5">
        <f>'Prior Year'!BF86</f>
        <v>2865644.2800000003</v>
      </c>
      <c r="C70" s="275">
        <f>data!BF85</f>
        <v>2931603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5">
        <f>'Prior Year'!BG86</f>
        <v>0</v>
      </c>
      <c r="C71" s="275">
        <f>data!BG85</f>
        <v>0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5">
        <f>'Prior Year'!BH86</f>
        <v>3671639.92</v>
      </c>
      <c r="C72" s="275">
        <f>data!BH85</f>
        <v>4012185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5">
        <f>'Prior Year'!BJ86</f>
        <v>909789.07</v>
      </c>
      <c r="C74" s="275">
        <f>data!BJ85</f>
        <v>1120528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5">
        <f>'Prior Year'!BK86</f>
        <v>2583827.4900000002</v>
      </c>
      <c r="C75" s="275">
        <f>data!BK85</f>
        <v>2787513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5">
        <f>'Prior Year'!BL86</f>
        <v>1242938.06</v>
      </c>
      <c r="C76" s="275">
        <f>data!BL85</f>
        <v>1085560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5">
        <f>'Prior Year'!BM86</f>
        <v>79657.509999999995</v>
      </c>
      <c r="C77" s="275">
        <f>data!BM85</f>
        <v>63878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5">
        <f>'Prior Year'!BN86</f>
        <v>3158655.27</v>
      </c>
      <c r="C78" s="275">
        <f>data!BN85</f>
        <v>4159307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5">
        <f>'Prior Year'!BO86</f>
        <v>194340.96</v>
      </c>
      <c r="C79" s="275">
        <f>data!BO85</f>
        <v>204289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5">
        <f>'Prior Year'!BP86</f>
        <v>1199545.3400000001</v>
      </c>
      <c r="C80" s="275">
        <f>data!BP85</f>
        <v>1633319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5">
        <f>'Prior Year'!BR86</f>
        <v>1910543.8</v>
      </c>
      <c r="C82" s="275">
        <f>data!BR85</f>
        <v>1828619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5">
        <f>'Prior Year'!BS86</f>
        <v>27881.37</v>
      </c>
      <c r="C83" s="275">
        <f>data!BS85</f>
        <v>31573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5">
        <f>'Prior Year'!BV86</f>
        <v>2218649.8600000003</v>
      </c>
      <c r="C86" s="275">
        <f>data!BV85</f>
        <v>2117635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5">
        <f>'Prior Year'!BW86</f>
        <v>289821.65000000002</v>
      </c>
      <c r="C87" s="275">
        <f>data!BW85</f>
        <v>331700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5">
        <f>'Prior Year'!BX86</f>
        <v>0</v>
      </c>
      <c r="C88" s="275">
        <f>data!BX85</f>
        <v>0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5">
        <f>'Prior Year'!BY86</f>
        <v>2051450.34</v>
      </c>
      <c r="C89" s="275">
        <f>data!BY85</f>
        <v>1999723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5">
        <f>'Prior Year'!BZ86</f>
        <v>365816</v>
      </c>
      <c r="C90" s="275">
        <f>data!BZ85</f>
        <v>276972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5">
        <f>'Prior Year'!CA86</f>
        <v>641991.57000000007</v>
      </c>
      <c r="C91" s="275">
        <f>data!CA85</f>
        <v>888505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5">
        <f>'Prior Year'!CB86</f>
        <v>3094.05</v>
      </c>
      <c r="C92" s="275">
        <f>data!CB85</f>
        <v>15102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>IF(H92&gt;ABS(25%),"Please provide explanation for the fluctuation noted here","")</f>
        <v>Please provide explanation for the fluctuation noted here</v>
      </c>
      <c r="M92" s="7"/>
    </row>
    <row r="93" spans="1:13" x14ac:dyDescent="0.35">
      <c r="A93" s="1" t="s">
        <v>787</v>
      </c>
      <c r="B93" s="275">
        <f>'Prior Year'!CC86</f>
        <v>1049824.8599999999</v>
      </c>
      <c r="C93" s="275">
        <f>data!CC85</f>
        <v>2041297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5">
        <f>'Prior Year'!CD86</f>
        <v>1240241</v>
      </c>
      <c r="C94" s="275">
        <f>data!CD85</f>
        <v>0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theme="0" tint="-0.249977111117893"/>
  </sheetPr>
  <dimension ref="A1:D35"/>
  <sheetViews>
    <sheetView workbookViewId="0"/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26" t="s">
        <v>1348</v>
      </c>
    </row>
    <row r="3" spans="1:4" x14ac:dyDescent="0.35">
      <c r="A3" s="11" t="s">
        <v>789</v>
      </c>
    </row>
    <row r="4" spans="1:4" x14ac:dyDescent="0.35">
      <c r="A4" s="324" t="s">
        <v>1346</v>
      </c>
    </row>
    <row r="5" spans="1:4" x14ac:dyDescent="0.35">
      <c r="A5" s="325" t="s">
        <v>1344</v>
      </c>
    </row>
    <row r="6" spans="1:4" x14ac:dyDescent="0.35">
      <c r="A6" s="323"/>
    </row>
    <row r="7" spans="1:4" x14ac:dyDescent="0.35">
      <c r="A7" s="324" t="s">
        <v>1347</v>
      </c>
    </row>
    <row r="8" spans="1:4" x14ac:dyDescent="0.35">
      <c r="A8" s="325" t="s">
        <v>1345</v>
      </c>
    </row>
    <row r="11" spans="1:4" x14ac:dyDescent="0.35">
      <c r="A11" s="13" t="s">
        <v>790</v>
      </c>
      <c r="D11" s="276">
        <f>data!C380</f>
        <v>1400414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141144</v>
      </c>
    </row>
    <row r="26" spans="1:4" x14ac:dyDescent="0.35">
      <c r="A26" s="13" t="s">
        <v>791</v>
      </c>
      <c r="D26" s="277" t="str">
        <f>IF(OR(data!C414&gt;1000000,data!C414/(data!D416)&gt;0.01),"Yes","No")</f>
        <v>No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topLeftCell="A25"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H-78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Samaritan Hospital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98837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Grant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Theresa Sullivan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Alexander Town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509-793-9601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509-764-3242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 xml:space="preserve"> X</v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3002</v>
      </c>
      <c r="G23" s="81">
        <f>data!D127</f>
        <v>10969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985</v>
      </c>
      <c r="G26" s="81">
        <f>data!D130</f>
        <v>1431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23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12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0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11</v>
      </c>
      <c r="E34" s="78" t="s">
        <v>324</v>
      </c>
      <c r="F34" s="81"/>
      <c r="G34" s="81">
        <f>data!E143</f>
        <v>46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50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11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Samaritan Hospital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1004.6839076820689</v>
      </c>
      <c r="C7" s="141">
        <f>data!B155</f>
        <v>5079.772042028324</v>
      </c>
      <c r="D7" s="141">
        <f>data!B156</f>
        <v>0</v>
      </c>
      <c r="E7" s="141">
        <f>data!B157</f>
        <v>60547711.75</v>
      </c>
      <c r="F7" s="141">
        <f>data!B158</f>
        <v>80703382.660000011</v>
      </c>
      <c r="G7" s="141">
        <f>data!B157+data!B158</f>
        <v>141251094.41000003</v>
      </c>
    </row>
    <row r="8" spans="1:7" ht="20.149999999999999" customHeight="1" x14ac:dyDescent="0.35">
      <c r="A8" s="77" t="s">
        <v>331</v>
      </c>
      <c r="B8" s="141">
        <f>data!C154</f>
        <v>1055.5655845661322</v>
      </c>
      <c r="C8" s="141">
        <f>data!C155</f>
        <v>2397.3687280472195</v>
      </c>
      <c r="D8" s="141">
        <f>data!C156</f>
        <v>0</v>
      </c>
      <c r="E8" s="141">
        <f>data!C157</f>
        <v>40130924.270000003</v>
      </c>
      <c r="F8" s="141">
        <f>data!C158</f>
        <v>78082902.489999995</v>
      </c>
      <c r="G8" s="141">
        <f>data!C157+data!C158</f>
        <v>118213826.75999999</v>
      </c>
    </row>
    <row r="9" spans="1:7" ht="20.149999999999999" customHeight="1" x14ac:dyDescent="0.35">
      <c r="A9" s="77" t="s">
        <v>829</v>
      </c>
      <c r="B9" s="141">
        <f>data!D154</f>
        <v>941.75050775179909</v>
      </c>
      <c r="C9" s="141">
        <f>data!D155</f>
        <v>3267.8592299244569</v>
      </c>
      <c r="D9" s="141">
        <f>data!D156</f>
        <v>0</v>
      </c>
      <c r="E9" s="141">
        <f>data!D157</f>
        <v>35732763.529999979</v>
      </c>
      <c r="F9" s="141">
        <f>data!D158</f>
        <v>97578625.909999982</v>
      </c>
      <c r="G9" s="141">
        <f>data!D157+data!D158</f>
        <v>133311389.43999997</v>
      </c>
    </row>
    <row r="10" spans="1:7" ht="20.149999999999999" customHeight="1" x14ac:dyDescent="0.35">
      <c r="A10" s="92" t="s">
        <v>215</v>
      </c>
      <c r="B10" s="141">
        <f>data!E154</f>
        <v>3002</v>
      </c>
      <c r="C10" s="141">
        <f>data!E155</f>
        <v>10745</v>
      </c>
      <c r="D10" s="141">
        <f>data!E156</f>
        <v>0</v>
      </c>
      <c r="E10" s="141">
        <f>data!E157</f>
        <v>136411399.54999998</v>
      </c>
      <c r="F10" s="141">
        <f>data!E158</f>
        <v>256364911.06</v>
      </c>
      <c r="G10" s="141">
        <f>E10+F10</f>
        <v>392776310.61000001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Samaritan Hospital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3926071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112721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549343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10239705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198802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3580996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1503091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20110729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105492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430659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536151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1105986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287763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1393749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0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0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0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314822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314822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topLeftCell="A3" workbookViewId="0">
      <selection activeCell="E12" sqref="E12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Samaritan Hospital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10642078.460000001</v>
      </c>
      <c r="D7" s="81">
        <f>data!C211</f>
        <v>0</v>
      </c>
      <c r="E7" s="81">
        <f>data!D211</f>
        <v>0</v>
      </c>
      <c r="F7" s="81">
        <f>data!E211</f>
        <v>10642078.460000001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555844.31000000006</v>
      </c>
      <c r="D8" s="81">
        <f>data!C212</f>
        <v>0</v>
      </c>
      <c r="E8" s="81">
        <f>data!D212</f>
        <v>0</v>
      </c>
      <c r="F8" s="81">
        <f>data!E212</f>
        <v>555844.31000000006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66316453.049999997</v>
      </c>
      <c r="D9" s="81">
        <f>data!C213</f>
        <v>2783546</v>
      </c>
      <c r="E9" s="81">
        <f>data!D213</f>
        <v>0</v>
      </c>
      <c r="F9" s="81">
        <f>data!E213</f>
        <v>69099999.049999997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3857273.35</v>
      </c>
      <c r="D10" s="81">
        <f>data!C214</f>
        <v>0</v>
      </c>
      <c r="E10" s="81">
        <f>data!D214</f>
        <v>0</v>
      </c>
      <c r="F10" s="81">
        <f>data!E214</f>
        <v>3857273.35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314675.14</v>
      </c>
      <c r="D11" s="81">
        <f>data!C215</f>
        <v>0</v>
      </c>
      <c r="E11" s="81">
        <f>data!D215</f>
        <v>0</v>
      </c>
      <c r="F11" s="81">
        <f>data!E215</f>
        <v>314675.14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47445314.770000003</v>
      </c>
      <c r="D12" s="81">
        <f>data!C216</f>
        <v>1509198.89</v>
      </c>
      <c r="E12" s="81">
        <f>data!D216</f>
        <v>243416.96000000002</v>
      </c>
      <c r="F12" s="81">
        <f>data!E216</f>
        <v>48711096.700000003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7398317.1000000006</v>
      </c>
      <c r="D15" s="81">
        <f>data!C219</f>
        <v>8516318</v>
      </c>
      <c r="E15" s="81">
        <f>data!D219</f>
        <v>2783220</v>
      </c>
      <c r="F15" s="81">
        <f>data!E219</f>
        <v>13131415.100000001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136529956.17999998</v>
      </c>
      <c r="D16" s="81">
        <f>data!C220</f>
        <v>12809062.890000001</v>
      </c>
      <c r="E16" s="81">
        <f>data!D220</f>
        <v>3026636.96</v>
      </c>
      <c r="F16" s="81">
        <f>data!E220</f>
        <v>146312382.10999998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442872.82</v>
      </c>
      <c r="D24" s="81">
        <f>data!C225</f>
        <v>43733.48</v>
      </c>
      <c r="E24" s="81">
        <f>data!D225</f>
        <v>0</v>
      </c>
      <c r="F24" s="81">
        <f>data!E225</f>
        <v>486606.3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43265395.32</v>
      </c>
      <c r="D25" s="81">
        <f>data!C226</f>
        <v>2739930.78</v>
      </c>
      <c r="E25" s="81">
        <f>data!D226</f>
        <v>0</v>
      </c>
      <c r="F25" s="81">
        <f>data!E226</f>
        <v>46005326.100000001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2494524.06</v>
      </c>
      <c r="D26" s="81">
        <f>data!C227</f>
        <v>274904.01</v>
      </c>
      <c r="E26" s="81">
        <f>data!D227</f>
        <v>0</v>
      </c>
      <c r="F26" s="81">
        <f>data!E227</f>
        <v>2769428.0700000003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32266094.100000001</v>
      </c>
      <c r="D28" s="81">
        <f>data!C229</f>
        <v>3226991.82</v>
      </c>
      <c r="E28" s="81">
        <f>data!D229</f>
        <v>240669.19</v>
      </c>
      <c r="F28" s="81">
        <f>data!E229</f>
        <v>35252416.730000004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78468886.300000012</v>
      </c>
      <c r="D32" s="81">
        <f>data!C233</f>
        <v>6285560.0899999999</v>
      </c>
      <c r="E32" s="81">
        <f>data!D233</f>
        <v>240669.19</v>
      </c>
      <c r="F32" s="81">
        <f>data!E233</f>
        <v>84513777.200000003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Samaritan Hospital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4331658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98606290.299999997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95748664.870000005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3975198.66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11406677.33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0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44464626.829999983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254201457.99000001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0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2994726.69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0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2994726.69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-2170305.2000000002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-2170305.2000000002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2023-06-08T20:35:21Z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