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3510C53C-26E5-4808-A00B-E0C53E36EE93}" xr6:coauthVersionLast="47" xr6:coauthVersionMax="47" xr10:uidLastSave="{00000000-0000-0000-0000-000000000000}"/>
  <workbookProtection workbookAlgorithmName="SHA-512" workbookHashValue="zBfTjZ45S7L6jPodhkKnWDpIuX+swR4xf4K+IS/bNfGXgDL25x3o1dE/6qFHyVS9iCi/hLiY4cUWOBzuyyLobg==" workbookSaltValue="DnhIaFkujC8A65Dgh4w5QQ==" workbookSpinCount="100000" lockStructure="1"/>
  <bookViews>
    <workbookView xWindow="-193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G16" i="32" l="1"/>
  <c r="G18" i="32"/>
  <c r="G20" i="32"/>
  <c r="D116" i="32" l="1"/>
  <c r="C199" i="24" l="1"/>
  <c r="C414" i="24"/>
  <c r="C390" i="24"/>
  <c r="C418" i="24"/>
  <c r="C362" i="24"/>
  <c r="C334" i="24"/>
  <c r="D28" i="6" l="1"/>
  <c r="E28" i="6"/>
  <c r="E87" i="24" l="1"/>
  <c r="AO59" i="24" l="1"/>
  <c r="D161" i="24"/>
  <c r="D155" i="24"/>
  <c r="D160" i="24"/>
  <c r="D9" i="3"/>
  <c r="D8" i="3"/>
  <c r="D7" i="3"/>
  <c r="D6" i="3"/>
  <c r="G17" i="5" l="1"/>
  <c r="G18" i="5"/>
  <c r="G19" i="5"/>
  <c r="G17" i="6"/>
  <c r="G18" i="6"/>
  <c r="G19" i="6"/>
  <c r="G17" i="7"/>
  <c r="G18" i="7"/>
  <c r="G19" i="7"/>
  <c r="G17" i="8"/>
  <c r="G18" i="8"/>
  <c r="G19" i="8"/>
  <c r="G16" i="5"/>
  <c r="G16" i="7"/>
  <c r="G16" i="8"/>
  <c r="E21" i="27"/>
  <c r="E20" i="27"/>
  <c r="E219" i="24" l="1"/>
  <c r="F15" i="6" s="1"/>
  <c r="E211" i="24"/>
  <c r="E212" i="24"/>
  <c r="E213" i="24"/>
  <c r="F9" i="6" s="1"/>
  <c r="E214" i="24"/>
  <c r="F10" i="6" s="1"/>
  <c r="E215" i="24"/>
  <c r="F11" i="6" s="1"/>
  <c r="E218" i="24"/>
  <c r="F14" i="6" s="1"/>
  <c r="E216" i="24"/>
  <c r="F12" i="6" s="1"/>
  <c r="BY66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D186" i="32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F20" i="32"/>
  <c r="E20" i="32"/>
  <c r="D20" i="32"/>
  <c r="C20" i="32"/>
  <c r="I18" i="32"/>
  <c r="H18" i="32"/>
  <c r="F18" i="32"/>
  <c r="E18" i="32"/>
  <c r="D18" i="32"/>
  <c r="C18" i="32"/>
  <c r="I16" i="32"/>
  <c r="H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8" i="4"/>
  <c r="E18" i="4"/>
  <c r="D18" i="4"/>
  <c r="C18" i="4"/>
  <c r="B18" i="4"/>
  <c r="F17" i="4"/>
  <c r="E17" i="4"/>
  <c r="G17" i="4" s="1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9" i="27"/>
  <c r="E18" i="27"/>
  <c r="E17" i="27"/>
  <c r="D415" i="24"/>
  <c r="CP2" i="30" s="1"/>
  <c r="D381" i="24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C364" i="24" s="1"/>
  <c r="BO2" i="30" s="1"/>
  <c r="D245" i="24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7" i="24"/>
  <c r="F13" i="6" s="1"/>
  <c r="F8" i="6"/>
  <c r="F7" i="6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G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G19" i="32" s="1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G16" i="4" l="1"/>
  <c r="E371" i="32"/>
  <c r="CD85" i="24"/>
  <c r="G18" i="4"/>
  <c r="D13" i="7"/>
  <c r="C363" i="24"/>
  <c r="E58" i="32"/>
  <c r="G26" i="32"/>
  <c r="AE38" i="31"/>
  <c r="H90" i="32"/>
  <c r="I90" i="32"/>
  <c r="AU48" i="24"/>
  <c r="AU62" i="24" s="1"/>
  <c r="G48" i="24"/>
  <c r="G62" i="24" s="1"/>
  <c r="W48" i="24"/>
  <c r="W62" i="24" s="1"/>
  <c r="BK48" i="24"/>
  <c r="BK62" i="24" s="1"/>
  <c r="G268" i="32" s="1"/>
  <c r="H48" i="24"/>
  <c r="H62" i="24" s="1"/>
  <c r="P48" i="24"/>
  <c r="P62" i="24" s="1"/>
  <c r="X48" i="24"/>
  <c r="X62" i="24" s="1"/>
  <c r="AF48" i="24"/>
  <c r="AF62" i="24" s="1"/>
  <c r="AN48" i="24"/>
  <c r="AN62" i="24" s="1"/>
  <c r="AV48" i="24"/>
  <c r="AV62" i="24" s="1"/>
  <c r="BD48" i="24"/>
  <c r="BD62" i="24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BS48" i="24"/>
  <c r="BS62" i="24" s="1"/>
  <c r="H70" i="31" s="1"/>
  <c r="Q48" i="24"/>
  <c r="Q62" i="24" s="1"/>
  <c r="AO48" i="24"/>
  <c r="AO62" i="24" s="1"/>
  <c r="AW48" i="24"/>
  <c r="AW62" i="24" s="1"/>
  <c r="J48" i="24"/>
  <c r="J62" i="24" s="1"/>
  <c r="R48" i="24"/>
  <c r="R62" i="24" s="1"/>
  <c r="Z48" i="24"/>
  <c r="Z62" i="24" s="1"/>
  <c r="AH48" i="24"/>
  <c r="AH62" i="24" s="1"/>
  <c r="AP48" i="24"/>
  <c r="AP62" i="24" s="1"/>
  <c r="AX48" i="24"/>
  <c r="AX62" i="24" s="1"/>
  <c r="BF48" i="24"/>
  <c r="BF62" i="24" s="1"/>
  <c r="BN48" i="24"/>
  <c r="BN62" i="24" s="1"/>
  <c r="BV48" i="24"/>
  <c r="BV62" i="24" s="1"/>
  <c r="CD48" i="24"/>
  <c r="O48" i="24"/>
  <c r="O62" i="24" s="1"/>
  <c r="BC48" i="24"/>
  <c r="BC62" i="24" s="1"/>
  <c r="CA48" i="24"/>
  <c r="CA62" i="24" s="1"/>
  <c r="I332" i="32" s="1"/>
  <c r="AG48" i="24"/>
  <c r="AG62" i="24" s="1"/>
  <c r="CC48" i="24"/>
  <c r="CC62" i="24" s="1"/>
  <c r="H80" i="31" s="1"/>
  <c r="C48" i="24"/>
  <c r="C62" i="24" s="1"/>
  <c r="K48" i="24"/>
  <c r="K62" i="24" s="1"/>
  <c r="S48" i="24"/>
  <c r="S62" i="24" s="1"/>
  <c r="AA48" i="24"/>
  <c r="AA62" i="24" s="1"/>
  <c r="AI48" i="24"/>
  <c r="AI62" i="24" s="1"/>
  <c r="AQ48" i="24"/>
  <c r="AQ62" i="24" s="1"/>
  <c r="AY48" i="24"/>
  <c r="AY62" i="24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BU48" i="24"/>
  <c r="BU62" i="24" s="1"/>
  <c r="C332" i="32" s="1"/>
  <c r="D48" i="24"/>
  <c r="D62" i="24" s="1"/>
  <c r="L48" i="24"/>
  <c r="L62" i="24" s="1"/>
  <c r="T48" i="24"/>
  <c r="T62" i="24" s="1"/>
  <c r="AB48" i="24"/>
  <c r="AB62" i="24" s="1"/>
  <c r="AJ48" i="24"/>
  <c r="AJ62" i="24" s="1"/>
  <c r="H35" i="31" s="1"/>
  <c r="AR48" i="24"/>
  <c r="AR62" i="24" s="1"/>
  <c r="AZ48" i="24"/>
  <c r="AZ62" i="24" s="1"/>
  <c r="BH48" i="24"/>
  <c r="BH62" i="24" s="1"/>
  <c r="BP48" i="24"/>
  <c r="BP62" i="24" s="1"/>
  <c r="H67" i="31" s="1"/>
  <c r="BX48" i="24"/>
  <c r="BX62" i="24" s="1"/>
  <c r="H75" i="31" s="1"/>
  <c r="AE48" i="24"/>
  <c r="AE62" i="24" s="1"/>
  <c r="BM48" i="24"/>
  <c r="BM62" i="24" s="1"/>
  <c r="H64" i="31" s="1"/>
  <c r="E48" i="24"/>
  <c r="E62" i="24" s="1"/>
  <c r="M48" i="24"/>
  <c r="M62" i="24" s="1"/>
  <c r="U48" i="24"/>
  <c r="U62" i="24" s="1"/>
  <c r="AC48" i="24"/>
  <c r="AC62" i="24" s="1"/>
  <c r="AK48" i="24"/>
  <c r="AK62" i="24" s="1"/>
  <c r="AS48" i="24"/>
  <c r="AS62" i="24" s="1"/>
  <c r="BA48" i="24"/>
  <c r="BA62" i="24" s="1"/>
  <c r="BI48" i="24"/>
  <c r="BI62" i="24" s="1"/>
  <c r="H60" i="31" s="1"/>
  <c r="BQ48" i="24"/>
  <c r="BQ62" i="24" s="1"/>
  <c r="H68" i="31" s="1"/>
  <c r="BY48" i="24"/>
  <c r="BY62" i="24" s="1"/>
  <c r="Y48" i="24"/>
  <c r="Y62" i="24" s="1"/>
  <c r="BE48" i="24"/>
  <c r="BE62" i="24" s="1"/>
  <c r="F48" i="24"/>
  <c r="F62" i="24" s="1"/>
  <c r="N48" i="24"/>
  <c r="N62" i="24" s="1"/>
  <c r="V48" i="24"/>
  <c r="V62" i="24" s="1"/>
  <c r="AD48" i="24"/>
  <c r="AD62" i="24" s="1"/>
  <c r="AL48" i="24"/>
  <c r="AL62" i="24" s="1"/>
  <c r="AT48" i="24"/>
  <c r="AT62" i="24" s="1"/>
  <c r="BB48" i="24"/>
  <c r="BB62" i="24" s="1"/>
  <c r="BJ48" i="24"/>
  <c r="BJ62" i="24" s="1"/>
  <c r="BR48" i="24"/>
  <c r="BR62" i="24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1" i="31"/>
  <c r="E32" i="6"/>
  <c r="O6" i="31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AC49" i="25"/>
  <c r="AC63" i="25" s="1"/>
  <c r="E234" i="25"/>
  <c r="CE70" i="25"/>
  <c r="D342" i="25"/>
  <c r="D351" i="25" s="1"/>
  <c r="H9" i="31" l="1"/>
  <c r="G204" i="32"/>
  <c r="F172" i="32"/>
  <c r="H21" i="31"/>
  <c r="V85" i="24"/>
  <c r="H52" i="31"/>
  <c r="H30" i="31"/>
  <c r="H19" i="31"/>
  <c r="T85" i="24"/>
  <c r="I204" i="32"/>
  <c r="AY85" i="24"/>
  <c r="H32" i="31"/>
  <c r="H204" i="32"/>
  <c r="H16" i="31"/>
  <c r="Q85" i="24"/>
  <c r="E172" i="32"/>
  <c r="H46" i="31"/>
  <c r="H76" i="31"/>
  <c r="H43" i="31"/>
  <c r="D332" i="32"/>
  <c r="BV85" i="24"/>
  <c r="H4" i="31"/>
  <c r="H65" i="31"/>
  <c r="H27" i="31"/>
  <c r="H57" i="31"/>
  <c r="BF85" i="24"/>
  <c r="H31" i="31"/>
  <c r="H69" i="31"/>
  <c r="H5" i="31"/>
  <c r="F85" i="24"/>
  <c r="H36" i="31"/>
  <c r="AK85" i="24"/>
  <c r="H3" i="31"/>
  <c r="H34" i="31"/>
  <c r="H54" i="31"/>
  <c r="BC85" i="24"/>
  <c r="H33" i="31"/>
  <c r="H38" i="31"/>
  <c r="C108" i="32"/>
  <c r="X85" i="24"/>
  <c r="C172" i="32"/>
  <c r="AL85" i="24"/>
  <c r="G236" i="32"/>
  <c r="BD85" i="24"/>
  <c r="I108" i="32"/>
  <c r="G12" i="32"/>
  <c r="G44" i="32"/>
  <c r="N85" i="24"/>
  <c r="C204" i="32"/>
  <c r="AS85" i="24"/>
  <c r="H42" i="31"/>
  <c r="H41" i="31"/>
  <c r="H61" i="31"/>
  <c r="BJ85" i="24"/>
  <c r="H56" i="31"/>
  <c r="BE85" i="24"/>
  <c r="H108" i="32"/>
  <c r="H59" i="31"/>
  <c r="H26" i="31"/>
  <c r="H14" i="31"/>
  <c r="O85" i="24"/>
  <c r="E108" i="32"/>
  <c r="I44" i="32"/>
  <c r="H45" i="31"/>
  <c r="AT85" i="24"/>
  <c r="H12" i="31"/>
  <c r="M85" i="24"/>
  <c r="H10" i="31"/>
  <c r="H2" i="31"/>
  <c r="H22" i="31"/>
  <c r="W85" i="24"/>
  <c r="F204" i="32"/>
  <c r="AV85" i="24"/>
  <c r="C60" i="15" s="1"/>
  <c r="H53" i="31"/>
  <c r="H24" i="31"/>
  <c r="H20" i="31"/>
  <c r="C236" i="32"/>
  <c r="H8" i="31"/>
  <c r="H18" i="31"/>
  <c r="S85" i="24"/>
  <c r="H17" i="31"/>
  <c r="H12" i="32"/>
  <c r="E52" i="24"/>
  <c r="E67" i="24" s="1"/>
  <c r="E85" i="24" s="1"/>
  <c r="D366" i="24"/>
  <c r="BN2" i="30"/>
  <c r="C117" i="8"/>
  <c r="L52" i="24"/>
  <c r="L67" i="24" s="1"/>
  <c r="E49" i="32" s="1"/>
  <c r="BX52" i="24"/>
  <c r="BX67" i="24" s="1"/>
  <c r="F337" i="32" s="1"/>
  <c r="E236" i="32"/>
  <c r="H7" i="31"/>
  <c r="I76" i="32"/>
  <c r="D76" i="32"/>
  <c r="H62" i="31"/>
  <c r="H23" i="31"/>
  <c r="C44" i="32"/>
  <c r="I172" i="32"/>
  <c r="H39" i="31"/>
  <c r="H140" i="32"/>
  <c r="D44" i="32"/>
  <c r="H48" i="31"/>
  <c r="C12" i="32"/>
  <c r="G76" i="32"/>
  <c r="H51" i="31"/>
  <c r="H55" i="31"/>
  <c r="C300" i="32"/>
  <c r="D300" i="32"/>
  <c r="G332" i="32"/>
  <c r="F300" i="32"/>
  <c r="E12" i="32"/>
  <c r="D204" i="32"/>
  <c r="F44" i="32"/>
  <c r="H63" i="31"/>
  <c r="E332" i="32"/>
  <c r="H37" i="31"/>
  <c r="H73" i="31"/>
  <c r="E76" i="32"/>
  <c r="W86" i="25"/>
  <c r="C689" i="2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S53" i="25"/>
  <c r="BS68" i="25" s="1"/>
  <c r="BS86" i="25" s="1"/>
  <c r="W53" i="25"/>
  <c r="W68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C695" i="25" s="1"/>
  <c r="U53" i="25"/>
  <c r="U68" i="25" s="1"/>
  <c r="U86" i="25" s="1"/>
  <c r="M53" i="25"/>
  <c r="M68" i="25" s="1"/>
  <c r="M86" i="25" s="1"/>
  <c r="E53" i="25"/>
  <c r="E68" i="25" s="1"/>
  <c r="E86" i="25" s="1"/>
  <c r="C671" i="25" s="1"/>
  <c r="CA53" i="25"/>
  <c r="CA68" i="25" s="1"/>
  <c r="CA86" i="25" s="1"/>
  <c r="B91" i="15" s="1"/>
  <c r="G53" i="25"/>
  <c r="G68" i="25" s="1"/>
  <c r="G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M53" i="25"/>
  <c r="AM68" i="25" s="1"/>
  <c r="AM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C62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677" i="25" s="1"/>
  <c r="C53" i="25"/>
  <c r="BK53" i="25"/>
  <c r="BK68" i="25" s="1"/>
  <c r="BK86" i="25" s="1"/>
  <c r="O53" i="25"/>
  <c r="O68" i="25" s="1"/>
  <c r="O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AU53" i="25"/>
  <c r="AU68" i="25" s="1"/>
  <c r="AU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AE53" i="25"/>
  <c r="AE68" i="25" s="1"/>
  <c r="AE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BC53" i="25"/>
  <c r="BC68" i="25" s="1"/>
  <c r="BC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M4" i="3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AH52" i="24"/>
  <c r="AH67" i="24" s="1"/>
  <c r="AH85" i="24" s="1"/>
  <c r="I236" i="32"/>
  <c r="CE48" i="24"/>
  <c r="W52" i="24"/>
  <c r="W67" i="24" s="1"/>
  <c r="I81" i="32" s="1"/>
  <c r="AP52" i="24"/>
  <c r="AP67" i="24" s="1"/>
  <c r="AU52" i="24"/>
  <c r="AU67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BA85" i="24" s="1"/>
  <c r="AR52" i="24"/>
  <c r="AR67" i="24" s="1"/>
  <c r="AR85" i="24" s="1"/>
  <c r="BH52" i="24"/>
  <c r="BH67" i="24" s="1"/>
  <c r="BH85" i="24" s="1"/>
  <c r="AT52" i="24"/>
  <c r="AT67" i="24" s="1"/>
  <c r="AE52" i="24"/>
  <c r="AE67" i="24" s="1"/>
  <c r="AE85" i="24" s="1"/>
  <c r="I52" i="24"/>
  <c r="I67" i="24" s="1"/>
  <c r="I85" i="24" s="1"/>
  <c r="BU52" i="24"/>
  <c r="BU67" i="24" s="1"/>
  <c r="AX52" i="24"/>
  <c r="AX67" i="24" s="1"/>
  <c r="AX85" i="24" s="1"/>
  <c r="AA52" i="24"/>
  <c r="AA67" i="24" s="1"/>
  <c r="AA85" i="24" s="1"/>
  <c r="C50" i="8"/>
  <c r="D352" i="24"/>
  <c r="C103" i="8" s="1"/>
  <c r="AF52" i="24"/>
  <c r="AF67" i="24" s="1"/>
  <c r="AF85" i="24" s="1"/>
  <c r="BQ52" i="24"/>
  <c r="BQ67" i="24" s="1"/>
  <c r="AS52" i="24"/>
  <c r="AS67" i="24" s="1"/>
  <c r="U52" i="24"/>
  <c r="U67" i="24" s="1"/>
  <c r="U85" i="24" s="1"/>
  <c r="P52" i="24"/>
  <c r="P67" i="24" s="1"/>
  <c r="P85" i="24" s="1"/>
  <c r="BB52" i="24"/>
  <c r="BB67" i="24" s="1"/>
  <c r="BB85" i="24" s="1"/>
  <c r="AM52" i="24"/>
  <c r="AM67" i="24" s="1"/>
  <c r="AM85" i="24" s="1"/>
  <c r="Q52" i="24"/>
  <c r="Q67" i="24" s="1"/>
  <c r="CC52" i="24"/>
  <c r="CC67" i="24" s="1"/>
  <c r="BF52" i="24"/>
  <c r="BF67" i="24" s="1"/>
  <c r="AI52" i="24"/>
  <c r="AI67" i="24" s="1"/>
  <c r="AI85" i="24" s="1"/>
  <c r="M52" i="24"/>
  <c r="M67" i="24" s="1"/>
  <c r="AJ52" i="24"/>
  <c r="AJ67" i="24" s="1"/>
  <c r="AJ85" i="24" s="1"/>
  <c r="BY52" i="24"/>
  <c r="BY67" i="24" s="1"/>
  <c r="BY85" i="24" s="1"/>
  <c r="BD52" i="24"/>
  <c r="BD67" i="24" s="1"/>
  <c r="AK52" i="24"/>
  <c r="AK67" i="24" s="1"/>
  <c r="E373" i="32"/>
  <c r="C94" i="15"/>
  <c r="AZ52" i="24"/>
  <c r="AZ67" i="24" s="1"/>
  <c r="AZ85" i="24" s="1"/>
  <c r="BP52" i="24"/>
  <c r="BP67" i="24" s="1"/>
  <c r="C137" i="8"/>
  <c r="E380" i="24"/>
  <c r="F52" i="24"/>
  <c r="F67" i="24" s="1"/>
  <c r="BR52" i="24"/>
  <c r="BR67" i="24" s="1"/>
  <c r="BR85" i="24" s="1"/>
  <c r="BC52" i="24"/>
  <c r="BC67" i="24" s="1"/>
  <c r="AG52" i="24"/>
  <c r="AG67" i="24" s="1"/>
  <c r="AG85" i="24" s="1"/>
  <c r="J52" i="24"/>
  <c r="J67" i="24" s="1"/>
  <c r="J85" i="24" s="1"/>
  <c r="BV52" i="24"/>
  <c r="BV67" i="24" s="1"/>
  <c r="AY52" i="24"/>
  <c r="AY67" i="24" s="1"/>
  <c r="AN52" i="24"/>
  <c r="AN67" i="24" s="1"/>
  <c r="AN85" i="24" s="1"/>
  <c r="M23" i="31"/>
  <c r="C113" i="32"/>
  <c r="CE49" i="25"/>
  <c r="C63" i="25"/>
  <c r="Y52" i="24"/>
  <c r="Y67" i="24" s="1"/>
  <c r="Y85" i="24" s="1"/>
  <c r="BN52" i="24"/>
  <c r="BN67" i="24" s="1"/>
  <c r="BN85" i="24" s="1"/>
  <c r="AC52" i="24"/>
  <c r="AC67" i="24" s="1"/>
  <c r="AC85" i="24" s="1"/>
  <c r="D52" i="24"/>
  <c r="D67" i="24" s="1"/>
  <c r="D85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AO85" i="24" s="1"/>
  <c r="R52" i="24"/>
  <c r="R67" i="24" s="1"/>
  <c r="R85" i="24" s="1"/>
  <c r="CD52" i="24"/>
  <c r="BG52" i="24"/>
  <c r="BG67" i="24" s="1"/>
  <c r="AQ52" i="24"/>
  <c r="AQ67" i="24" s="1"/>
  <c r="AQ85" i="24" s="1"/>
  <c r="H52" i="24"/>
  <c r="H67" i="24" s="1"/>
  <c r="H85" i="24" s="1"/>
  <c r="T52" i="24"/>
  <c r="T67" i="24" s="1"/>
  <c r="V52" i="24"/>
  <c r="V67" i="24" s="1"/>
  <c r="G52" i="24"/>
  <c r="G67" i="24" s="1"/>
  <c r="G17" i="32" s="1"/>
  <c r="BS52" i="24"/>
  <c r="BS67" i="24" s="1"/>
  <c r="AW52" i="24"/>
  <c r="AW67" i="24" s="1"/>
  <c r="AW85" i="24" s="1"/>
  <c r="Z52" i="24"/>
  <c r="Z67" i="24" s="1"/>
  <c r="Z85" i="24" s="1"/>
  <c r="C52" i="24"/>
  <c r="BO52" i="24"/>
  <c r="BO67" i="24" s="1"/>
  <c r="C680" i="24" l="1"/>
  <c r="AB85" i="24"/>
  <c r="AP85" i="24"/>
  <c r="G181" i="32" s="1"/>
  <c r="G85" i="24"/>
  <c r="C699" i="24"/>
  <c r="C712" i="24"/>
  <c r="M75" i="31"/>
  <c r="AD85" i="24"/>
  <c r="AU85" i="24"/>
  <c r="BX85" i="24"/>
  <c r="L85" i="24"/>
  <c r="M11" i="31"/>
  <c r="C120" i="8"/>
  <c r="D367" i="24"/>
  <c r="M61" i="31"/>
  <c r="E85" i="32"/>
  <c r="E17" i="32"/>
  <c r="E21" i="32"/>
  <c r="B81" i="15"/>
  <c r="C624" i="25"/>
  <c r="C692" i="25"/>
  <c r="B38" i="15"/>
  <c r="F38" i="15" s="1"/>
  <c r="C705" i="25"/>
  <c r="B51" i="15"/>
  <c r="F51" i="15" s="1"/>
  <c r="C688" i="25"/>
  <c r="B34" i="15"/>
  <c r="F34" i="15" s="1"/>
  <c r="B35" i="15"/>
  <c r="F35" i="15" s="1"/>
  <c r="B54" i="15"/>
  <c r="F54" i="15" s="1"/>
  <c r="C697" i="25"/>
  <c r="B43" i="15"/>
  <c r="F43" i="15" s="1"/>
  <c r="C679" i="25"/>
  <c r="B25" i="15"/>
  <c r="H25" i="15" s="1"/>
  <c r="I25" i="15" s="1"/>
  <c r="B89" i="15"/>
  <c r="C646" i="25"/>
  <c r="B58" i="15"/>
  <c r="H58" i="15" s="1"/>
  <c r="I58" i="15" s="1"/>
  <c r="C712" i="25"/>
  <c r="C698" i="25"/>
  <c r="B44" i="15"/>
  <c r="F44" i="15" s="1"/>
  <c r="B21" i="15"/>
  <c r="C675" i="25"/>
  <c r="C642" i="25"/>
  <c r="B85" i="15"/>
  <c r="H85" i="15" s="1"/>
  <c r="I85" i="15" s="1"/>
  <c r="B62" i="15"/>
  <c r="C617" i="25"/>
  <c r="C644" i="25"/>
  <c r="B87" i="15"/>
  <c r="F87" i="15" s="1"/>
  <c r="C687" i="25"/>
  <c r="B33" i="15"/>
  <c r="F33" i="15" s="1"/>
  <c r="C633" i="25"/>
  <c r="B66" i="15"/>
  <c r="C710" i="25"/>
  <c r="B56" i="15"/>
  <c r="F56" i="15" s="1"/>
  <c r="C683" i="25"/>
  <c r="B29" i="15"/>
  <c r="F29" i="15" s="1"/>
  <c r="C637" i="25"/>
  <c r="B72" i="15"/>
  <c r="F72" i="15" s="1"/>
  <c r="C714" i="25"/>
  <c r="B60" i="15"/>
  <c r="C693" i="25"/>
  <c r="B39" i="15"/>
  <c r="F39" i="15" s="1"/>
  <c r="C670" i="25"/>
  <c r="B16" i="15"/>
  <c r="H16" i="15" s="1"/>
  <c r="I16" i="15" s="1"/>
  <c r="C622" i="25"/>
  <c r="B80" i="15"/>
  <c r="F80" i="15" s="1"/>
  <c r="B49" i="15"/>
  <c r="C703" i="25"/>
  <c r="C672" i="25"/>
  <c r="B18" i="15"/>
  <c r="F18" i="15" s="1"/>
  <c r="C627" i="25"/>
  <c r="B82" i="15"/>
  <c r="F82" i="15" s="1"/>
  <c r="C628" i="25"/>
  <c r="B79" i="15"/>
  <c r="F79" i="15" s="1"/>
  <c r="B31" i="15"/>
  <c r="C685" i="25"/>
  <c r="C676" i="25"/>
  <c r="B22" i="15"/>
  <c r="H22" i="15" s="1"/>
  <c r="I22" i="15" s="1"/>
  <c r="C643" i="25"/>
  <c r="B86" i="15"/>
  <c r="F86" i="15" s="1"/>
  <c r="C701" i="25"/>
  <c r="B47" i="15"/>
  <c r="H47" i="15" s="1"/>
  <c r="I47" i="15" s="1"/>
  <c r="C678" i="25"/>
  <c r="B24" i="15"/>
  <c r="C645" i="25"/>
  <c r="B88" i="15"/>
  <c r="F88" i="15" s="1"/>
  <c r="C711" i="25"/>
  <c r="B57" i="15"/>
  <c r="H57" i="15" s="1"/>
  <c r="I57" i="15" s="1"/>
  <c r="C680" i="25"/>
  <c r="B26" i="15"/>
  <c r="F26" i="15" s="1"/>
  <c r="C647" i="25"/>
  <c r="B90" i="15"/>
  <c r="F90" i="15" s="1"/>
  <c r="C621" i="25"/>
  <c r="B93" i="15"/>
  <c r="F93" i="15" s="1"/>
  <c r="C618" i="25"/>
  <c r="B74" i="15"/>
  <c r="F74" i="15" s="1"/>
  <c r="B78" i="15"/>
  <c r="F78" i="15" s="1"/>
  <c r="C620" i="25"/>
  <c r="C634" i="25"/>
  <c r="B67" i="15"/>
  <c r="C638" i="25"/>
  <c r="B76" i="15"/>
  <c r="F76" i="15" s="1"/>
  <c r="B53" i="15"/>
  <c r="C707" i="25"/>
  <c r="B30" i="15"/>
  <c r="F30" i="15" s="1"/>
  <c r="C684" i="25"/>
  <c r="C709" i="25"/>
  <c r="B55" i="15"/>
  <c r="F55" i="15" s="1"/>
  <c r="B32" i="15"/>
  <c r="F32" i="15" s="1"/>
  <c r="C686" i="25"/>
  <c r="C673" i="25"/>
  <c r="B19" i="15"/>
  <c r="H19" i="15" s="1"/>
  <c r="I19" i="15" s="1"/>
  <c r="C631" i="25"/>
  <c r="B65" i="15"/>
  <c r="F65" i="15" s="1"/>
  <c r="C639" i="25"/>
  <c r="B77" i="15"/>
  <c r="F77" i="15" s="1"/>
  <c r="B70" i="15"/>
  <c r="F70" i="15" s="1"/>
  <c r="C630" i="25"/>
  <c r="C713" i="25"/>
  <c r="B59" i="15"/>
  <c r="H59" i="15" s="1"/>
  <c r="I59" i="15" s="1"/>
  <c r="B45" i="15"/>
  <c r="F45" i="15" s="1"/>
  <c r="C699" i="25"/>
  <c r="B20" i="15"/>
  <c r="H20" i="15" s="1"/>
  <c r="I20" i="15" s="1"/>
  <c r="C674" i="25"/>
  <c r="B84" i="15"/>
  <c r="H84" i="15" s="1"/>
  <c r="I84" i="15" s="1"/>
  <c r="C641" i="25"/>
  <c r="C632" i="25"/>
  <c r="B61" i="15"/>
  <c r="B27" i="15"/>
  <c r="H27" i="15" s="1"/>
  <c r="I27" i="15" s="1"/>
  <c r="C681" i="25"/>
  <c r="C694" i="25"/>
  <c r="B40" i="15"/>
  <c r="C635" i="25"/>
  <c r="B73" i="15"/>
  <c r="F73" i="15" s="1"/>
  <c r="C696" i="25"/>
  <c r="B42" i="15"/>
  <c r="F42" i="15" s="1"/>
  <c r="C690" i="25"/>
  <c r="B36" i="15"/>
  <c r="F36" i="15" s="1"/>
  <c r="H36" i="15" s="1"/>
  <c r="I36" i="15" s="1"/>
  <c r="B52" i="15"/>
  <c r="F52" i="15" s="1"/>
  <c r="C706" i="25"/>
  <c r="C640" i="25"/>
  <c r="B83" i="15"/>
  <c r="F83" i="15" s="1"/>
  <c r="B37" i="15"/>
  <c r="F37" i="15" s="1"/>
  <c r="C691" i="25"/>
  <c r="C625" i="25"/>
  <c r="B68" i="15"/>
  <c r="C682" i="25"/>
  <c r="B28" i="15"/>
  <c r="F28" i="15" s="1"/>
  <c r="B92" i="15"/>
  <c r="F92" i="15" s="1"/>
  <c r="C623" i="25"/>
  <c r="C615" i="25"/>
  <c r="B69" i="15"/>
  <c r="F69" i="15" s="1"/>
  <c r="C700" i="25"/>
  <c r="B46" i="15"/>
  <c r="F46" i="15" s="1"/>
  <c r="C636" i="25"/>
  <c r="B75" i="15"/>
  <c r="F75" i="15" s="1"/>
  <c r="B71" i="15"/>
  <c r="H71" i="15" s="1"/>
  <c r="I71" i="15" s="1"/>
  <c r="C619" i="25"/>
  <c r="C702" i="25"/>
  <c r="B48" i="15"/>
  <c r="F48" i="15" s="1"/>
  <c r="B50" i="15"/>
  <c r="F50" i="15" s="1"/>
  <c r="C704" i="25"/>
  <c r="B23" i="15"/>
  <c r="C648" i="25"/>
  <c r="B41" i="15"/>
  <c r="F41" i="15" s="1"/>
  <c r="B17" i="15"/>
  <c r="F17" i="15" s="1"/>
  <c r="B63" i="15"/>
  <c r="F63" i="15" s="1"/>
  <c r="B64" i="15"/>
  <c r="F64" i="15" s="1"/>
  <c r="C68" i="25"/>
  <c r="CE68" i="25" s="1"/>
  <c r="CE53" i="25"/>
  <c r="M63" i="31"/>
  <c r="BL85" i="24"/>
  <c r="C637" i="24" s="1"/>
  <c r="M22" i="31"/>
  <c r="I117" i="32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M6" i="31"/>
  <c r="M54" i="31"/>
  <c r="F241" i="32"/>
  <c r="M80" i="31"/>
  <c r="D369" i="32"/>
  <c r="CC85" i="24"/>
  <c r="E53" i="32"/>
  <c r="C24" i="15"/>
  <c r="G24" i="15" s="1"/>
  <c r="C677" i="24"/>
  <c r="M21" i="31"/>
  <c r="H81" i="32"/>
  <c r="M28" i="31"/>
  <c r="H113" i="32"/>
  <c r="M69" i="31"/>
  <c r="G305" i="32"/>
  <c r="M35" i="31"/>
  <c r="H145" i="32"/>
  <c r="M16" i="31"/>
  <c r="C81" i="32"/>
  <c r="H23" i="15"/>
  <c r="I23" i="15" s="1"/>
  <c r="F23" i="15"/>
  <c r="F81" i="15"/>
  <c r="H81" i="15"/>
  <c r="I81" i="15" s="1"/>
  <c r="M59" i="31"/>
  <c r="D273" i="32"/>
  <c r="M60" i="31"/>
  <c r="E273" i="32"/>
  <c r="BI85" i="24"/>
  <c r="M32" i="31"/>
  <c r="E145" i="32"/>
  <c r="M68" i="31"/>
  <c r="F305" i="32"/>
  <c r="BQ85" i="24"/>
  <c r="M76" i="31"/>
  <c r="G337" i="32"/>
  <c r="M31" i="31"/>
  <c r="D145" i="32"/>
  <c r="M45" i="31"/>
  <c r="D209" i="32"/>
  <c r="M19" i="31"/>
  <c r="F81" i="32"/>
  <c r="M17" i="31"/>
  <c r="D81" i="32"/>
  <c r="M5" i="31"/>
  <c r="F17" i="32"/>
  <c r="F47" i="15"/>
  <c r="M12" i="31"/>
  <c r="F49" i="32"/>
  <c r="M38" i="31"/>
  <c r="D177" i="32"/>
  <c r="M43" i="31"/>
  <c r="I177" i="32"/>
  <c r="M65" i="31"/>
  <c r="C305" i="32"/>
  <c r="M30" i="31"/>
  <c r="C145" i="32"/>
  <c r="M3" i="31"/>
  <c r="D17" i="32"/>
  <c r="M66" i="31"/>
  <c r="D305" i="32"/>
  <c r="BO85" i="24"/>
  <c r="M53" i="31"/>
  <c r="E241" i="32"/>
  <c r="F53" i="15"/>
  <c r="C67" i="24"/>
  <c r="C85" i="24" s="1"/>
  <c r="CE85" i="24" s="1"/>
  <c r="CE52" i="24"/>
  <c r="C684" i="24"/>
  <c r="M62" i="31"/>
  <c r="G273" i="32"/>
  <c r="BK85" i="24"/>
  <c r="M50" i="31"/>
  <c r="I209" i="32"/>
  <c r="G94" i="15"/>
  <c r="H94" i="15" s="1"/>
  <c r="I94" i="15" s="1"/>
  <c r="H21" i="15"/>
  <c r="I21" i="15" s="1"/>
  <c r="F21" i="15"/>
  <c r="M15" i="31"/>
  <c r="I49" i="32"/>
  <c r="M49" i="31"/>
  <c r="H209" i="32"/>
  <c r="M52" i="31"/>
  <c r="D241" i="32"/>
  <c r="M57" i="31"/>
  <c r="I241" i="32"/>
  <c r="M24" i="31"/>
  <c r="D113" i="32"/>
  <c r="M40" i="31"/>
  <c r="F177" i="32"/>
  <c r="M39" i="31"/>
  <c r="E177" i="32"/>
  <c r="M26" i="31"/>
  <c r="F113" i="32"/>
  <c r="M25" i="31"/>
  <c r="E113" i="32"/>
  <c r="M77" i="31"/>
  <c r="H337" i="32"/>
  <c r="BZ85" i="24"/>
  <c r="M73" i="31"/>
  <c r="D337" i="32"/>
  <c r="M67" i="31"/>
  <c r="E305" i="32"/>
  <c r="BP85" i="24"/>
  <c r="M20" i="31"/>
  <c r="G81" i="32"/>
  <c r="M72" i="31"/>
  <c r="C337" i="32"/>
  <c r="BU85" i="24"/>
  <c r="F89" i="15"/>
  <c r="M51" i="31"/>
  <c r="C241" i="32"/>
  <c r="M58" i="31"/>
  <c r="C273" i="32"/>
  <c r="BG85" i="24"/>
  <c r="M42" i="31"/>
  <c r="H177" i="32"/>
  <c r="M48" i="31"/>
  <c r="G209" i="32"/>
  <c r="M7" i="31"/>
  <c r="H17" i="32"/>
  <c r="D53" i="32"/>
  <c r="C23" i="15"/>
  <c r="G23" i="15" s="1"/>
  <c r="C676" i="24"/>
  <c r="M13" i="31"/>
  <c r="G49" i="32"/>
  <c r="F49" i="15"/>
  <c r="F341" i="32"/>
  <c r="C88" i="15"/>
  <c r="G88" i="15" s="1"/>
  <c r="C644" i="24"/>
  <c r="C86" i="25"/>
  <c r="CE63" i="25"/>
  <c r="M9" i="31"/>
  <c r="C49" i="32"/>
  <c r="M36" i="31"/>
  <c r="I145" i="32"/>
  <c r="M34" i="31"/>
  <c r="G145" i="32"/>
  <c r="M44" i="31"/>
  <c r="C209" i="32"/>
  <c r="D616" i="25"/>
  <c r="M8" i="31"/>
  <c r="I17" i="32"/>
  <c r="F91" i="15"/>
  <c r="H91" i="15" s="1"/>
  <c r="I91" i="15" s="1"/>
  <c r="C92" i="15"/>
  <c r="G92" i="15" s="1"/>
  <c r="C373" i="32"/>
  <c r="C622" i="24"/>
  <c r="F59" i="15" l="1"/>
  <c r="F57" i="15"/>
  <c r="C121" i="8"/>
  <c r="D384" i="24"/>
  <c r="H18" i="15"/>
  <c r="I18" i="15" s="1"/>
  <c r="H44" i="15"/>
  <c r="I44" i="15" s="1"/>
  <c r="H30" i="15"/>
  <c r="I30" i="15" s="1"/>
  <c r="C670" i="24"/>
  <c r="C31" i="15"/>
  <c r="G31" i="15" s="1"/>
  <c r="I31" i="15" s="1"/>
  <c r="C17" i="15"/>
  <c r="G17" i="15" s="1"/>
  <c r="H17" i="15" s="1"/>
  <c r="H54" i="15"/>
  <c r="I54" i="15" s="1"/>
  <c r="F20" i="15"/>
  <c r="C695" i="24"/>
  <c r="C42" i="15"/>
  <c r="G42" i="15" s="1"/>
  <c r="H52" i="15"/>
  <c r="I52" i="15" s="1"/>
  <c r="F19" i="15"/>
  <c r="H87" i="15"/>
  <c r="I87" i="15" s="1"/>
  <c r="F27" i="15"/>
  <c r="F16" i="15"/>
  <c r="C74" i="15"/>
  <c r="H277" i="32"/>
  <c r="H26" i="15"/>
  <c r="I26" i="15" s="1"/>
  <c r="H80" i="15"/>
  <c r="I80" i="15" s="1"/>
  <c r="H51" i="15"/>
  <c r="I51" i="15" s="1"/>
  <c r="H46" i="15"/>
  <c r="I46" i="15" s="1"/>
  <c r="F25" i="15"/>
  <c r="H79" i="15"/>
  <c r="I79" i="15" s="1"/>
  <c r="F58" i="15"/>
  <c r="F85" i="15"/>
  <c r="H55" i="15"/>
  <c r="I55" i="15" s="1"/>
  <c r="H77" i="15"/>
  <c r="I77" i="15" s="1"/>
  <c r="F24" i="15"/>
  <c r="H24" i="15" s="1"/>
  <c r="F84" i="15"/>
  <c r="C649" i="25"/>
  <c r="M717" i="25" s="1"/>
  <c r="F71" i="15"/>
  <c r="F22" i="15"/>
  <c r="H83" i="15"/>
  <c r="I83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H69" i="15" s="1"/>
  <c r="I69" i="15" s="1"/>
  <c r="I85" i="32"/>
  <c r="C91" i="15"/>
  <c r="G91" i="15" s="1"/>
  <c r="H35" i="15"/>
  <c r="I35" i="15" s="1"/>
  <c r="H50" i="15"/>
  <c r="I50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79" i="15" s="1"/>
  <c r="G245" i="32"/>
  <c r="C68" i="15"/>
  <c r="G68" i="15" s="1"/>
  <c r="C624" i="24"/>
  <c r="D417" i="24" l="1"/>
  <c r="C138" i="8"/>
  <c r="G53" i="15"/>
  <c r="H53" i="15" s="1"/>
  <c r="G72" i="15"/>
  <c r="H72" i="15" s="1"/>
  <c r="I72" i="15" s="1"/>
  <c r="I40" i="15"/>
  <c r="G74" i="15"/>
  <c r="H74" i="15" s="1"/>
  <c r="I74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G65" i="15"/>
  <c r="H65" i="15"/>
  <c r="I65" i="15" s="1"/>
  <c r="C21" i="32"/>
  <c r="C15" i="15"/>
  <c r="G15" i="15" s="1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G39" i="15"/>
  <c r="H39" i="15" s="1"/>
  <c r="I39" i="15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D421" i="24" l="1"/>
  <c r="C168" i="8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C172" i="8" l="1"/>
  <c r="D424" i="24"/>
  <c r="C177" i="8" s="1"/>
  <c r="E710" i="24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K712" i="25"/>
  <c r="K704" i="25"/>
  <c r="M704" i="25" s="1"/>
  <c r="K696" i="25"/>
  <c r="K688" i="25"/>
  <c r="M688" i="25" s="1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M714" i="25" s="1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79" i="25" l="1"/>
  <c r="M684" i="25"/>
  <c r="M708" i="25"/>
  <c r="M706" i="25"/>
  <c r="M697" i="25"/>
  <c r="M710" i="25"/>
  <c r="M683" i="25"/>
  <c r="L685" i="24"/>
  <c r="L713" i="24"/>
  <c r="L690" i="24"/>
  <c r="L671" i="24"/>
  <c r="L701" i="24"/>
  <c r="L703" i="24"/>
  <c r="L677" i="24"/>
  <c r="L682" i="24"/>
  <c r="L687" i="24"/>
  <c r="L692" i="24"/>
  <c r="L686" i="24"/>
  <c r="L709" i="24"/>
  <c r="L678" i="24"/>
  <c r="L683" i="24"/>
  <c r="L673" i="24"/>
  <c r="L688" i="24"/>
  <c r="L675" i="24"/>
  <c r="L698" i="24"/>
  <c r="L699" i="24"/>
  <c r="L712" i="24"/>
  <c r="L702" i="24"/>
  <c r="L674" i="24"/>
  <c r="L689" i="24"/>
  <c r="L668" i="24"/>
  <c r="L672" i="24"/>
  <c r="L711" i="24"/>
  <c r="L694" i="24"/>
  <c r="L676" i="24"/>
  <c r="L669" i="24"/>
  <c r="L695" i="24"/>
  <c r="L681" i="24"/>
  <c r="L693" i="24"/>
  <c r="L684" i="24"/>
  <c r="L680" i="24"/>
  <c r="L679" i="24"/>
  <c r="L691" i="24"/>
  <c r="L705" i="24"/>
  <c r="L696" i="24"/>
  <c r="L697" i="24"/>
  <c r="L706" i="24"/>
  <c r="L704" i="24"/>
  <c r="L670" i="24"/>
  <c r="L707" i="24"/>
  <c r="L710" i="24"/>
  <c r="L716" i="24"/>
  <c r="L700" i="24"/>
  <c r="M672" i="25"/>
  <c r="M689" i="25"/>
  <c r="M693" i="25"/>
  <c r="M681" i="25"/>
  <c r="M674" i="25"/>
  <c r="M696" i="25"/>
  <c r="M678" i="25"/>
  <c r="M702" i="25"/>
  <c r="M682" i="25"/>
  <c r="L716" i="25"/>
  <c r="M709" i="25"/>
  <c r="M712" i="25"/>
  <c r="K713" i="24"/>
  <c r="M713" i="24" s="1"/>
  <c r="F215" i="32" s="1"/>
  <c r="K703" i="24"/>
  <c r="K695" i="24"/>
  <c r="K712" i="24"/>
  <c r="K711" i="24"/>
  <c r="M711" i="24" s="1"/>
  <c r="D215" i="32" s="1"/>
  <c r="K707" i="24"/>
  <c r="M707" i="24" s="1"/>
  <c r="G183" i="32" s="1"/>
  <c r="K699" i="24"/>
  <c r="K691" i="24"/>
  <c r="K683" i="24"/>
  <c r="K694" i="24"/>
  <c r="K689" i="24"/>
  <c r="K684" i="24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K701" i="24"/>
  <c r="K706" i="24"/>
  <c r="K705" i="24"/>
  <c r="K704" i="24"/>
  <c r="K686" i="24"/>
  <c r="K681" i="24"/>
  <c r="K676" i="24"/>
  <c r="K673" i="24"/>
  <c r="K709" i="24"/>
  <c r="K702" i="24"/>
  <c r="K700" i="24"/>
  <c r="K696" i="24"/>
  <c r="K677" i="24"/>
  <c r="K675" i="24"/>
  <c r="K671" i="24"/>
  <c r="M671" i="24" s="1"/>
  <c r="F23" i="32" s="1"/>
  <c r="K690" i="24"/>
  <c r="M690" i="24" s="1"/>
  <c r="D119" i="32" s="1"/>
  <c r="K692" i="24"/>
  <c r="K685" i="24"/>
  <c r="K710" i="24"/>
  <c r="K698" i="24"/>
  <c r="M698" i="24" s="1"/>
  <c r="E151" i="32" s="1"/>
  <c r="K687" i="24"/>
  <c r="K670" i="24"/>
  <c r="K680" i="24"/>
  <c r="K697" i="24"/>
  <c r="K682" i="24"/>
  <c r="K716" i="25"/>
  <c r="M669" i="25"/>
  <c r="M677" i="24" l="1"/>
  <c r="E55" i="32" s="1"/>
  <c r="M703" i="24"/>
  <c r="C183" i="32" s="1"/>
  <c r="M684" i="24"/>
  <c r="E87" i="32" s="1"/>
  <c r="M682" i="24"/>
  <c r="C87" i="32" s="1"/>
  <c r="M685" i="24"/>
  <c r="F87" i="32" s="1"/>
  <c r="M670" i="24"/>
  <c r="E23" i="32" s="1"/>
  <c r="M686" i="24"/>
  <c r="G87" i="32" s="1"/>
  <c r="M694" i="24"/>
  <c r="H119" i="32" s="1"/>
  <c r="M681" i="24"/>
  <c r="I55" i="32" s="1"/>
  <c r="M687" i="24"/>
  <c r="H87" i="32" s="1"/>
  <c r="M704" i="24"/>
  <c r="D183" i="32" s="1"/>
  <c r="M710" i="24"/>
  <c r="C215" i="32" s="1"/>
  <c r="M683" i="24"/>
  <c r="D87" i="32" s="1"/>
  <c r="M692" i="24"/>
  <c r="F119" i="32" s="1"/>
  <c r="M701" i="24"/>
  <c r="H151" i="32" s="1"/>
  <c r="M680" i="24"/>
  <c r="H55" i="32" s="1"/>
  <c r="M676" i="24"/>
  <c r="D55" i="32" s="1"/>
  <c r="M679" i="24"/>
  <c r="G55" i="32" s="1"/>
  <c r="M672" i="24"/>
  <c r="G23" i="32" s="1"/>
  <c r="M697" i="24"/>
  <c r="D151" i="32" s="1"/>
  <c r="M673" i="24"/>
  <c r="H23" i="32" s="1"/>
  <c r="L715" i="24"/>
  <c r="M678" i="24"/>
  <c r="F55" i="32" s="1"/>
  <c r="M705" i="24"/>
  <c r="E183" i="32" s="1"/>
  <c r="M706" i="24"/>
  <c r="F183" i="32" s="1"/>
  <c r="M712" i="24"/>
  <c r="E215" i="32" s="1"/>
  <c r="M695" i="24"/>
  <c r="I119" i="32" s="1"/>
  <c r="M689" i="24"/>
  <c r="C119" i="32" s="1"/>
  <c r="M696" i="24"/>
  <c r="C151" i="32" s="1"/>
  <c r="M700" i="24"/>
  <c r="G151" i="32" s="1"/>
  <c r="M669" i="24"/>
  <c r="D23" i="32" s="1"/>
  <c r="M691" i="24"/>
  <c r="E119" i="32" s="1"/>
  <c r="M699" i="24"/>
  <c r="F151" i="32" s="1"/>
  <c r="M668" i="24"/>
  <c r="M674" i="24"/>
  <c r="I23" i="32" s="1"/>
  <c r="M702" i="24"/>
  <c r="I151" i="32" s="1"/>
  <c r="M688" i="24"/>
  <c r="I87" i="32" s="1"/>
  <c r="M675" i="24"/>
  <c r="C55" i="32" s="1"/>
  <c r="M709" i="24"/>
  <c r="I183" i="32" s="1"/>
  <c r="M693" i="24"/>
  <c r="G119" i="32" s="1"/>
  <c r="M716" i="25"/>
  <c r="K715" i="24"/>
  <c r="M715" i="24" l="1"/>
  <c r="C23" i="32"/>
</calcChain>
</file>

<file path=xl/sharedStrings.xml><?xml version="1.0" encoding="utf-8"?>
<sst xmlns="http://schemas.openxmlformats.org/spreadsheetml/2006/main" count="5779" uniqueCount="1389">
  <si>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</si>
  <si>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</si>
  <si>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</si>
  <si>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</si>
  <si>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</si>
  <si>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</si>
  <si>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</si>
  <si>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</si>
  <si>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</si>
  <si>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</si>
  <si>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</si>
  <si>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</si>
  <si>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</si>
  <si>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</si>
  <si>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</si>
  <si>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</si>
  <si>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</si>
  <si>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</si>
  <si>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</si>
  <si>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</si>
  <si>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</si>
  <si>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</si>
  <si>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</si>
  <si>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</si>
  <si>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</si>
  <si>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</si>
  <si>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</si>
  <si>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</si>
  <si>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</si>
  <si>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</si>
  <si>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</si>
  <si>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</si>
  <si>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</si>
  <si>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</si>
  <si>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</si>
  <si>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</si>
  <si>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</si>
  <si>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</si>
  <si>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</si>
  <si>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</si>
  <si>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</si>
  <si>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</si>
  <si>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</si>
  <si>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</si>
  <si>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</si>
  <si>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</si>
  <si>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</si>
  <si>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</si>
  <si>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</si>
  <si>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</si>
  <si>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</si>
  <si>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</si>
  <si>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</si>
  <si>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</si>
  <si>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</si>
  <si>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</si>
  <si>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</si>
  <si>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</si>
  <si>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</si>
  <si>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</si>
  <si>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</si>
  <si>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</si>
  <si>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</si>
  <si>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</si>
  <si>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</si>
  <si>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</si>
  <si>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</si>
  <si>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</si>
  <si>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</si>
  <si>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</si>
  <si>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</si>
  <si>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</si>
  <si>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</si>
  <si>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</si>
  <si>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</si>
  <si>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</si>
  <si>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</si>
  <si>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</si>
  <si>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</si>
  <si>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</si>
  <si>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</si>
  <si>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</si>
  <si>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</si>
  <si>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</si>
  <si>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</si>
  <si>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</si>
  <si>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</si>
  <si>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</si>
  <si>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</si>
  <si>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</si>
  <si>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</si>
  <si>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</si>
  <si>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</si>
  <si>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</si>
  <si>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</si>
  <si>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</si>
  <si>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</si>
  <si>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</si>
  <si>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</si>
  <si>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</si>
  <si>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</si>
  <si>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</si>
  <si>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</si>
  <si>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</si>
  <si>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</si>
  <si>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</si>
  <si>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</si>
  <si>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</si>
  <si>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</si>
  <si>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</si>
  <si>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</si>
  <si>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</si>
  <si>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</si>
  <si>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</si>
  <si>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</si>
  <si>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</si>
  <si>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</si>
  <si>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</si>
  <si>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</si>
  <si>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</si>
  <si>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</si>
  <si>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</si>
  <si>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</si>
  <si>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</si>
  <si>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</si>
  <si>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</si>
  <si>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</si>
  <si>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</si>
  <si>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</si>
  <si>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</si>
  <si>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</si>
  <si>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</si>
  <si>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</si>
  <si>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</si>
  <si>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</si>
  <si>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</si>
  <si>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</si>
  <si>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</si>
  <si>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</si>
  <si>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</si>
  <si>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</si>
  <si>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</si>
  <si>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</si>
  <si>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</si>
  <si>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</si>
  <si>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</si>
  <si>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</si>
  <si>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</si>
  <si>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</si>
  <si>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</si>
  <si>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</si>
  <si>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</si>
  <si>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</si>
  <si>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</si>
  <si>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</si>
  <si>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</si>
  <si>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</si>
  <si>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</si>
  <si>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</si>
  <si>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</si>
  <si>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</si>
  <si>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</si>
  <si>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</si>
  <si>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</si>
  <si>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</si>
  <si>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</si>
  <si>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</si>
  <si>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</si>
  <si>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</si>
  <si>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</si>
  <si>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</si>
  <si>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</si>
  <si>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</si>
  <si>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</si>
  <si>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</si>
  <si>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</si>
  <si>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</si>
  <si>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</si>
  <si>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</si>
  <si>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</si>
  <si>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</si>
  <si>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</si>
  <si>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</si>
  <si>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</si>
  <si>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</si>
  <si>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</si>
  <si>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</si>
  <si>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</si>
  <si>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</si>
  <si>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</si>
  <si>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</si>
  <si>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</si>
  <si>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</si>
  <si>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</si>
  <si>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</si>
  <si>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</si>
  <si>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</si>
  <si>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</si>
  <si>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</si>
  <si>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</si>
  <si>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</si>
  <si>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</si>
  <si>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</si>
  <si>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</si>
  <si>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</si>
  <si>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</si>
  <si>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</si>
  <si>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</si>
  <si>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</si>
  <si>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</si>
  <si>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</si>
  <si>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</si>
  <si>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</si>
  <si>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</si>
  <si>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</si>
  <si>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</si>
  <si>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</si>
  <si>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</si>
  <si>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</si>
  <si>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</si>
  <si>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</si>
  <si>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</si>
  <si>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</si>
  <si>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</si>
  <si>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</si>
  <si>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</si>
  <si>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</si>
  <si>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</si>
  <si>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</si>
  <si>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</si>
  <si>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</si>
  <si>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</si>
  <si>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</si>
  <si>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</si>
  <si>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</si>
  <si>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</si>
  <si>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</si>
  <si>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</si>
  <si>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</si>
  <si>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</si>
  <si>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</si>
  <si>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</si>
  <si>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</si>
  <si>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</si>
  <si>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</si>
  <si>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</si>
  <si>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</si>
  <si>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</si>
  <si>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</si>
  <si>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</si>
  <si>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</si>
  <si>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</si>
  <si>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</si>
  <si>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</si>
  <si>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</si>
  <si>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</si>
  <si>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</si>
  <si>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</si>
  <si>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</si>
  <si>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</si>
  <si>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</si>
  <si>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</si>
  <si>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</si>
  <si>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</si>
  <si>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</si>
  <si>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</si>
  <si>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</si>
  <si>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</si>
  <si>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</si>
  <si>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</si>
  <si>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</si>
  <si>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</si>
  <si>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</si>
  <si>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</si>
  <si>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</si>
  <si>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</si>
  <si>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</si>
  <si>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</si>
  <si>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</si>
  <si>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</si>
  <si>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</si>
  <si>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</si>
  <si>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</si>
  <si>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</si>
  <si>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</si>
  <si>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</si>
  <si>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</si>
  <si>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</si>
  <si>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</si>
  <si>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</si>
  <si>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</si>
  <si>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</si>
  <si>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</si>
  <si>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</si>
  <si>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</si>
  <si>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</si>
  <si>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</si>
  <si>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</si>
  <si>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</si>
  <si>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</si>
  <si>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</si>
  <si>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</si>
  <si>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</si>
  <si>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</si>
  <si>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</si>
  <si>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</si>
  <si>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</si>
  <si>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</si>
  <si>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</si>
  <si>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</si>
  <si>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</si>
  <si>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</si>
  <si>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</si>
  <si>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</si>
  <si>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</si>
  <si>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</si>
  <si>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</si>
  <si>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</si>
  <si>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</si>
  <si>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</si>
  <si>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</si>
  <si>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</si>
  <si>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</si>
  <si>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</si>
  <si>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</si>
  <si>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</si>
  <si>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</si>
  <si>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</si>
  <si>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</si>
  <si>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</si>
  <si>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</si>
  <si>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</si>
  <si>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</si>
  <si>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</si>
  <si>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</si>
  <si>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</si>
  <si>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</si>
  <si>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</si>
  <si>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</si>
  <si>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</si>
  <si>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</si>
  <si>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</si>
  <si>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</si>
  <si>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</si>
  <si>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</si>
  <si>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</si>
  <si>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</si>
  <si>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</si>
  <si>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</si>
  <si>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</si>
  <si>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</si>
  <si>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</si>
  <si>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</si>
  <si>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</si>
  <si>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</si>
  <si>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</si>
  <si>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</si>
  <si>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</si>
  <si>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</si>
  <si>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</si>
  <si>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</si>
  <si>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</si>
  <si>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</si>
  <si>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</si>
  <si>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</si>
  <si>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</si>
  <si>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</si>
  <si>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</si>
  <si>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</si>
  <si>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</si>
  <si>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</si>
  <si>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</si>
  <si>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</si>
  <si>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</si>
  <si>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</si>
  <si>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</si>
  <si>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</si>
  <si>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</si>
  <si>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</si>
  <si>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</si>
  <si>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</si>
  <si>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</si>
  <si>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</si>
  <si>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</si>
  <si>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</si>
  <si>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</si>
  <si>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</si>
  <si>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</si>
  <si>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</si>
  <si>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</si>
  <si>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</si>
  <si>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</si>
  <si>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</si>
  <si>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</si>
  <si>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</si>
  <si>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</si>
  <si>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</si>
  <si>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</si>
  <si>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</si>
  <si>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</si>
  <si>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</si>
  <si>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</si>
  <si>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</si>
  <si>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</si>
  <si>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</si>
  <si>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</si>
  <si>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</si>
  <si>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</si>
  <si>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</si>
  <si>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</si>
  <si>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</si>
  <si>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</si>
  <si>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</si>
  <si>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</si>
  <si>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</si>
  <si>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</si>
  <si>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</si>
  <si>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</si>
  <si>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</si>
  <si>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</si>
  <si>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</si>
  <si>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</si>
  <si>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</si>
  <si>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</si>
  <si>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</si>
  <si>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</si>
  <si>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</si>
  <si>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</si>
  <si>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</si>
  <si>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</si>
  <si>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</si>
  <si>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</si>
  <si>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</si>
  <si>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</si>
  <si>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</si>
  <si>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</si>
  <si>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</si>
  <si>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</si>
  <si>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</si>
  <si>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</si>
  <si>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</si>
  <si>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</si>
  <si>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</si>
  <si>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</si>
  <si>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</si>
  <si>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</si>
  <si>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</si>
  <si>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</si>
  <si>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</si>
  <si>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</si>
  <si>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</si>
  <si>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</si>
  <si>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</si>
  <si>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</si>
  <si>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</si>
  <si>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</si>
  <si>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</si>
  <si>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</si>
  <si>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</si>
  <si>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</si>
  <si>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</si>
  <si>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</si>
  <si>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</si>
  <si>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</si>
  <si>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</si>
  <si>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</si>
  <si>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</si>
  <si>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</si>
  <si>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</si>
  <si>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</si>
  <si>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</si>
  <si>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</si>
  <si>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</si>
  <si>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</si>
  <si>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</si>
  <si>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</si>
  <si>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</si>
  <si>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</si>
  <si>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</si>
  <si>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</si>
  <si>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</si>
  <si>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</si>
  <si>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</si>
  <si>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</si>
  <si>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</si>
  <si>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</si>
  <si>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</si>
  <si>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</si>
  <si>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</si>
  <si>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</si>
  <si>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</si>
  <si>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</si>
  <si>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</si>
  <si>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</si>
  <si>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</si>
  <si>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</si>
  <si>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</si>
  <si>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</si>
  <si>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</si>
  <si>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</si>
  <si>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</si>
  <si>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</si>
  <si>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</si>
  <si>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</si>
  <si>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</si>
  <si>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</si>
  <si>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</si>
  <si>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</si>
  <si>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</si>
  <si>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</si>
  <si>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</si>
  <si>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</si>
  <si>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</si>
  <si>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</si>
  <si>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</si>
  <si>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</si>
  <si>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</si>
  <si>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</si>
  <si>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</si>
  <si>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</si>
  <si>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</si>
  <si>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</si>
  <si>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</si>
  <si>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</si>
  <si>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</si>
  <si>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</si>
  <si>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</si>
  <si>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</si>
  <si>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</si>
  <si>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</si>
  <si>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</si>
  <si>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</si>
  <si>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</si>
  <si>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</si>
  <si>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</si>
  <si>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</si>
  <si>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</si>
  <si>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</si>
  <si>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</si>
  <si>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</si>
  <si>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</si>
  <si>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</si>
  <si>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</si>
  <si>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</si>
  <si>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</si>
  <si>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</si>
  <si>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</si>
  <si>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</si>
  <si>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</si>
  <si>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</si>
  <si>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</si>
  <si>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</si>
  <si>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</si>
  <si>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</si>
  <si>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</si>
  <si>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</si>
  <si>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</si>
  <si>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</si>
  <si>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</si>
  <si>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</si>
  <si>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</si>
  <si>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</si>
  <si>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</si>
  <si>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</si>
  <si>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</si>
  <si>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</si>
  <si>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</si>
  <si>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</si>
  <si>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</si>
  <si>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</si>
  <si>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</si>
  <si>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</si>
  <si>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</si>
  <si>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</si>
  <si>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</si>
  <si>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</si>
  <si>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</si>
  <si>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</si>
  <si>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</si>
  <si>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</si>
  <si>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</si>
  <si>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</si>
  <si>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</si>
  <si>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</si>
  <si>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</si>
  <si>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</si>
  <si>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</si>
  <si>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</si>
  <si>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</si>
  <si>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</si>
  <si>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</si>
  <si>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</si>
  <si>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</si>
  <si>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</si>
  <si>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</si>
  <si>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</si>
  <si>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</si>
  <si>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</si>
  <si>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</si>
  <si>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</si>
  <si>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</si>
  <si>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</si>
  <si>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</si>
  <si>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</si>
  <si>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</si>
  <si>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</si>
  <si>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</si>
  <si>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</si>
  <si>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</si>
  <si>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</si>
  <si>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</si>
  <si>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</si>
  <si>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</si>
  <si>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</si>
  <si>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</si>
  <si>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</si>
  <si>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</si>
  <si>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</si>
  <si>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</si>
  <si>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</si>
  <si>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</si>
  <si>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</si>
  <si>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</si>
  <si>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</si>
  <si>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</si>
  <si>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</si>
  <si>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</si>
  <si>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</si>
  <si>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</si>
  <si>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</si>
  <si>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</si>
  <si>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</si>
  <si>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</si>
  <si>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</si>
  <si>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</si>
  <si>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</si>
  <si>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</si>
  <si>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</si>
  <si>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</si>
  <si>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</si>
  <si>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</si>
  <si>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</si>
  <si>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</si>
  <si>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</si>
  <si>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</si>
  <si>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</si>
  <si>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</si>
  <si>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</si>
  <si>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</si>
  <si>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</si>
  <si>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</si>
  <si>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</si>
  <si>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</si>
  <si>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</si>
  <si>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</si>
  <si>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</si>
  <si>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</si>
  <si>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</si>
  <si>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</si>
  <si>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</si>
  <si>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</si>
  <si>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</si>
  <si>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</si>
  <si>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</si>
  <si>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</si>
  <si>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</si>
  <si>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</si>
  <si>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</si>
  <si>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</si>
  <si>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</si>
  <si>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</si>
  <si>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</si>
  <si>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</si>
  <si>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</si>
  <si>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</si>
  <si>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</si>
  <si>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</si>
  <si>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</si>
  <si>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</si>
  <si>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</si>
  <si>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</si>
  <si>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</si>
  <si>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</si>
  <si>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</si>
  <si>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</si>
  <si>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</si>
  <si>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</si>
  <si>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</si>
  <si>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</si>
  <si>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</si>
  <si>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</si>
  <si>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</si>
  <si>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</si>
  <si>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</si>
  <si>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</si>
  <si>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</si>
  <si>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</si>
  <si>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</si>
  <si>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</si>
  <si>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</si>
  <si>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</si>
  <si>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</si>
  <si>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</si>
  <si>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</si>
  <si>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</si>
  <si>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</si>
  <si>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</si>
  <si>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</si>
  <si>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</si>
  <si>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</si>
  <si>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</si>
  <si>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</si>
  <si>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</si>
  <si>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</si>
  <si>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</si>
  <si>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</si>
  <si>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</si>
  <si>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</si>
  <si>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</si>
  <si>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</si>
  <si>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</si>
  <si>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</si>
  <si>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</si>
  <si>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</si>
  <si>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</si>
  <si>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</si>
  <si>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</si>
  <si>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</si>
  <si>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</si>
  <si>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</si>
  <si>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</si>
  <si>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</si>
  <si>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</si>
  <si>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</si>
  <si>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</si>
  <si>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</si>
  <si>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</si>
  <si>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</si>
  <si>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</si>
  <si>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</si>
  <si>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</si>
  <si>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</si>
  <si>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</si>
  <si>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</si>
  <si>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</si>
  <si>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</si>
  <si>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</si>
  <si>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</si>
  <si>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</si>
  <si>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</si>
  <si>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</si>
  <si>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</si>
  <si>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</si>
  <si>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</si>
  <si>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</si>
  <si>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</si>
  <si>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</si>
  <si>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</si>
  <si>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</si>
  <si>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</si>
  <si>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</si>
  <si>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</si>
  <si>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</si>
  <si>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</si>
  <si>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</si>
  <si>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</si>
  <si>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</si>
  <si>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</si>
  <si>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</si>
  <si>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</si>
  <si>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</si>
  <si>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</si>
  <si>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</si>
  <si>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</si>
  <si>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</si>
  <si>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</si>
  <si>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</si>
  <si>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</si>
  <si>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</si>
  <si>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</si>
  <si>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</si>
  <si>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</si>
  <si>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</si>
  <si>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</si>
  <si>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</si>
  <si>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</si>
  <si>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</si>
  <si>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</si>
  <si>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</si>
  <si>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</si>
  <si>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</si>
  <si>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</si>
  <si>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</si>
  <si>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</si>
  <si>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</si>
  <si>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</si>
  <si>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</si>
  <si>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</si>
  <si>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</si>
  <si>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</si>
  <si>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</si>
  <si>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</si>
  <si>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</si>
  <si>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</si>
  <si>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</si>
  <si>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</si>
  <si>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</si>
  <si>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</si>
  <si>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</si>
  <si>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</si>
  <si>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</si>
  <si>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</si>
  <si>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</si>
  <si>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</si>
  <si>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</si>
  <si>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</si>
  <si>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</si>
  <si>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</si>
  <si>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</si>
  <si>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</si>
  <si>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</si>
  <si>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</si>
  <si>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</si>
  <si>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</si>
  <si>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</si>
  <si>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</si>
  <si>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</si>
  <si>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</si>
  <si>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</si>
  <si>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</si>
  <si>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</si>
  <si>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</si>
  <si>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</si>
  <si>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</si>
  <si>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</si>
  <si>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</si>
  <si>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</si>
  <si>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</si>
  <si>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</si>
  <si>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</si>
  <si>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</si>
  <si>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</si>
  <si>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</si>
  <si>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</si>
  <si>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</si>
  <si>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</si>
  <si>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</si>
  <si>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</si>
  <si>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</si>
  <si>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</si>
  <si>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</si>
  <si>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</si>
  <si>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</si>
  <si>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</si>
  <si>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</si>
  <si>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</si>
  <si>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</si>
  <si>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</si>
  <si>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</si>
  <si>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</si>
  <si>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</si>
  <si>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</si>
  <si>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</si>
  <si>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</si>
  <si>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</si>
  <si>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</si>
  <si>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</si>
  <si>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</si>
  <si>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</si>
  <si>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</si>
  <si>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</si>
  <si>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</si>
  <si>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</si>
  <si>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</si>
  <si>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</si>
  <si>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</si>
  <si>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</si>
  <si>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</si>
  <si>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</si>
  <si>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</si>
  <si>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</si>
  <si>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</si>
  <si>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</si>
  <si>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</si>
  <si>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</si>
  <si>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</si>
  <si>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</si>
  <si>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</si>
  <si>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</si>
  <si>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</si>
  <si>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</si>
  <si>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</si>
  <si>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</si>
  <si>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</si>
  <si>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</si>
  <si>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</si>
  <si>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</si>
  <si>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</si>
  <si>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</si>
  <si>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</si>
  <si>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</si>
  <si>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</si>
  <si>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</si>
  <si>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</si>
  <si>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</si>
  <si>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</si>
  <si>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</si>
  <si>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</si>
  <si>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</si>
  <si>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</si>
  <si>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</si>
  <si>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</si>
  <si>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</si>
  <si>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</si>
  <si>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</si>
  <si>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</si>
  <si>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</si>
  <si>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</si>
  <si>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</si>
  <si>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</si>
  <si>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</si>
  <si>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</si>
  <si>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</si>
  <si>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</si>
  <si>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</si>
  <si>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</si>
  <si>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</si>
  <si>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</si>
  <si>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</si>
  <si>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</si>
  <si>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</si>
  <si>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</si>
  <si>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</si>
  <si>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</si>
  <si>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</si>
  <si>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</si>
  <si>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</si>
  <si>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</si>
  <si>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</si>
  <si>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</si>
  <si>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</si>
  <si>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</si>
  <si>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</si>
  <si>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</si>
  <si>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</si>
  <si>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</si>
  <si>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</si>
  <si>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</si>
  <si>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</si>
  <si>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</si>
  <si>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</si>
  <si>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</si>
  <si>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</si>
  <si>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</si>
  <si>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</si>
  <si>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</si>
  <si>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</si>
  <si>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</si>
  <si>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</si>
  <si>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</si>
  <si>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</si>
  <si>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</si>
  <si>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</si>
  <si>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</si>
  <si>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</si>
  <si>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</si>
  <si>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</si>
  <si>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</si>
  <si>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</si>
  <si>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</si>
  <si>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</si>
  <si>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</si>
  <si>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</si>
  <si>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</si>
  <si>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</si>
  <si>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</si>
  <si>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</si>
  <si>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</si>
  <si>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</si>
  <si>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</si>
  <si>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</si>
  <si>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</si>
  <si>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</si>
  <si>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</si>
  <si>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</si>
  <si>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</si>
  <si>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</si>
  <si>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</si>
  <si>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</si>
  <si>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</si>
  <si>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</si>
  <si>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</si>
  <si>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</si>
  <si>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</si>
  <si>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</si>
  <si>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</si>
  <si>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</si>
  <si>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</si>
  <si>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</si>
  <si>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</si>
  <si>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</si>
  <si>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</si>
  <si>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</si>
  <si>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</si>
  <si>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</si>
  <si>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</si>
  <si>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</si>
  <si>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</si>
  <si>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</si>
  <si>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</si>
  <si>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</si>
  <si>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</si>
  <si>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</si>
  <si>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</si>
  <si>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</si>
  <si>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</si>
  <si>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</si>
  <si>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</si>
  <si>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</si>
  <si>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</si>
  <si>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</si>
  <si>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</si>
  <si>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</si>
  <si>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</si>
  <si>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</si>
  <si>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</si>
  <si>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</si>
  <si>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</si>
  <si>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</si>
  <si>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</si>
  <si>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</si>
  <si>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</si>
  <si>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</si>
  <si>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</si>
  <si>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</si>
  <si>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</si>
  <si>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</si>
  <si>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</si>
  <si>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</si>
  <si>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</si>
  <si>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</si>
  <si>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</si>
  <si>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</si>
  <si>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</si>
  <si>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</si>
  <si>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</si>
  <si>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</si>
  <si>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</si>
  <si>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</si>
  <si>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</si>
  <si>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</si>
  <si>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</si>
  <si>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</si>
  <si>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</si>
  <si>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</si>
  <si>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</si>
  <si>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</si>
  <si>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</si>
  <si>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</si>
  <si>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</si>
  <si>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</si>
  <si>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</si>
  <si>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</si>
  <si>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</si>
  <si>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</si>
  <si>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</si>
  <si>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</si>
  <si>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</si>
  <si>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</si>
  <si>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</si>
  <si>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</si>
  <si>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</si>
  <si>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</si>
  <si>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</si>
  <si>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</si>
  <si>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</si>
  <si>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</si>
  <si>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</si>
  <si>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</si>
  <si>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</si>
  <si>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</si>
  <si>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</si>
  <si>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</si>
  <si>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</si>
  <si>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</si>
  <si>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</si>
  <si>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</si>
  <si>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</si>
  <si>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</si>
  <si>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</si>
  <si>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</si>
  <si>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</si>
  <si>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</si>
  <si>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</si>
  <si>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</si>
  <si>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</si>
  <si>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</si>
  <si>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</si>
  <si>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</si>
  <si>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</si>
  <si>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</si>
  <si>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</si>
  <si>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</si>
  <si>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</si>
  <si>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</si>
  <si>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</si>
  <si>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</si>
  <si>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</si>
  <si>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</si>
  <si>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</si>
  <si>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</si>
  <si>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</si>
  <si>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</si>
  <si>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</si>
  <si>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</si>
  <si>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</si>
  <si>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</si>
  <si>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</si>
  <si>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</si>
  <si>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</si>
  <si>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</si>
  <si>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</si>
  <si>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</si>
  <si>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</si>
  <si>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</si>
  <si>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</si>
  <si>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</si>
  <si>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</si>
  <si>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</si>
  <si>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</si>
  <si>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</si>
  <si>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</si>
  <si>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</si>
  <si>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</si>
  <si>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</si>
  <si>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</si>
  <si>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</si>
  <si>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</si>
  <si>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</si>
  <si>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</si>
  <si>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</si>
  <si>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</si>
  <si>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</si>
  <si>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</si>
  <si>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</si>
  <si>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</si>
  <si>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</si>
  <si>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</si>
  <si>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</si>
  <si>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</si>
  <si>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</si>
  <si>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</si>
  <si>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</si>
  <si>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</si>
  <si>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</si>
  <si>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</si>
  <si>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</si>
  <si>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</si>
  <si>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</si>
  <si>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</si>
  <si>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</si>
  <si>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</si>
  <si>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</si>
  <si>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</si>
  <si>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</si>
  <si>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</si>
  <si>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</si>
  <si>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</si>
  <si>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</si>
  <si>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</si>
  <si>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</si>
  <si>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</si>
  <si>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</si>
  <si>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</si>
  <si>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</si>
  <si>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</si>
  <si>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</si>
  <si>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</si>
  <si>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</si>
  <si>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</si>
  <si>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</si>
  <si>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</si>
  <si>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</si>
  <si>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</si>
  <si>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</si>
  <si>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</si>
  <si>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</si>
  <si>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</si>
  <si>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</si>
  <si>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</si>
  <si>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</si>
  <si>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</si>
  <si>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</si>
  <si>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</si>
  <si>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</si>
  <si>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</si>
  <si>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</si>
  <si>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</si>
  <si>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</si>
  <si>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</si>
  <si>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</si>
  <si>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</si>
  <si>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</si>
  <si>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</si>
  <si>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</si>
  <si>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</si>
  <si>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</si>
  <si>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</si>
  <si>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</si>
  <si>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</si>
  <si>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</si>
  <si>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</si>
  <si>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</si>
  <si>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</si>
  <si>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</si>
  <si>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</si>
  <si>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</si>
  <si>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</si>
  <si>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</si>
  <si>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</si>
  <si>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</si>
  <si>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</si>
  <si>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</si>
  <si>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</si>
  <si>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</si>
  <si>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</si>
  <si>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</si>
  <si>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</si>
  <si>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</si>
  <si>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</si>
  <si>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</si>
  <si>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</si>
  <si>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</si>
  <si>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</si>
  <si>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</si>
  <si>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</si>
  <si>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</si>
  <si>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</si>
  <si>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</si>
  <si>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</si>
  <si>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</si>
  <si>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</si>
  <si>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</si>
  <si>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</si>
  <si>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</si>
  <si>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</si>
  <si>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</si>
  <si>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</si>
  <si>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</si>
  <si>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</si>
  <si>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</si>
  <si>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</si>
  <si>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</si>
  <si>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</si>
  <si>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</si>
  <si>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</si>
  <si>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</si>
  <si>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</si>
  <si>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</si>
  <si>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</si>
  <si>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</si>
  <si>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</si>
  <si>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</si>
  <si>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</si>
  <si>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</si>
  <si>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</si>
  <si>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</si>
  <si>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</si>
  <si>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</si>
  <si>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</si>
  <si>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</si>
  <si>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</si>
  <si>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</si>
  <si>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</si>
  <si>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</si>
  <si>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</si>
  <si>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</si>
  <si>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</si>
  <si>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</si>
  <si>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</si>
  <si>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</si>
  <si>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</si>
  <si>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</si>
  <si>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</si>
  <si>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</si>
  <si>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</si>
  <si>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</si>
  <si>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</si>
  <si>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</si>
  <si>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</si>
  <si>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</si>
  <si>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</si>
  <si>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</si>
  <si>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</si>
  <si>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</si>
  <si>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</si>
  <si>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</si>
  <si>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</si>
  <si>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</si>
  <si>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</si>
  <si>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</si>
  <si>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</si>
  <si>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</si>
  <si>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</si>
  <si>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</si>
  <si>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</si>
  <si>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</si>
  <si>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</si>
  <si>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</si>
  <si>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</si>
  <si>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</si>
  <si>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</si>
  <si>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</si>
  <si>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</si>
  <si>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</si>
  <si>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</si>
  <si>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</si>
  <si>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</si>
  <si>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</si>
  <si>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</si>
  <si>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</si>
  <si>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</si>
  <si>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</si>
  <si>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</si>
  <si>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</si>
  <si>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</si>
  <si>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</si>
  <si>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</si>
  <si>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</si>
  <si>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</si>
  <si>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</si>
  <si>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</si>
  <si>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</si>
  <si>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</si>
  <si>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</si>
  <si>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</si>
  <si>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</si>
  <si>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</si>
  <si>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</si>
  <si>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</si>
  <si>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</si>
  <si>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</si>
  <si>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</si>
  <si>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</si>
  <si>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</si>
  <si>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</si>
  <si>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</si>
  <si>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</si>
  <si>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</si>
  <si>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</si>
  <si>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</si>
  <si>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</si>
  <si>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</si>
  <si>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</si>
  <si>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</si>
  <si>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</si>
  <si>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</si>
  <si>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</si>
  <si>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</si>
  <si>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</si>
  <si>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</si>
  <si>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</si>
  <si>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</si>
  <si>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</si>
  <si>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082</t>
  </si>
  <si>
    <t>Garfield County Public Hospital District</t>
  </si>
  <si>
    <t>66 N. Sixth Street</t>
  </si>
  <si>
    <t>Pomeroy</t>
  </si>
  <si>
    <t>WA</t>
  </si>
  <si>
    <t>Garfield</t>
  </si>
  <si>
    <t>Mat Slaybaugh &amp; Jayd Keener</t>
  </si>
  <si>
    <t>Lance Spindler</t>
  </si>
  <si>
    <t>Mike Field</t>
  </si>
  <si>
    <t>509-843-1591</t>
  </si>
  <si>
    <t>12/31/2022</t>
  </si>
  <si>
    <t>Transfers</t>
  </si>
  <si>
    <t>Garfield County</t>
  </si>
  <si>
    <t>Pomeroy, 99347</t>
  </si>
  <si>
    <t>Stephanie Miller</t>
  </si>
  <si>
    <t>Jeannette Ring</t>
  </si>
  <si>
    <t>jring@dzacpa.com</t>
  </si>
  <si>
    <t>Post Employment Employee Benefits</t>
  </si>
  <si>
    <t>Agency nursing for the acute care/swing bed department increased from about $975,000 in 2021 to $1,839,000 in 2022.</t>
  </si>
  <si>
    <t>Lab contract services increased from $258,000 in 2021 to $521,000 in 2022.</t>
  </si>
  <si>
    <t>Electrodiagnosis is a very small department.  Slight changes to expenses from year to year have a big impact on the cost per unit.</t>
  </si>
  <si>
    <t>In 2022 there were $1,871,000 of post employement benefits expense recorded and allocated to all departments based on FTEs.  This caused many cost per units to increase as compared to the PY.</t>
  </si>
  <si>
    <t>Michael Field</t>
  </si>
  <si>
    <t>https://mft.wa.gov</t>
  </si>
  <si>
    <t>Submit report via hospitals Managed File Transfer account: https://mft.wa.gov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</si>
</sst>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0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32" fillId="0" borderId="1" xfId="0" applyFont="1" applyBorder="1" applyProtection="1">
      <protection locked="0"/>
    </xf>
    <xf numFmtId="38" fontId="23" fillId="4" borderId="14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Alignment="1" applyProtection="1">
      <alignment horizontal="left"/>
      <protection locked="0"/>
    </xf>
    <xf numFmtId="38" fontId="15" fillId="0" borderId="1" xfId="0" applyNumberFormat="1" applyFont="1" applyBorder="1" applyAlignment="1" applyProtection="1">
      <alignment horizontal="right"/>
      <protection locked="0"/>
    </xf>
    <xf numFmtId="0" fontId="6" fillId="0" borderId="0" xfId="2">
      <alignment vertical="top"/>
      <protection locked="0"/>
    </xf>
    <xf numFmtId="37" fontId="7" fillId="0" borderId="0" xfId="0" applyFont="1" applyAlignment="1">
      <alignment vertical="center" wrapText="1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https://m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ring@dzacp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60" zoomScaleNormal="60" workbookViewId="0">
      <selection activeCell="E20" sqref="E20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45" t="s">
        <v>1387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  <c r="H35" s="311"/>
    </row>
    <row r="36" spans="1:83" x14ac:dyDescent="0.35">
      <c r="A36" s="331" t="s">
        <v>18</v>
      </c>
      <c r="B36" s="332"/>
      <c r="C36" s="333"/>
      <c r="D36" s="332"/>
      <c r="E36" s="332"/>
      <c r="F36" s="332"/>
      <c r="G36" s="332"/>
    </row>
    <row r="37" spans="1:83" x14ac:dyDescent="0.35">
      <c r="A37" s="334" t="s">
        <v>1342</v>
      </c>
      <c r="B37" s="335"/>
      <c r="C37" s="333"/>
      <c r="D37" s="332"/>
      <c r="E37" s="332"/>
      <c r="F37" s="332"/>
      <c r="G37" s="332"/>
    </row>
    <row r="38" spans="1:83" x14ac:dyDescent="0.35">
      <c r="A38" s="338" t="s">
        <v>1361</v>
      </c>
      <c r="B38" s="335"/>
      <c r="C38" s="333"/>
      <c r="D38" s="332"/>
      <c r="E38" s="332"/>
      <c r="F38" s="332"/>
      <c r="G38" s="332"/>
    </row>
    <row r="39" spans="1:83" x14ac:dyDescent="0.35">
      <c r="A39" s="337" t="s">
        <v>1343</v>
      </c>
      <c r="B39" s="332"/>
      <c r="C39" s="333"/>
      <c r="D39" s="332"/>
      <c r="E39" s="332"/>
      <c r="F39" s="332"/>
      <c r="G39" s="332"/>
    </row>
    <row r="40" spans="1:83" x14ac:dyDescent="0.35">
      <c r="A40" s="338" t="s">
        <v>1362</v>
      </c>
      <c r="B40" s="332"/>
      <c r="C40" s="333"/>
      <c r="D40" s="332"/>
      <c r="E40" s="332"/>
      <c r="F40" s="332"/>
      <c r="G40" s="332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345" t="s">
        <v>1388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1">
        <v>3145477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19806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971880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26410</v>
      </c>
      <c r="T48" s="32">
        <f t="shared" si="0"/>
        <v>0</v>
      </c>
      <c r="U48" s="32">
        <f t="shared" si="0"/>
        <v>177702</v>
      </c>
      <c r="V48" s="32">
        <f t="shared" si="0"/>
        <v>1526</v>
      </c>
      <c r="W48" s="32">
        <f t="shared" si="0"/>
        <v>0</v>
      </c>
      <c r="X48" s="32">
        <f t="shared" si="0"/>
        <v>0</v>
      </c>
      <c r="Y48" s="32">
        <f t="shared" si="0"/>
        <v>210378</v>
      </c>
      <c r="Z48" s="32">
        <f t="shared" si="0"/>
        <v>0</v>
      </c>
      <c r="AA48" s="32">
        <f t="shared" si="0"/>
        <v>0</v>
      </c>
      <c r="AB48" s="32">
        <f t="shared" si="0"/>
        <v>0</v>
      </c>
      <c r="AC48" s="32">
        <f t="shared" si="0"/>
        <v>0</v>
      </c>
      <c r="AD48" s="32">
        <f t="shared" si="0"/>
        <v>0</v>
      </c>
      <c r="AE48" s="32">
        <f t="shared" si="0"/>
        <v>114496</v>
      </c>
      <c r="AF48" s="32">
        <f t="shared" si="0"/>
        <v>0</v>
      </c>
      <c r="AG48" s="32">
        <f t="shared" si="0"/>
        <v>428790</v>
      </c>
      <c r="AH48" s="32">
        <f t="shared" si="0"/>
        <v>0</v>
      </c>
      <c r="AI48" s="32">
        <f t="shared" si="0"/>
        <v>0</v>
      </c>
      <c r="AJ48" s="32">
        <f t="shared" si="0"/>
        <v>350687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3838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142429</v>
      </c>
      <c r="AZ48" s="32">
        <f t="shared" si="0"/>
        <v>0</v>
      </c>
      <c r="BA48" s="32">
        <f t="shared" si="0"/>
        <v>17569</v>
      </c>
      <c r="BB48" s="32">
        <f t="shared" si="0"/>
        <v>64520</v>
      </c>
      <c r="BC48" s="32">
        <f t="shared" si="0"/>
        <v>0</v>
      </c>
      <c r="BD48" s="32">
        <f t="shared" si="0"/>
        <v>0</v>
      </c>
      <c r="BE48" s="32">
        <f t="shared" si="0"/>
        <v>76847</v>
      </c>
      <c r="BF48" s="32">
        <f t="shared" si="0"/>
        <v>73344</v>
      </c>
      <c r="BG48" s="32">
        <f t="shared" si="0"/>
        <v>0</v>
      </c>
      <c r="BH48" s="32">
        <f t="shared" si="0"/>
        <v>24331</v>
      </c>
      <c r="BI48" s="32">
        <f t="shared" si="0"/>
        <v>0</v>
      </c>
      <c r="BJ48" s="32">
        <f t="shared" si="0"/>
        <v>76967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61703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46773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154577</v>
      </c>
      <c r="BW48" s="32">
        <f t="shared" si="1"/>
        <v>0</v>
      </c>
      <c r="BX48" s="32">
        <f t="shared" si="1"/>
        <v>0</v>
      </c>
      <c r="BY48" s="32">
        <f t="shared" si="1"/>
        <v>100904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3145477</v>
      </c>
    </row>
    <row r="49" spans="1:83" x14ac:dyDescent="0.35">
      <c r="A49" s="20" t="s">
        <v>218</v>
      </c>
      <c r="B49" s="32">
        <f>B47+B48</f>
        <v>3145477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41">
        <v>248877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>IF($B$52,ROUND(($B$52/($CE$90+$CF$90)*E90),0))</f>
        <v>2355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115607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3414</v>
      </c>
      <c r="T52" s="32">
        <f t="shared" si="2"/>
        <v>0</v>
      </c>
      <c r="U52" s="32">
        <f t="shared" si="2"/>
        <v>7006</v>
      </c>
      <c r="V52" s="32">
        <f t="shared" si="2"/>
        <v>178</v>
      </c>
      <c r="W52" s="32">
        <f t="shared" si="2"/>
        <v>0</v>
      </c>
      <c r="X52" s="32">
        <f t="shared" si="2"/>
        <v>0</v>
      </c>
      <c r="Y52" s="32">
        <f t="shared" si="2"/>
        <v>1701</v>
      </c>
      <c r="Z52" s="32">
        <f t="shared" si="2"/>
        <v>0</v>
      </c>
      <c r="AA52" s="32">
        <f t="shared" si="2"/>
        <v>0</v>
      </c>
      <c r="AB52" s="32">
        <f t="shared" si="2"/>
        <v>678</v>
      </c>
      <c r="AC52" s="32">
        <f t="shared" si="2"/>
        <v>0</v>
      </c>
      <c r="AD52" s="32">
        <f t="shared" si="2"/>
        <v>0</v>
      </c>
      <c r="AE52" s="32">
        <f t="shared" si="2"/>
        <v>5959</v>
      </c>
      <c r="AF52" s="32">
        <f t="shared" si="2"/>
        <v>0</v>
      </c>
      <c r="AG52" s="32">
        <f t="shared" si="2"/>
        <v>7506</v>
      </c>
      <c r="AH52" s="32">
        <f t="shared" si="2"/>
        <v>0</v>
      </c>
      <c r="AI52" s="32">
        <f t="shared" si="2"/>
        <v>0</v>
      </c>
      <c r="AJ52" s="32">
        <f t="shared" si="2"/>
        <v>12323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452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13513</v>
      </c>
      <c r="AZ52" s="32">
        <f t="shared" si="2"/>
        <v>0</v>
      </c>
      <c r="BA52" s="32">
        <f t="shared" si="2"/>
        <v>8838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17521</v>
      </c>
      <c r="BF52" s="32">
        <f t="shared" si="2"/>
        <v>2486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42762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4235</v>
      </c>
      <c r="BW52" s="32">
        <f t="shared" si="3"/>
        <v>0</v>
      </c>
      <c r="BX52" s="32">
        <f t="shared" si="3"/>
        <v>0</v>
      </c>
      <c r="BY52" s="32">
        <f t="shared" si="3"/>
        <v>2343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248877</v>
      </c>
    </row>
    <row r="53" spans="1:83" x14ac:dyDescent="0.35">
      <c r="A53" s="20" t="s">
        <v>218</v>
      </c>
      <c r="B53" s="32">
        <f>B51+B52</f>
        <v>248877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129</v>
      </c>
      <c r="F59" s="24"/>
      <c r="G59" s="24"/>
      <c r="H59" s="24"/>
      <c r="I59" s="24"/>
      <c r="J59" s="24"/>
      <c r="K59" s="24"/>
      <c r="L59" s="24">
        <v>6330</v>
      </c>
      <c r="M59" s="24"/>
      <c r="N59" s="24"/>
      <c r="O59" s="24"/>
      <c r="P59" s="30"/>
      <c r="Q59" s="30"/>
      <c r="R59" s="30"/>
      <c r="S59" s="312"/>
      <c r="T59" s="312"/>
      <c r="U59" s="31">
        <v>4856</v>
      </c>
      <c r="V59" s="30">
        <v>258</v>
      </c>
      <c r="W59" s="30"/>
      <c r="X59" s="30"/>
      <c r="Y59" s="30">
        <v>1276</v>
      </c>
      <c r="Z59" s="30"/>
      <c r="AA59" s="30"/>
      <c r="AB59" s="312"/>
      <c r="AC59" s="30"/>
      <c r="AD59" s="30"/>
      <c r="AE59" s="30">
        <v>1713</v>
      </c>
      <c r="AF59" s="30"/>
      <c r="AG59" s="30">
        <v>947</v>
      </c>
      <c r="AH59" s="30"/>
      <c r="AI59" s="30"/>
      <c r="AJ59" s="30">
        <v>3540</v>
      </c>
      <c r="AK59" s="30"/>
      <c r="AL59" s="30"/>
      <c r="AM59" s="30"/>
      <c r="AN59" s="30"/>
      <c r="AO59" s="30">
        <f>25*24</f>
        <v>600</v>
      </c>
      <c r="AP59" s="30"/>
      <c r="AQ59" s="30"/>
      <c r="AR59" s="30"/>
      <c r="AS59" s="30"/>
      <c r="AT59" s="30"/>
      <c r="AU59" s="30"/>
      <c r="AV59" s="312"/>
      <c r="AW59" s="312"/>
      <c r="AX59" s="312"/>
      <c r="AY59" s="30">
        <v>17145</v>
      </c>
      <c r="AZ59" s="30"/>
      <c r="BA59" s="312"/>
      <c r="BB59" s="312"/>
      <c r="BC59" s="312"/>
      <c r="BD59" s="312"/>
      <c r="BE59" s="30">
        <v>20923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3"/>
      <c r="CE59" s="32"/>
    </row>
    <row r="60" spans="1:83" s="225" customFormat="1" x14ac:dyDescent="0.35">
      <c r="A60" s="240" t="s">
        <v>247</v>
      </c>
      <c r="B60" s="241"/>
      <c r="C60" s="313"/>
      <c r="D60" s="313"/>
      <c r="E60" s="313">
        <v>0.5</v>
      </c>
      <c r="F60" s="313"/>
      <c r="G60" s="313"/>
      <c r="H60" s="313"/>
      <c r="I60" s="313"/>
      <c r="J60" s="313"/>
      <c r="K60" s="313"/>
      <c r="L60" s="313">
        <v>24.61</v>
      </c>
      <c r="M60" s="313"/>
      <c r="N60" s="313"/>
      <c r="O60" s="313"/>
      <c r="P60" s="314"/>
      <c r="Q60" s="314"/>
      <c r="R60" s="314"/>
      <c r="S60" s="315">
        <v>1.02</v>
      </c>
      <c r="T60" s="315"/>
      <c r="U60" s="316">
        <v>6.13</v>
      </c>
      <c r="V60" s="314">
        <v>0.04</v>
      </c>
      <c r="W60" s="314"/>
      <c r="X60" s="314"/>
      <c r="Y60" s="314">
        <v>5.3</v>
      </c>
      <c r="Z60" s="314"/>
      <c r="AA60" s="314"/>
      <c r="AB60" s="315"/>
      <c r="AC60" s="314"/>
      <c r="AD60" s="314"/>
      <c r="AE60" s="314">
        <v>1.85</v>
      </c>
      <c r="AF60" s="314"/>
      <c r="AG60" s="314">
        <v>2.41</v>
      </c>
      <c r="AH60" s="314"/>
      <c r="AI60" s="314"/>
      <c r="AJ60" s="314">
        <v>5.92</v>
      </c>
      <c r="AK60" s="314"/>
      <c r="AL60" s="314"/>
      <c r="AM60" s="314"/>
      <c r="AN60" s="314"/>
      <c r="AO60" s="314">
        <v>0.1</v>
      </c>
      <c r="AP60" s="314"/>
      <c r="AQ60" s="314"/>
      <c r="AR60" s="314"/>
      <c r="AS60" s="314"/>
      <c r="AT60" s="314"/>
      <c r="AU60" s="314"/>
      <c r="AV60" s="315"/>
      <c r="AW60" s="315"/>
      <c r="AX60" s="315"/>
      <c r="AY60" s="314">
        <v>5.99</v>
      </c>
      <c r="AZ60" s="314"/>
      <c r="BA60" s="315">
        <v>0.86</v>
      </c>
      <c r="BB60" s="315">
        <v>1.85</v>
      </c>
      <c r="BC60" s="315"/>
      <c r="BD60" s="315"/>
      <c r="BE60" s="314">
        <v>2.58</v>
      </c>
      <c r="BF60" s="315">
        <v>3.77</v>
      </c>
      <c r="BG60" s="315"/>
      <c r="BH60" s="315">
        <v>0.76</v>
      </c>
      <c r="BI60" s="315"/>
      <c r="BJ60" s="315">
        <v>1.91</v>
      </c>
      <c r="BK60" s="315"/>
      <c r="BL60" s="315"/>
      <c r="BM60" s="315"/>
      <c r="BN60" s="315">
        <v>1.1299999999999999</v>
      </c>
      <c r="BO60" s="315"/>
      <c r="BP60" s="315"/>
      <c r="BQ60" s="315"/>
      <c r="BR60" s="315">
        <v>1</v>
      </c>
      <c r="BS60" s="315"/>
      <c r="BT60" s="315"/>
      <c r="BU60" s="315"/>
      <c r="BV60" s="315">
        <v>5.45</v>
      </c>
      <c r="BW60" s="315"/>
      <c r="BX60" s="315"/>
      <c r="BY60" s="315">
        <v>1</v>
      </c>
      <c r="BZ60" s="315"/>
      <c r="CA60" s="315"/>
      <c r="CB60" s="315"/>
      <c r="CC60" s="315"/>
      <c r="CD60" s="246" t="s">
        <v>233</v>
      </c>
      <c r="CE60" s="267">
        <f t="shared" ref="CE60:CE68" si="4">SUM(C60:CD60)</f>
        <v>74.180000000000007</v>
      </c>
    </row>
    <row r="61" spans="1:83" x14ac:dyDescent="0.35">
      <c r="A61" s="39" t="s">
        <v>248</v>
      </c>
      <c r="B61" s="20"/>
      <c r="C61" s="24"/>
      <c r="D61" s="24"/>
      <c r="E61" s="24">
        <v>35533</v>
      </c>
      <c r="F61" s="24"/>
      <c r="G61" s="24"/>
      <c r="H61" s="24"/>
      <c r="I61" s="24"/>
      <c r="J61" s="24"/>
      <c r="K61" s="24"/>
      <c r="L61" s="24">
        <v>1743587</v>
      </c>
      <c r="M61" s="24"/>
      <c r="N61" s="24"/>
      <c r="O61" s="24"/>
      <c r="P61" s="30"/>
      <c r="Q61" s="30"/>
      <c r="R61" s="30"/>
      <c r="S61" s="317">
        <v>47380</v>
      </c>
      <c r="T61" s="317"/>
      <c r="U61" s="31">
        <v>318804</v>
      </c>
      <c r="V61" s="30">
        <v>2737</v>
      </c>
      <c r="W61" s="30"/>
      <c r="X61" s="30"/>
      <c r="Y61" s="30">
        <v>377425</v>
      </c>
      <c r="Z61" s="30"/>
      <c r="AA61" s="30"/>
      <c r="AB61" s="318"/>
      <c r="AC61" s="30"/>
      <c r="AD61" s="30"/>
      <c r="AE61" s="30">
        <v>205409</v>
      </c>
      <c r="AF61" s="30"/>
      <c r="AG61" s="30">
        <v>769264</v>
      </c>
      <c r="AH61" s="30"/>
      <c r="AI61" s="30"/>
      <c r="AJ61" s="30">
        <v>629144</v>
      </c>
      <c r="AK61" s="30"/>
      <c r="AL61" s="30"/>
      <c r="AM61" s="30"/>
      <c r="AN61" s="30"/>
      <c r="AO61" s="30">
        <v>6886</v>
      </c>
      <c r="AP61" s="30"/>
      <c r="AQ61" s="30"/>
      <c r="AR61" s="30"/>
      <c r="AS61" s="30"/>
      <c r="AT61" s="30"/>
      <c r="AU61" s="30"/>
      <c r="AV61" s="317"/>
      <c r="AW61" s="317"/>
      <c r="AX61" s="317"/>
      <c r="AY61" s="30">
        <v>255523</v>
      </c>
      <c r="AZ61" s="30"/>
      <c r="BA61" s="317">
        <v>31520</v>
      </c>
      <c r="BB61" s="317">
        <v>115752</v>
      </c>
      <c r="BC61" s="317"/>
      <c r="BD61" s="317"/>
      <c r="BE61" s="30">
        <v>137867</v>
      </c>
      <c r="BF61" s="317">
        <v>131581</v>
      </c>
      <c r="BG61" s="317"/>
      <c r="BH61" s="317">
        <v>43651</v>
      </c>
      <c r="BI61" s="317"/>
      <c r="BJ61" s="317">
        <v>138081</v>
      </c>
      <c r="BK61" s="317"/>
      <c r="BL61" s="317"/>
      <c r="BM61" s="317"/>
      <c r="BN61" s="317">
        <v>110698</v>
      </c>
      <c r="BO61" s="317"/>
      <c r="BP61" s="317"/>
      <c r="BQ61" s="317"/>
      <c r="BR61" s="317">
        <v>83912</v>
      </c>
      <c r="BS61" s="317"/>
      <c r="BT61" s="317"/>
      <c r="BU61" s="317"/>
      <c r="BV61" s="317">
        <v>277317</v>
      </c>
      <c r="BW61" s="317"/>
      <c r="BX61" s="317"/>
      <c r="BY61" s="317">
        <v>181026</v>
      </c>
      <c r="BZ61" s="317"/>
      <c r="CA61" s="317"/>
      <c r="CB61" s="317"/>
      <c r="CC61" s="317"/>
      <c r="CD61" s="29" t="s">
        <v>233</v>
      </c>
      <c r="CE61" s="32">
        <f t="shared" si="4"/>
        <v>5643097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19806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971880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26410</v>
      </c>
      <c r="T62" s="32">
        <f t="shared" si="5"/>
        <v>0</v>
      </c>
      <c r="U62" s="32">
        <f t="shared" si="5"/>
        <v>177702</v>
      </c>
      <c r="V62" s="32">
        <f t="shared" si="5"/>
        <v>1526</v>
      </c>
      <c r="W62" s="32">
        <f t="shared" si="5"/>
        <v>0</v>
      </c>
      <c r="X62" s="32">
        <f t="shared" si="5"/>
        <v>0</v>
      </c>
      <c r="Y62" s="32">
        <f t="shared" si="5"/>
        <v>210378</v>
      </c>
      <c r="Z62" s="32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114496</v>
      </c>
      <c r="AF62" s="32">
        <f t="shared" si="5"/>
        <v>0</v>
      </c>
      <c r="AG62" s="32">
        <f t="shared" si="5"/>
        <v>428790</v>
      </c>
      <c r="AH62" s="32">
        <f t="shared" si="5"/>
        <v>0</v>
      </c>
      <c r="AI62" s="32">
        <f t="shared" si="5"/>
        <v>0</v>
      </c>
      <c r="AJ62" s="32">
        <f t="shared" si="5"/>
        <v>350687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3838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142429</v>
      </c>
      <c r="AZ62" s="32">
        <f t="shared" si="5"/>
        <v>0</v>
      </c>
      <c r="BA62" s="32">
        <f t="shared" si="5"/>
        <v>17569</v>
      </c>
      <c r="BB62" s="32">
        <f t="shared" si="5"/>
        <v>64520</v>
      </c>
      <c r="BC62" s="32">
        <f t="shared" si="5"/>
        <v>0</v>
      </c>
      <c r="BD62" s="32">
        <f t="shared" si="5"/>
        <v>0</v>
      </c>
      <c r="BE62" s="32">
        <f t="shared" si="5"/>
        <v>76847</v>
      </c>
      <c r="BF62" s="32">
        <f t="shared" si="5"/>
        <v>73344</v>
      </c>
      <c r="BG62" s="32">
        <f t="shared" si="5"/>
        <v>0</v>
      </c>
      <c r="BH62" s="32">
        <f t="shared" si="5"/>
        <v>24331</v>
      </c>
      <c r="BI62" s="32">
        <f t="shared" si="5"/>
        <v>0</v>
      </c>
      <c r="BJ62" s="32">
        <f t="shared" si="5"/>
        <v>76967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61703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46773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154577</v>
      </c>
      <c r="BW62" s="32">
        <f t="shared" si="6"/>
        <v>0</v>
      </c>
      <c r="BX62" s="32">
        <f t="shared" si="6"/>
        <v>0</v>
      </c>
      <c r="BY62" s="32">
        <f t="shared" si="6"/>
        <v>100904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3145477</v>
      </c>
    </row>
    <row r="63" spans="1:83" x14ac:dyDescent="0.35">
      <c r="A63" s="39" t="s">
        <v>249</v>
      </c>
      <c r="B63" s="20"/>
      <c r="C63" s="24"/>
      <c r="D63" s="24"/>
      <c r="E63" s="24">
        <v>39044</v>
      </c>
      <c r="F63" s="24"/>
      <c r="G63" s="24"/>
      <c r="H63" s="24"/>
      <c r="I63" s="24"/>
      <c r="J63" s="24"/>
      <c r="K63" s="24"/>
      <c r="L63" s="24">
        <v>1915869</v>
      </c>
      <c r="M63" s="24"/>
      <c r="N63" s="24"/>
      <c r="O63" s="24"/>
      <c r="P63" s="30"/>
      <c r="Q63" s="30"/>
      <c r="R63" s="30"/>
      <c r="S63" s="317">
        <v>63</v>
      </c>
      <c r="T63" s="317"/>
      <c r="U63" s="31">
        <v>20370</v>
      </c>
      <c r="V63" s="30">
        <v>24</v>
      </c>
      <c r="W63" s="30"/>
      <c r="X63" s="30"/>
      <c r="Y63" s="30">
        <v>228</v>
      </c>
      <c r="Z63" s="30"/>
      <c r="AA63" s="30"/>
      <c r="AB63" s="318">
        <v>194460</v>
      </c>
      <c r="AC63" s="30"/>
      <c r="AD63" s="30"/>
      <c r="AE63" s="30">
        <v>2724</v>
      </c>
      <c r="AF63" s="30"/>
      <c r="AG63" s="30">
        <v>126</v>
      </c>
      <c r="AH63" s="30"/>
      <c r="AI63" s="30"/>
      <c r="AJ63" s="30">
        <v>30268</v>
      </c>
      <c r="AK63" s="30"/>
      <c r="AL63" s="30"/>
      <c r="AM63" s="30"/>
      <c r="AN63" s="30"/>
      <c r="AO63" s="30">
        <v>7567</v>
      </c>
      <c r="AP63" s="30"/>
      <c r="AQ63" s="30"/>
      <c r="AR63" s="30"/>
      <c r="AS63" s="30"/>
      <c r="AT63" s="30"/>
      <c r="AU63" s="30"/>
      <c r="AV63" s="317"/>
      <c r="AW63" s="317"/>
      <c r="AX63" s="317"/>
      <c r="AY63" s="30">
        <v>25262</v>
      </c>
      <c r="AZ63" s="30"/>
      <c r="BA63" s="317"/>
      <c r="BB63" s="317">
        <v>47</v>
      </c>
      <c r="BC63" s="317"/>
      <c r="BD63" s="317"/>
      <c r="BE63" s="30">
        <v>2471</v>
      </c>
      <c r="BF63" s="317">
        <v>95</v>
      </c>
      <c r="BG63" s="317"/>
      <c r="BH63" s="317">
        <v>42</v>
      </c>
      <c r="BI63" s="317"/>
      <c r="BJ63" s="317">
        <v>12417</v>
      </c>
      <c r="BK63" s="317"/>
      <c r="BL63" s="317"/>
      <c r="BM63" s="317"/>
      <c r="BN63" s="317">
        <v>259272</v>
      </c>
      <c r="BO63" s="317"/>
      <c r="BP63" s="317"/>
      <c r="BQ63" s="317"/>
      <c r="BR63" s="317">
        <v>25775</v>
      </c>
      <c r="BS63" s="317"/>
      <c r="BT63" s="317"/>
      <c r="BU63" s="317"/>
      <c r="BV63" s="317">
        <v>310604</v>
      </c>
      <c r="BW63" s="317"/>
      <c r="BX63" s="317"/>
      <c r="BY63" s="317">
        <v>5891</v>
      </c>
      <c r="BZ63" s="317"/>
      <c r="CA63" s="317"/>
      <c r="CB63" s="317"/>
      <c r="CC63" s="317"/>
      <c r="CD63" s="29" t="s">
        <v>233</v>
      </c>
      <c r="CE63" s="32">
        <f t="shared" si="4"/>
        <v>2852619</v>
      </c>
    </row>
    <row r="64" spans="1:83" x14ac:dyDescent="0.35">
      <c r="A64" s="39" t="s">
        <v>250</v>
      </c>
      <c r="B64" s="20"/>
      <c r="C64" s="24"/>
      <c r="D64" s="24"/>
      <c r="E64" s="24">
        <v>3286</v>
      </c>
      <c r="F64" s="24"/>
      <c r="G64" s="24"/>
      <c r="H64" s="24"/>
      <c r="I64" s="24"/>
      <c r="J64" s="24"/>
      <c r="K64" s="24"/>
      <c r="L64" s="24">
        <v>161256</v>
      </c>
      <c r="M64" s="24"/>
      <c r="N64" s="24"/>
      <c r="O64" s="24"/>
      <c r="P64" s="30"/>
      <c r="Q64" s="30"/>
      <c r="R64" s="30"/>
      <c r="S64" s="317">
        <v>8757</v>
      </c>
      <c r="T64" s="317"/>
      <c r="U64" s="31">
        <v>195092</v>
      </c>
      <c r="V64" s="30">
        <v>283</v>
      </c>
      <c r="W64" s="30"/>
      <c r="X64" s="30"/>
      <c r="Y64" s="30">
        <v>2721</v>
      </c>
      <c r="Z64" s="30"/>
      <c r="AA64" s="30"/>
      <c r="AB64" s="318">
        <v>112291</v>
      </c>
      <c r="AC64" s="30"/>
      <c r="AD64" s="30"/>
      <c r="AE64" s="30">
        <v>1323</v>
      </c>
      <c r="AF64" s="30"/>
      <c r="AG64" s="30">
        <v>39953</v>
      </c>
      <c r="AH64" s="30"/>
      <c r="AI64" s="30"/>
      <c r="AJ64" s="30">
        <v>35273</v>
      </c>
      <c r="AK64" s="30"/>
      <c r="AL64" s="30"/>
      <c r="AM64" s="30"/>
      <c r="AN64" s="30"/>
      <c r="AO64" s="30">
        <v>637</v>
      </c>
      <c r="AP64" s="30"/>
      <c r="AQ64" s="30"/>
      <c r="AR64" s="30"/>
      <c r="AS64" s="30"/>
      <c r="AT64" s="30"/>
      <c r="AU64" s="30"/>
      <c r="AV64" s="317"/>
      <c r="AW64" s="317"/>
      <c r="AX64" s="317"/>
      <c r="AY64" s="30">
        <v>81597</v>
      </c>
      <c r="AZ64" s="30"/>
      <c r="BA64" s="317">
        <v>20079</v>
      </c>
      <c r="BB64" s="317">
        <v>2017</v>
      </c>
      <c r="BC64" s="317"/>
      <c r="BD64" s="317"/>
      <c r="BE64" s="30">
        <v>43254</v>
      </c>
      <c r="BF64" s="317">
        <v>12426</v>
      </c>
      <c r="BG64" s="317"/>
      <c r="BH64" s="317">
        <v>13012</v>
      </c>
      <c r="BI64" s="317"/>
      <c r="BJ64" s="317">
        <v>2658</v>
      </c>
      <c r="BK64" s="317"/>
      <c r="BL64" s="317"/>
      <c r="BM64" s="317"/>
      <c r="BN64" s="317">
        <v>10983</v>
      </c>
      <c r="BO64" s="317"/>
      <c r="BP64" s="317"/>
      <c r="BQ64" s="317"/>
      <c r="BR64" s="317">
        <v>430</v>
      </c>
      <c r="BS64" s="317"/>
      <c r="BT64" s="317"/>
      <c r="BU64" s="317"/>
      <c r="BV64" s="317">
        <v>3022</v>
      </c>
      <c r="BW64" s="317"/>
      <c r="BX64" s="317"/>
      <c r="BY64" s="317">
        <v>79107</v>
      </c>
      <c r="BZ64" s="317"/>
      <c r="CA64" s="317"/>
      <c r="CB64" s="317"/>
      <c r="CC64" s="317"/>
      <c r="CD64" s="29" t="s">
        <v>233</v>
      </c>
      <c r="CE64" s="32">
        <f t="shared" si="4"/>
        <v>829457</v>
      </c>
    </row>
    <row r="65" spans="1:83" x14ac:dyDescent="0.35">
      <c r="A65" s="39" t="s">
        <v>251</v>
      </c>
      <c r="B65" s="20"/>
      <c r="C65" s="24"/>
      <c r="D65" s="24"/>
      <c r="E65" s="24">
        <v>99</v>
      </c>
      <c r="F65" s="24"/>
      <c r="G65" s="24"/>
      <c r="H65" s="24"/>
      <c r="I65" s="24"/>
      <c r="J65" s="24"/>
      <c r="K65" s="24"/>
      <c r="L65" s="24">
        <v>4842</v>
      </c>
      <c r="M65" s="24"/>
      <c r="N65" s="24"/>
      <c r="O65" s="24"/>
      <c r="P65" s="30"/>
      <c r="Q65" s="30"/>
      <c r="R65" s="30"/>
      <c r="S65" s="317"/>
      <c r="T65" s="317"/>
      <c r="U65" s="31"/>
      <c r="V65" s="30"/>
      <c r="W65" s="30"/>
      <c r="X65" s="30"/>
      <c r="Y65" s="30"/>
      <c r="Z65" s="30"/>
      <c r="AA65" s="30"/>
      <c r="AB65" s="318">
        <v>1432</v>
      </c>
      <c r="AC65" s="30"/>
      <c r="AD65" s="30"/>
      <c r="AE65" s="30"/>
      <c r="AF65" s="30"/>
      <c r="AG65" s="30">
        <v>813</v>
      </c>
      <c r="AH65" s="30"/>
      <c r="AI65" s="30"/>
      <c r="AJ65" s="30"/>
      <c r="AK65" s="30"/>
      <c r="AL65" s="30"/>
      <c r="AM65" s="30"/>
      <c r="AN65" s="30"/>
      <c r="AO65" s="30">
        <v>19</v>
      </c>
      <c r="AP65" s="30"/>
      <c r="AQ65" s="30"/>
      <c r="AR65" s="30"/>
      <c r="AS65" s="30"/>
      <c r="AT65" s="30"/>
      <c r="AU65" s="30"/>
      <c r="AV65" s="317"/>
      <c r="AW65" s="317"/>
      <c r="AX65" s="317"/>
      <c r="AY65" s="30">
        <v>0</v>
      </c>
      <c r="AZ65" s="30"/>
      <c r="BA65" s="317">
        <v>0</v>
      </c>
      <c r="BB65" s="317"/>
      <c r="BC65" s="317"/>
      <c r="BD65" s="317"/>
      <c r="BE65" s="30">
        <v>131604</v>
      </c>
      <c r="BF65" s="317"/>
      <c r="BG65" s="317"/>
      <c r="BH65" s="317">
        <v>42689</v>
      </c>
      <c r="BI65" s="317"/>
      <c r="BJ65" s="317"/>
      <c r="BK65" s="317"/>
      <c r="BL65" s="317"/>
      <c r="BM65" s="317"/>
      <c r="BN65" s="317">
        <v>14</v>
      </c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>
        <v>180</v>
      </c>
      <c r="BZ65" s="317"/>
      <c r="CA65" s="317"/>
      <c r="CB65" s="317"/>
      <c r="CC65" s="317"/>
      <c r="CD65" s="29" t="s">
        <v>233</v>
      </c>
      <c r="CE65" s="32">
        <f t="shared" si="4"/>
        <v>181692</v>
      </c>
    </row>
    <row r="66" spans="1:83" x14ac:dyDescent="0.35">
      <c r="A66" s="39" t="s">
        <v>252</v>
      </c>
      <c r="B66" s="20"/>
      <c r="C66" s="24"/>
      <c r="D66" s="24"/>
      <c r="E66" s="24">
        <v>872</v>
      </c>
      <c r="F66" s="24"/>
      <c r="G66" s="24"/>
      <c r="H66" s="24"/>
      <c r="I66" s="24"/>
      <c r="J66" s="24"/>
      <c r="K66" s="24"/>
      <c r="L66" s="24">
        <v>42773</v>
      </c>
      <c r="M66" s="24"/>
      <c r="N66" s="24"/>
      <c r="O66" s="24"/>
      <c r="P66" s="30"/>
      <c r="Q66" s="30"/>
      <c r="R66" s="30"/>
      <c r="S66" s="317"/>
      <c r="T66" s="317"/>
      <c r="U66" s="31">
        <v>520780</v>
      </c>
      <c r="V66" s="30">
        <v>4213</v>
      </c>
      <c r="W66" s="30"/>
      <c r="X66" s="30"/>
      <c r="Y66" s="30">
        <v>40497</v>
      </c>
      <c r="Z66" s="30"/>
      <c r="AA66" s="30"/>
      <c r="AB66" s="318">
        <v>8903</v>
      </c>
      <c r="AC66" s="30"/>
      <c r="AD66" s="30"/>
      <c r="AE66" s="30"/>
      <c r="AF66" s="30"/>
      <c r="AG66" s="30">
        <v>3003</v>
      </c>
      <c r="AH66" s="30"/>
      <c r="AI66" s="30"/>
      <c r="AJ66" s="30">
        <v>10659</v>
      </c>
      <c r="AK66" s="30"/>
      <c r="AL66" s="30"/>
      <c r="AM66" s="30"/>
      <c r="AN66" s="30"/>
      <c r="AO66" s="30">
        <v>169</v>
      </c>
      <c r="AP66" s="30"/>
      <c r="AQ66" s="30"/>
      <c r="AR66" s="30"/>
      <c r="AS66" s="30"/>
      <c r="AT66" s="30"/>
      <c r="AU66" s="30"/>
      <c r="AV66" s="317"/>
      <c r="AW66" s="317"/>
      <c r="AX66" s="317"/>
      <c r="AY66" s="30">
        <v>6114</v>
      </c>
      <c r="AZ66" s="30"/>
      <c r="BA66" s="317">
        <v>383</v>
      </c>
      <c r="BB66" s="317"/>
      <c r="BC66" s="317"/>
      <c r="BD66" s="317"/>
      <c r="BE66" s="30">
        <v>43830</v>
      </c>
      <c r="BF66" s="317">
        <v>184</v>
      </c>
      <c r="BG66" s="317"/>
      <c r="BH66" s="317">
        <v>136113</v>
      </c>
      <c r="BI66" s="317"/>
      <c r="BJ66" s="317">
        <v>0</v>
      </c>
      <c r="BK66" s="317"/>
      <c r="BL66" s="317"/>
      <c r="BM66" s="317"/>
      <c r="BN66" s="317">
        <v>10750</v>
      </c>
      <c r="BO66" s="317"/>
      <c r="BP66" s="317"/>
      <c r="BQ66" s="317"/>
      <c r="BR66" s="317">
        <v>0</v>
      </c>
      <c r="BS66" s="317"/>
      <c r="BT66" s="317"/>
      <c r="BU66" s="317"/>
      <c r="BV66" s="317">
        <v>86</v>
      </c>
      <c r="BW66" s="317"/>
      <c r="BX66" s="317"/>
      <c r="BY66" s="317">
        <f>1768+20700</f>
        <v>22468</v>
      </c>
      <c r="BZ66" s="317"/>
      <c r="CA66" s="317"/>
      <c r="CB66" s="317"/>
      <c r="CC66" s="317"/>
      <c r="CD66" s="29" t="s">
        <v>233</v>
      </c>
      <c r="CE66" s="32">
        <f t="shared" si="4"/>
        <v>851797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>ROUND(E51+E52,0)</f>
        <v>2355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115607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3414</v>
      </c>
      <c r="T67" s="32">
        <f t="shared" si="7"/>
        <v>0</v>
      </c>
      <c r="U67" s="32">
        <f t="shared" si="7"/>
        <v>7006</v>
      </c>
      <c r="V67" s="32">
        <f t="shared" si="7"/>
        <v>178</v>
      </c>
      <c r="W67" s="32">
        <f t="shared" si="7"/>
        <v>0</v>
      </c>
      <c r="X67" s="32">
        <f t="shared" si="7"/>
        <v>0</v>
      </c>
      <c r="Y67" s="32">
        <f t="shared" si="7"/>
        <v>1701</v>
      </c>
      <c r="Z67" s="32">
        <f t="shared" si="7"/>
        <v>0</v>
      </c>
      <c r="AA67" s="32">
        <f t="shared" si="7"/>
        <v>0</v>
      </c>
      <c r="AB67" s="32">
        <f t="shared" si="7"/>
        <v>678</v>
      </c>
      <c r="AC67" s="32">
        <f t="shared" si="7"/>
        <v>0</v>
      </c>
      <c r="AD67" s="32">
        <f t="shared" si="7"/>
        <v>0</v>
      </c>
      <c r="AE67" s="32">
        <f t="shared" si="7"/>
        <v>5959</v>
      </c>
      <c r="AF67" s="32">
        <f t="shared" si="7"/>
        <v>0</v>
      </c>
      <c r="AG67" s="32">
        <f t="shared" si="7"/>
        <v>7506</v>
      </c>
      <c r="AH67" s="32">
        <f t="shared" si="7"/>
        <v>0</v>
      </c>
      <c r="AI67" s="32">
        <f t="shared" si="7"/>
        <v>0</v>
      </c>
      <c r="AJ67" s="32">
        <f t="shared" si="7"/>
        <v>12323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452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13513</v>
      </c>
      <c r="AZ67" s="32">
        <f t="shared" si="7"/>
        <v>0</v>
      </c>
      <c r="BA67" s="32">
        <f t="shared" si="7"/>
        <v>8838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17521</v>
      </c>
      <c r="BF67" s="32">
        <f t="shared" si="7"/>
        <v>2486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42762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4235</v>
      </c>
      <c r="BW67" s="32">
        <f t="shared" si="8"/>
        <v>0</v>
      </c>
      <c r="BX67" s="32">
        <f t="shared" si="8"/>
        <v>0</v>
      </c>
      <c r="BY67" s="32">
        <f t="shared" si="8"/>
        <v>2343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248877</v>
      </c>
    </row>
    <row r="68" spans="1:83" x14ac:dyDescent="0.35">
      <c r="A68" s="39" t="s">
        <v>253</v>
      </c>
      <c r="B68" s="32"/>
      <c r="C68" s="24"/>
      <c r="D68" s="24"/>
      <c r="E68" s="24">
        <v>324</v>
      </c>
      <c r="F68" s="24"/>
      <c r="G68" s="24"/>
      <c r="H68" s="24"/>
      <c r="I68" s="24"/>
      <c r="J68" s="24"/>
      <c r="K68" s="24"/>
      <c r="L68" s="24">
        <v>15891</v>
      </c>
      <c r="M68" s="24"/>
      <c r="N68" s="24"/>
      <c r="O68" s="24"/>
      <c r="P68" s="30"/>
      <c r="Q68" s="30"/>
      <c r="R68" s="30"/>
      <c r="S68" s="317"/>
      <c r="T68" s="317"/>
      <c r="U68" s="31">
        <v>0</v>
      </c>
      <c r="V68" s="30"/>
      <c r="W68" s="30"/>
      <c r="X68" s="30"/>
      <c r="Y68" s="30"/>
      <c r="Z68" s="30"/>
      <c r="AA68" s="30"/>
      <c r="AB68" s="318"/>
      <c r="AC68" s="30"/>
      <c r="AD68" s="30"/>
      <c r="AE68" s="30"/>
      <c r="AF68" s="30"/>
      <c r="AG68" s="30">
        <v>9718</v>
      </c>
      <c r="AH68" s="30"/>
      <c r="AI68" s="30"/>
      <c r="AJ68" s="30">
        <v>3062</v>
      </c>
      <c r="AK68" s="30"/>
      <c r="AL68" s="30"/>
      <c r="AM68" s="30"/>
      <c r="AN68" s="30"/>
      <c r="AO68" s="30">
        <v>63</v>
      </c>
      <c r="AP68" s="30"/>
      <c r="AQ68" s="30"/>
      <c r="AR68" s="30"/>
      <c r="AS68" s="30"/>
      <c r="AT68" s="30"/>
      <c r="AU68" s="30"/>
      <c r="AV68" s="317"/>
      <c r="AW68" s="317"/>
      <c r="AX68" s="317"/>
      <c r="AY68" s="30">
        <v>43</v>
      </c>
      <c r="AZ68" s="30"/>
      <c r="BA68" s="317"/>
      <c r="BB68" s="317"/>
      <c r="BC68" s="317"/>
      <c r="BD68" s="317"/>
      <c r="BE68" s="30">
        <v>4734</v>
      </c>
      <c r="BF68" s="317"/>
      <c r="BG68" s="317"/>
      <c r="BH68" s="317"/>
      <c r="BI68" s="317"/>
      <c r="BJ68" s="317">
        <v>-8644</v>
      </c>
      <c r="BK68" s="317"/>
      <c r="BL68" s="317"/>
      <c r="BM68" s="317"/>
      <c r="BN68" s="317">
        <v>3461</v>
      </c>
      <c r="BO68" s="317"/>
      <c r="BP68" s="317"/>
      <c r="BQ68" s="317"/>
      <c r="BR68" s="317"/>
      <c r="BS68" s="317"/>
      <c r="BT68" s="317"/>
      <c r="BU68" s="317"/>
      <c r="BV68" s="317">
        <v>2550</v>
      </c>
      <c r="BW68" s="317"/>
      <c r="BX68" s="317"/>
      <c r="BY68" s="317">
        <v>0</v>
      </c>
      <c r="BZ68" s="317"/>
      <c r="CA68" s="317"/>
      <c r="CB68" s="317"/>
      <c r="CC68" s="317"/>
      <c r="CD68" s="29" t="s">
        <v>233</v>
      </c>
      <c r="CE68" s="32">
        <f t="shared" si="4"/>
        <v>31202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>SUM(E70:E83)</f>
        <v>937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>SUM(L70:L83)</f>
        <v>45978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38</v>
      </c>
      <c r="T69" s="32">
        <f t="shared" si="9"/>
        <v>0</v>
      </c>
      <c r="U69" s="32">
        <f t="shared" si="9"/>
        <v>6062</v>
      </c>
      <c r="V69" s="32">
        <f>SUM(V70:V83)</f>
        <v>30</v>
      </c>
      <c r="W69" s="32">
        <f t="shared" si="9"/>
        <v>0</v>
      </c>
      <c r="X69" s="32">
        <f t="shared" si="9"/>
        <v>0</v>
      </c>
      <c r="Y69" s="32">
        <f>SUM(Y70:Y83)</f>
        <v>286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580</v>
      </c>
      <c r="AF69" s="32">
        <f t="shared" si="9"/>
        <v>0</v>
      </c>
      <c r="AG69" s="32">
        <f t="shared" si="9"/>
        <v>9823</v>
      </c>
      <c r="AH69" s="32">
        <f t="shared" si="9"/>
        <v>0</v>
      </c>
      <c r="AI69" s="32">
        <f t="shared" si="9"/>
        <v>0</v>
      </c>
      <c r="AJ69" s="32">
        <f t="shared" si="9"/>
        <v>4368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>SUM(AO70:AO83)</f>
        <v>182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119</v>
      </c>
      <c r="AZ69" s="32">
        <f t="shared" si="9"/>
        <v>0</v>
      </c>
      <c r="BA69" s="32">
        <f t="shared" si="9"/>
        <v>0</v>
      </c>
      <c r="BB69" s="32">
        <f t="shared" si="9"/>
        <v>566</v>
      </c>
      <c r="BC69" s="32">
        <f t="shared" si="9"/>
        <v>0</v>
      </c>
      <c r="BD69" s="32">
        <f t="shared" si="9"/>
        <v>0</v>
      </c>
      <c r="BE69" s="32">
        <f t="shared" si="9"/>
        <v>1527</v>
      </c>
      <c r="BF69" s="32">
        <f t="shared" si="9"/>
        <v>120</v>
      </c>
      <c r="BG69" s="32">
        <f t="shared" si="9"/>
        <v>0</v>
      </c>
      <c r="BH69" s="32">
        <f t="shared" si="9"/>
        <v>66091</v>
      </c>
      <c r="BI69" s="32">
        <f t="shared" si="9"/>
        <v>0</v>
      </c>
      <c r="BJ69" s="32">
        <f t="shared" si="9"/>
        <v>41381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149419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12324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11104</v>
      </c>
      <c r="BW69" s="32">
        <f t="shared" si="10"/>
        <v>0</v>
      </c>
      <c r="BX69" s="32">
        <f t="shared" si="10"/>
        <v>0</v>
      </c>
      <c r="BY69" s="32">
        <f t="shared" si="10"/>
        <v>321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185825</v>
      </c>
      <c r="CE69" s="32">
        <f>SUM(CE70:CE84)</f>
        <v>537081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4" si="11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24">
        <v>937</v>
      </c>
      <c r="F83" s="30"/>
      <c r="G83" s="24"/>
      <c r="H83" s="24"/>
      <c r="I83" s="30"/>
      <c r="J83" s="30"/>
      <c r="K83" s="30"/>
      <c r="L83" s="24">
        <v>45978</v>
      </c>
      <c r="M83" s="24"/>
      <c r="N83" s="24"/>
      <c r="O83" s="24"/>
      <c r="P83" s="30"/>
      <c r="Q83" s="30"/>
      <c r="R83" s="31"/>
      <c r="S83" s="30">
        <v>38</v>
      </c>
      <c r="T83" s="24"/>
      <c r="U83" s="30">
        <v>6062</v>
      </c>
      <c r="V83" s="24">
        <v>30</v>
      </c>
      <c r="W83" s="24"/>
      <c r="X83" s="30"/>
      <c r="Y83" s="24">
        <v>286</v>
      </c>
      <c r="Z83" s="30"/>
      <c r="AA83" s="30"/>
      <c r="AB83" s="30">
        <v>0</v>
      </c>
      <c r="AC83" s="30"/>
      <c r="AD83" s="30"/>
      <c r="AE83" s="30">
        <v>580</v>
      </c>
      <c r="AF83" s="30"/>
      <c r="AG83" s="30">
        <v>9823</v>
      </c>
      <c r="AH83" s="30"/>
      <c r="AI83" s="30"/>
      <c r="AJ83" s="30">
        <v>4368</v>
      </c>
      <c r="AK83" s="30"/>
      <c r="AL83" s="30"/>
      <c r="AM83" s="30"/>
      <c r="AN83" s="30"/>
      <c r="AO83" s="24">
        <v>182</v>
      </c>
      <c r="AP83" s="30"/>
      <c r="AQ83" s="24"/>
      <c r="AR83" s="24"/>
      <c r="AS83" s="24"/>
      <c r="AT83" s="24"/>
      <c r="AU83" s="30"/>
      <c r="AV83" s="30"/>
      <c r="AW83" s="30"/>
      <c r="AX83" s="30"/>
      <c r="AY83" s="30">
        <v>119</v>
      </c>
      <c r="AZ83" s="30"/>
      <c r="BA83" s="30"/>
      <c r="BB83" s="30">
        <v>566</v>
      </c>
      <c r="BC83" s="30"/>
      <c r="BD83" s="30"/>
      <c r="BE83" s="30">
        <v>1527</v>
      </c>
      <c r="BF83" s="30">
        <v>120</v>
      </c>
      <c r="BG83" s="30"/>
      <c r="BH83" s="31">
        <v>66091</v>
      </c>
      <c r="BI83" s="30"/>
      <c r="BJ83" s="30">
        <v>41381</v>
      </c>
      <c r="BK83" s="30"/>
      <c r="BL83" s="30"/>
      <c r="BM83" s="30"/>
      <c r="BN83" s="30">
        <v>149419</v>
      </c>
      <c r="BO83" s="30"/>
      <c r="BP83" s="30"/>
      <c r="BQ83" s="30"/>
      <c r="BR83" s="30">
        <v>12324</v>
      </c>
      <c r="BS83" s="30"/>
      <c r="BT83" s="30"/>
      <c r="BU83" s="30"/>
      <c r="BV83" s="30">
        <v>11104</v>
      </c>
      <c r="BW83" s="30"/>
      <c r="BX83" s="30"/>
      <c r="BY83" s="30">
        <v>321</v>
      </c>
      <c r="BZ83" s="30"/>
      <c r="CA83" s="30"/>
      <c r="CB83" s="30"/>
      <c r="CC83" s="30"/>
      <c r="CD83" s="35">
        <v>185825</v>
      </c>
      <c r="CE83" s="32">
        <f t="shared" si="11"/>
        <v>537081</v>
      </c>
    </row>
    <row r="84" spans="1:84" x14ac:dyDescent="0.35">
      <c r="A84" s="39" t="s">
        <v>269</v>
      </c>
      <c r="B84" s="20"/>
      <c r="C84" s="24"/>
      <c r="D84" s="24"/>
      <c r="F84" s="24"/>
      <c r="G84" s="24"/>
      <c r="H84" s="24"/>
      <c r="I84" s="24"/>
      <c r="J84" s="24"/>
      <c r="K84" s="24"/>
      <c r="M84" s="24"/>
      <c r="N84" s="24"/>
      <c r="O84" s="24"/>
      <c r="P84" s="24"/>
      <c r="Q84" s="24"/>
      <c r="R84" s="24"/>
      <c r="S84" s="24"/>
      <c r="T84" s="24"/>
      <c r="U84" s="24"/>
      <c r="W84" s="24"/>
      <c r="X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>
        <v>0</v>
      </c>
      <c r="CE84" s="32">
        <f t="shared" si="11"/>
        <v>0</v>
      </c>
    </row>
    <row r="85" spans="1:84" x14ac:dyDescent="0.35">
      <c r="A85" s="39" t="s">
        <v>270</v>
      </c>
      <c r="B85" s="32"/>
      <c r="C85" s="32">
        <f t="shared" ref="C85:BE85" si="12">SUM(C61:C69)-C84</f>
        <v>0</v>
      </c>
      <c r="D85" s="32">
        <f t="shared" si="12"/>
        <v>0</v>
      </c>
      <c r="E85" s="32">
        <f t="shared" si="12"/>
        <v>102256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5017683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86062</v>
      </c>
      <c r="T85" s="32">
        <f t="shared" si="12"/>
        <v>0</v>
      </c>
      <c r="U85" s="32">
        <f t="shared" si="12"/>
        <v>1245816</v>
      </c>
      <c r="V85" s="32">
        <f t="shared" si="12"/>
        <v>8991</v>
      </c>
      <c r="W85" s="32">
        <f t="shared" si="12"/>
        <v>0</v>
      </c>
      <c r="X85" s="32">
        <f t="shared" si="12"/>
        <v>0</v>
      </c>
      <c r="Y85" s="32">
        <f t="shared" si="12"/>
        <v>633236</v>
      </c>
      <c r="Z85" s="32">
        <f t="shared" si="12"/>
        <v>0</v>
      </c>
      <c r="AA85" s="32">
        <f t="shared" si="12"/>
        <v>0</v>
      </c>
      <c r="AB85" s="32">
        <f t="shared" si="12"/>
        <v>317764</v>
      </c>
      <c r="AC85" s="32">
        <f t="shared" si="12"/>
        <v>0</v>
      </c>
      <c r="AD85" s="32">
        <f t="shared" si="12"/>
        <v>0</v>
      </c>
      <c r="AE85" s="32">
        <f t="shared" si="12"/>
        <v>330491</v>
      </c>
      <c r="AF85" s="32">
        <f t="shared" si="12"/>
        <v>0</v>
      </c>
      <c r="AG85" s="32">
        <f t="shared" si="12"/>
        <v>1268996</v>
      </c>
      <c r="AH85" s="32">
        <f t="shared" si="12"/>
        <v>0</v>
      </c>
      <c r="AI85" s="32">
        <f t="shared" si="12"/>
        <v>0</v>
      </c>
      <c r="AJ85" s="32">
        <f t="shared" si="12"/>
        <v>1075784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19813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524600</v>
      </c>
      <c r="AZ85" s="32">
        <f t="shared" si="12"/>
        <v>0</v>
      </c>
      <c r="BA85" s="32">
        <f t="shared" si="12"/>
        <v>78389</v>
      </c>
      <c r="BB85" s="32">
        <f t="shared" si="12"/>
        <v>182902</v>
      </c>
      <c r="BC85" s="32">
        <f t="shared" si="12"/>
        <v>0</v>
      </c>
      <c r="BD85" s="32">
        <f t="shared" si="12"/>
        <v>0</v>
      </c>
      <c r="BE85" s="32">
        <f t="shared" si="12"/>
        <v>459655</v>
      </c>
      <c r="BF85" s="32">
        <f>SUM(BF61:BF69)-BF84</f>
        <v>220236</v>
      </c>
      <c r="BG85" s="32">
        <f t="shared" ref="BG85:BO85" si="13">SUM(BG61:BG69)-BG84</f>
        <v>0</v>
      </c>
      <c r="BH85" s="32">
        <f>SUM(BH61:BH69)-BH84</f>
        <v>325929</v>
      </c>
      <c r="BI85" s="32">
        <f t="shared" si="13"/>
        <v>0</v>
      </c>
      <c r="BJ85" s="32">
        <f>SUM(BJ61:BJ69)-BJ84</f>
        <v>262860</v>
      </c>
      <c r="BK85" s="32">
        <f t="shared" si="13"/>
        <v>0</v>
      </c>
      <c r="BL85" s="32">
        <f t="shared" si="13"/>
        <v>0</v>
      </c>
      <c r="BM85" s="32">
        <f t="shared" si="13"/>
        <v>0</v>
      </c>
      <c r="BN85" s="32">
        <f>SUM(BN61:BN69)-BN84</f>
        <v>649062</v>
      </c>
      <c r="BO85" s="32">
        <f t="shared" si="13"/>
        <v>0</v>
      </c>
      <c r="BP85" s="32">
        <f t="shared" ref="BP85:CC85" si="14">SUM(BP61:BP69)-BP84</f>
        <v>0</v>
      </c>
      <c r="BQ85" s="32">
        <f t="shared" si="14"/>
        <v>0</v>
      </c>
      <c r="BR85" s="32">
        <f>SUM(BR61:BR69)-BR84</f>
        <v>169214</v>
      </c>
      <c r="BS85" s="32">
        <f t="shared" si="14"/>
        <v>0</v>
      </c>
      <c r="BT85" s="32">
        <f t="shared" si="14"/>
        <v>0</v>
      </c>
      <c r="BU85" s="32">
        <f t="shared" si="14"/>
        <v>0</v>
      </c>
      <c r="BV85" s="32">
        <f>SUM(BV61:BV69)-BV84</f>
        <v>763495</v>
      </c>
      <c r="BW85" s="32">
        <f t="shared" si="14"/>
        <v>0</v>
      </c>
      <c r="BX85" s="32">
        <f t="shared" si="14"/>
        <v>0</v>
      </c>
      <c r="BY85" s="32">
        <f>SUM(BY61:BY69)-BY84</f>
        <v>392240</v>
      </c>
      <c r="BZ85" s="32">
        <f t="shared" si="14"/>
        <v>0</v>
      </c>
      <c r="CA85" s="32">
        <f t="shared" si="14"/>
        <v>0</v>
      </c>
      <c r="CB85" s="32">
        <f t="shared" si="14"/>
        <v>0</v>
      </c>
      <c r="CC85" s="32">
        <f t="shared" si="14"/>
        <v>0</v>
      </c>
      <c r="CD85" s="32">
        <f>SUM(CD61:CD69)-CD84</f>
        <v>185825</v>
      </c>
      <c r="CE85" s="32">
        <f>SUM(C85:CD85)</f>
        <v>14321299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>
        <f>1837778-1558674</f>
        <v>279104</v>
      </c>
      <c r="F87" s="24"/>
      <c r="G87" s="24"/>
      <c r="H87" s="24"/>
      <c r="I87" s="24"/>
      <c r="J87" s="24"/>
      <c r="K87" s="24"/>
      <c r="L87" s="24">
        <v>1558674</v>
      </c>
      <c r="M87" s="24"/>
      <c r="N87" s="24"/>
      <c r="O87" s="24"/>
      <c r="P87" s="24"/>
      <c r="Q87" s="24"/>
      <c r="R87" s="24"/>
      <c r="S87" s="24">
        <v>4186</v>
      </c>
      <c r="T87" s="24"/>
      <c r="U87" s="24">
        <v>180559</v>
      </c>
      <c r="V87" s="24">
        <v>5570</v>
      </c>
      <c r="W87" s="24"/>
      <c r="X87" s="24"/>
      <c r="Y87" s="24">
        <v>65787</v>
      </c>
      <c r="Z87" s="24"/>
      <c r="AA87" s="24"/>
      <c r="AB87" s="24">
        <v>262582</v>
      </c>
      <c r="AC87" s="24"/>
      <c r="AD87" s="24"/>
      <c r="AE87" s="24">
        <v>52931</v>
      </c>
      <c r="AF87" s="24"/>
      <c r="AG87" s="24">
        <v>-773</v>
      </c>
      <c r="AH87" s="24"/>
      <c r="AI87" s="24"/>
      <c r="AJ87" s="24">
        <v>166</v>
      </c>
      <c r="AK87" s="24"/>
      <c r="AL87" s="24"/>
      <c r="AM87" s="24"/>
      <c r="AN87" s="24"/>
      <c r="AO87" s="24">
        <v>6188</v>
      </c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5">SUM(C87:CD87)</f>
        <v>2414974</v>
      </c>
    </row>
    <row r="88" spans="1:84" x14ac:dyDescent="0.35">
      <c r="A88" s="26" t="s">
        <v>273</v>
      </c>
      <c r="B88" s="20"/>
      <c r="C88" s="24"/>
      <c r="D88" s="24"/>
      <c r="E88" s="24">
        <v>13387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>
        <v>12145</v>
      </c>
      <c r="T88" s="24"/>
      <c r="U88" s="24">
        <v>2058319</v>
      </c>
      <c r="V88" s="24">
        <v>90893</v>
      </c>
      <c r="W88" s="24"/>
      <c r="X88" s="24"/>
      <c r="Y88" s="24">
        <v>861515</v>
      </c>
      <c r="Z88" s="24"/>
      <c r="AA88" s="24"/>
      <c r="AB88" s="24">
        <v>421597</v>
      </c>
      <c r="AC88" s="24"/>
      <c r="AD88" s="24"/>
      <c r="AE88" s="24">
        <v>332615</v>
      </c>
      <c r="AF88" s="24"/>
      <c r="AG88" s="24">
        <v>1602853</v>
      </c>
      <c r="AH88" s="24"/>
      <c r="AI88" s="24"/>
      <c r="AJ88" s="24">
        <v>582256</v>
      </c>
      <c r="AK88" s="24"/>
      <c r="AL88" s="24"/>
      <c r="AM88" s="24"/>
      <c r="AN88" s="24"/>
      <c r="AO88" s="24">
        <v>216862</v>
      </c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5"/>
        <v>6192442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6">D87+D88</f>
        <v>0</v>
      </c>
      <c r="E89" s="32">
        <f t="shared" si="16"/>
        <v>292491</v>
      </c>
      <c r="F89" s="32">
        <f t="shared" si="16"/>
        <v>0</v>
      </c>
      <c r="G89" s="32">
        <f t="shared" si="16"/>
        <v>0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1558674</v>
      </c>
      <c r="M89" s="32">
        <f t="shared" si="16"/>
        <v>0</v>
      </c>
      <c r="N89" s="32">
        <f t="shared" si="16"/>
        <v>0</v>
      </c>
      <c r="O89" s="32">
        <f t="shared" si="16"/>
        <v>0</v>
      </c>
      <c r="P89" s="32">
        <f t="shared" si="16"/>
        <v>0</v>
      </c>
      <c r="Q89" s="32">
        <f t="shared" si="16"/>
        <v>0</v>
      </c>
      <c r="R89" s="32">
        <f t="shared" si="16"/>
        <v>0</v>
      </c>
      <c r="S89" s="32">
        <f t="shared" si="16"/>
        <v>16331</v>
      </c>
      <c r="T89" s="32">
        <f t="shared" si="16"/>
        <v>0</v>
      </c>
      <c r="U89" s="32">
        <f t="shared" si="16"/>
        <v>2238878</v>
      </c>
      <c r="V89" s="32">
        <f t="shared" si="16"/>
        <v>96463</v>
      </c>
      <c r="W89" s="32">
        <f t="shared" si="16"/>
        <v>0</v>
      </c>
      <c r="X89" s="32">
        <f t="shared" si="16"/>
        <v>0</v>
      </c>
      <c r="Y89" s="32">
        <f t="shared" si="16"/>
        <v>927302</v>
      </c>
      <c r="Z89" s="32">
        <f t="shared" si="16"/>
        <v>0</v>
      </c>
      <c r="AA89" s="32">
        <f t="shared" si="16"/>
        <v>0</v>
      </c>
      <c r="AB89" s="32">
        <f t="shared" si="16"/>
        <v>684179</v>
      </c>
      <c r="AC89" s="32">
        <f t="shared" si="16"/>
        <v>0</v>
      </c>
      <c r="AD89" s="32">
        <f t="shared" si="16"/>
        <v>0</v>
      </c>
      <c r="AE89" s="32">
        <f t="shared" si="16"/>
        <v>385546</v>
      </c>
      <c r="AF89" s="32">
        <f t="shared" si="16"/>
        <v>0</v>
      </c>
      <c r="AG89" s="32">
        <f t="shared" si="16"/>
        <v>1602080</v>
      </c>
      <c r="AH89" s="32">
        <f t="shared" si="16"/>
        <v>0</v>
      </c>
      <c r="AI89" s="32">
        <f t="shared" si="16"/>
        <v>0</v>
      </c>
      <c r="AJ89" s="32">
        <f t="shared" si="16"/>
        <v>582422</v>
      </c>
      <c r="AK89" s="32">
        <f t="shared" si="16"/>
        <v>0</v>
      </c>
      <c r="AL89" s="32">
        <f t="shared" si="16"/>
        <v>0</v>
      </c>
      <c r="AM89" s="32">
        <f t="shared" si="16"/>
        <v>0</v>
      </c>
      <c r="AN89" s="32">
        <f t="shared" si="16"/>
        <v>0</v>
      </c>
      <c r="AO89" s="32">
        <f t="shared" si="16"/>
        <v>223050</v>
      </c>
      <c r="AP89" s="32">
        <f t="shared" si="16"/>
        <v>0</v>
      </c>
      <c r="AQ89" s="32">
        <f t="shared" si="16"/>
        <v>0</v>
      </c>
      <c r="AR89" s="32">
        <f t="shared" si="16"/>
        <v>0</v>
      </c>
      <c r="AS89" s="32">
        <f t="shared" si="16"/>
        <v>0</v>
      </c>
      <c r="AT89" s="32">
        <f t="shared" si="16"/>
        <v>0</v>
      </c>
      <c r="AU89" s="32">
        <f t="shared" si="16"/>
        <v>0</v>
      </c>
      <c r="AV89" s="32">
        <f t="shared" si="16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5"/>
        <v>8607416</v>
      </c>
    </row>
    <row r="90" spans="1:84" x14ac:dyDescent="0.35">
      <c r="A90" s="39" t="s">
        <v>275</v>
      </c>
      <c r="B90" s="32"/>
      <c r="C90" s="24"/>
      <c r="D90" s="24"/>
      <c r="E90" s="24">
        <v>198</v>
      </c>
      <c r="F90" s="24"/>
      <c r="G90" s="24"/>
      <c r="H90" s="24"/>
      <c r="I90" s="24"/>
      <c r="J90" s="24"/>
      <c r="K90" s="24"/>
      <c r="L90" s="24">
        <v>9719</v>
      </c>
      <c r="M90" s="24"/>
      <c r="N90" s="24"/>
      <c r="O90" s="24"/>
      <c r="P90" s="24"/>
      <c r="Q90" s="24"/>
      <c r="R90" s="24"/>
      <c r="S90" s="24">
        <v>287</v>
      </c>
      <c r="T90" s="24"/>
      <c r="U90" s="24">
        <v>589</v>
      </c>
      <c r="V90" s="24">
        <v>15</v>
      </c>
      <c r="W90" s="24"/>
      <c r="X90" s="24"/>
      <c r="Y90" s="24">
        <v>143</v>
      </c>
      <c r="Z90" s="24"/>
      <c r="AA90" s="24"/>
      <c r="AB90" s="24">
        <v>57</v>
      </c>
      <c r="AC90" s="24"/>
      <c r="AD90" s="24"/>
      <c r="AE90" s="24">
        <v>501</v>
      </c>
      <c r="AF90" s="24"/>
      <c r="AG90" s="24">
        <v>631</v>
      </c>
      <c r="AH90" s="24"/>
      <c r="AI90" s="24"/>
      <c r="AJ90" s="24">
        <v>1036</v>
      </c>
      <c r="AK90" s="24"/>
      <c r="AL90" s="24"/>
      <c r="AM90" s="24"/>
      <c r="AN90" s="24"/>
      <c r="AO90" s="24">
        <v>38</v>
      </c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1136</v>
      </c>
      <c r="AZ90" s="24"/>
      <c r="BA90" s="24">
        <v>743</v>
      </c>
      <c r="BB90" s="24">
        <v>0</v>
      </c>
      <c r="BC90" s="24"/>
      <c r="BD90" s="24"/>
      <c r="BE90" s="24">
        <v>1473</v>
      </c>
      <c r="BF90" s="24">
        <v>209</v>
      </c>
      <c r="BG90" s="24"/>
      <c r="BH90" s="24"/>
      <c r="BI90" s="24"/>
      <c r="BJ90" s="24"/>
      <c r="BK90" s="24"/>
      <c r="BL90" s="24"/>
      <c r="BM90" s="24"/>
      <c r="BN90" s="24">
        <v>3595</v>
      </c>
      <c r="BO90" s="24"/>
      <c r="BP90" s="24"/>
      <c r="BQ90" s="24"/>
      <c r="BR90" s="24"/>
      <c r="BS90" s="24"/>
      <c r="BT90" s="24"/>
      <c r="BU90" s="24"/>
      <c r="BV90" s="24">
        <v>356</v>
      </c>
      <c r="BW90" s="24"/>
      <c r="BX90" s="24"/>
      <c r="BY90" s="24">
        <v>197</v>
      </c>
      <c r="BZ90" s="24"/>
      <c r="CA90" s="24"/>
      <c r="CB90" s="24"/>
      <c r="CC90" s="24"/>
      <c r="CD90" s="263" t="s">
        <v>233</v>
      </c>
      <c r="CE90" s="32">
        <f t="shared" si="15"/>
        <v>20923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341</v>
      </c>
      <c r="F91" s="24"/>
      <c r="G91" s="24"/>
      <c r="H91" s="24"/>
      <c r="I91" s="24"/>
      <c r="J91" s="24"/>
      <c r="K91" s="24"/>
      <c r="L91" s="24">
        <v>16738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>
        <v>66</v>
      </c>
      <c r="AP91" s="24"/>
      <c r="AQ91" s="24"/>
      <c r="AR91" s="24"/>
      <c r="AS91" s="24"/>
      <c r="AT91" s="24"/>
      <c r="AU91" s="24"/>
      <c r="AV91" s="24"/>
      <c r="AW91" s="24"/>
      <c r="AX91" s="319" t="s">
        <v>233</v>
      </c>
      <c r="AY91" s="319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5"/>
        <v>17145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>
        <v>198</v>
      </c>
      <c r="F92" s="24"/>
      <c r="G92" s="24"/>
      <c r="H92" s="24"/>
      <c r="I92" s="24"/>
      <c r="J92" s="24"/>
      <c r="K92" s="24">
        <v>0</v>
      </c>
      <c r="L92" s="24">
        <v>9719</v>
      </c>
      <c r="M92" s="24"/>
      <c r="N92" s="24"/>
      <c r="O92" s="24"/>
      <c r="P92" s="24"/>
      <c r="Q92" s="24"/>
      <c r="R92" s="24"/>
      <c r="S92" s="24">
        <v>287</v>
      </c>
      <c r="T92" s="24"/>
      <c r="U92" s="24">
        <v>589</v>
      </c>
      <c r="V92" s="24">
        <v>15</v>
      </c>
      <c r="W92" s="24"/>
      <c r="X92" s="24"/>
      <c r="Y92" s="24">
        <v>143</v>
      </c>
      <c r="Z92" s="24"/>
      <c r="AA92" s="24"/>
      <c r="AB92" s="24">
        <v>57</v>
      </c>
      <c r="AC92" s="24"/>
      <c r="AD92" s="24"/>
      <c r="AE92" s="24">
        <v>501</v>
      </c>
      <c r="AF92" s="24"/>
      <c r="AG92" s="24">
        <v>631</v>
      </c>
      <c r="AH92" s="24"/>
      <c r="AI92" s="24"/>
      <c r="AJ92" s="24">
        <v>1036</v>
      </c>
      <c r="AK92" s="24"/>
      <c r="AL92" s="24"/>
      <c r="AM92" s="24"/>
      <c r="AN92" s="24"/>
      <c r="AO92" s="24">
        <v>38</v>
      </c>
      <c r="AP92" s="24"/>
      <c r="AQ92" s="24"/>
      <c r="AR92" s="24"/>
      <c r="AS92" s="24"/>
      <c r="AT92" s="24"/>
      <c r="AU92" s="24"/>
      <c r="AV92" s="24"/>
      <c r="AW92" s="24"/>
      <c r="AX92" s="319" t="s">
        <v>233</v>
      </c>
      <c r="AY92" s="319" t="s">
        <v>233</v>
      </c>
      <c r="AZ92" s="29" t="s">
        <v>233</v>
      </c>
      <c r="BA92" s="24">
        <v>743</v>
      </c>
      <c r="BB92" s="24"/>
      <c r="BC92" s="24"/>
      <c r="BD92" s="29" t="s">
        <v>233</v>
      </c>
      <c r="BE92" s="24">
        <v>1473</v>
      </c>
      <c r="BF92" s="24">
        <v>209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4">
        <v>3595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356</v>
      </c>
      <c r="BW92" s="24"/>
      <c r="BX92" s="24"/>
      <c r="BY92" s="24">
        <v>197</v>
      </c>
      <c r="BZ92" s="24"/>
      <c r="CA92" s="24"/>
      <c r="CB92" s="24"/>
      <c r="CC92" s="29" t="s">
        <v>233</v>
      </c>
      <c r="CD92" s="29" t="s">
        <v>233</v>
      </c>
      <c r="CE92" s="32">
        <f t="shared" si="15"/>
        <v>19787</v>
      </c>
      <c r="CF92" s="20"/>
    </row>
    <row r="93" spans="1:84" x14ac:dyDescent="0.35">
      <c r="A93" s="26" t="s">
        <v>278</v>
      </c>
      <c r="B93" s="20"/>
      <c r="C93" s="24"/>
      <c r="D93" s="24"/>
      <c r="E93" s="24">
        <v>129</v>
      </c>
      <c r="F93" s="24"/>
      <c r="G93" s="24"/>
      <c r="H93" s="24"/>
      <c r="I93" s="24"/>
      <c r="J93" s="24"/>
      <c r="K93" s="24"/>
      <c r="L93" s="24">
        <v>6330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>
        <v>25</v>
      </c>
      <c r="AP93" s="24"/>
      <c r="AQ93" s="24"/>
      <c r="AR93" s="24"/>
      <c r="AS93" s="24"/>
      <c r="AT93" s="24"/>
      <c r="AU93" s="24"/>
      <c r="AV93" s="24"/>
      <c r="AW93" s="24"/>
      <c r="AX93" s="319" t="s">
        <v>233</v>
      </c>
      <c r="AY93" s="319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5"/>
        <v>6484</v>
      </c>
      <c r="CF93" s="32">
        <f>BA59</f>
        <v>0</v>
      </c>
    </row>
    <row r="94" spans="1:84" x14ac:dyDescent="0.35">
      <c r="A94" s="26" t="s">
        <v>279</v>
      </c>
      <c r="B94" s="20"/>
      <c r="C94" s="313"/>
      <c r="D94" s="313"/>
      <c r="E94" s="313">
        <v>0.46</v>
      </c>
      <c r="F94" s="313"/>
      <c r="G94" s="313"/>
      <c r="H94" s="313"/>
      <c r="I94" s="313"/>
      <c r="J94" s="313"/>
      <c r="K94" s="313"/>
      <c r="L94" s="313">
        <v>22.58</v>
      </c>
      <c r="M94" s="313"/>
      <c r="N94" s="313"/>
      <c r="O94" s="313"/>
      <c r="P94" s="314"/>
      <c r="Q94" s="314"/>
      <c r="R94" s="314"/>
      <c r="S94" s="315">
        <v>0</v>
      </c>
      <c r="T94" s="315"/>
      <c r="U94" s="316">
        <v>0</v>
      </c>
      <c r="V94" s="314">
        <v>0</v>
      </c>
      <c r="W94" s="314"/>
      <c r="X94" s="314"/>
      <c r="Y94" s="314">
        <v>0</v>
      </c>
      <c r="Z94" s="314"/>
      <c r="AA94" s="314"/>
      <c r="AB94" s="315">
        <v>0</v>
      </c>
      <c r="AC94" s="314"/>
      <c r="AD94" s="314"/>
      <c r="AE94" s="314">
        <v>0</v>
      </c>
      <c r="AF94" s="314"/>
      <c r="AG94" s="314">
        <v>0</v>
      </c>
      <c r="AH94" s="314"/>
      <c r="AI94" s="314"/>
      <c r="AJ94" s="314">
        <v>1.91</v>
      </c>
      <c r="AK94" s="314"/>
      <c r="AL94" s="314"/>
      <c r="AM94" s="314"/>
      <c r="AN94" s="314"/>
      <c r="AO94" s="314">
        <v>0.09</v>
      </c>
      <c r="AP94" s="314"/>
      <c r="AQ94" s="314"/>
      <c r="AR94" s="314"/>
      <c r="AS94" s="314"/>
      <c r="AT94" s="314"/>
      <c r="AU94" s="314"/>
      <c r="AV94" s="315"/>
      <c r="AW94" s="319" t="s">
        <v>233</v>
      </c>
      <c r="AX94" s="319" t="s">
        <v>233</v>
      </c>
      <c r="AY94" s="319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9" t="s">
        <v>233</v>
      </c>
      <c r="CD94" s="29" t="s">
        <v>233</v>
      </c>
      <c r="CE94" s="266">
        <f t="shared" si="15"/>
        <v>25.04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1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2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2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1377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3">
        <v>99347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19" t="s">
        <v>1376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9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9" t="s">
        <v>1378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1386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0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1379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1380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>
        <v>362</v>
      </c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49</v>
      </c>
      <c r="D127" s="311">
        <v>129</v>
      </c>
      <c r="E127" s="20"/>
    </row>
    <row r="128" spans="1:5" x14ac:dyDescent="0.35">
      <c r="A128" s="20" t="s">
        <v>311</v>
      </c>
      <c r="B128" s="46" t="s">
        <v>284</v>
      </c>
      <c r="C128" s="47">
        <v>410</v>
      </c>
      <c r="D128" s="311">
        <v>6330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236">
        <v>25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/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41</v>
      </c>
      <c r="C154" s="50"/>
      <c r="D154" s="50">
        <v>8</v>
      </c>
      <c r="E154" s="32">
        <f>SUM(B154:D154)</f>
        <v>49</v>
      </c>
    </row>
    <row r="155" spans="1:6" x14ac:dyDescent="0.35">
      <c r="A155" s="20" t="s">
        <v>227</v>
      </c>
      <c r="B155" s="311">
        <v>112</v>
      </c>
      <c r="C155" s="311">
        <v>2</v>
      </c>
      <c r="D155" s="311">
        <f>129-2-112</f>
        <v>15</v>
      </c>
      <c r="E155" s="32">
        <f>SUM(B155:D155)</f>
        <v>129</v>
      </c>
    </row>
    <row r="156" spans="1:6" x14ac:dyDescent="0.35">
      <c r="A156" s="20" t="s">
        <v>332</v>
      </c>
      <c r="B156" s="311"/>
      <c r="C156" s="311"/>
      <c r="D156" s="311"/>
      <c r="E156" s="32">
        <f>SUM(B156:D156)</f>
        <v>0</v>
      </c>
    </row>
    <row r="157" spans="1:6" x14ac:dyDescent="0.35">
      <c r="A157" s="20" t="s">
        <v>272</v>
      </c>
      <c r="B157" s="50">
        <v>437510</v>
      </c>
      <c r="C157" s="50">
        <v>10123</v>
      </c>
      <c r="D157" s="50">
        <v>60650</v>
      </c>
      <c r="E157" s="32">
        <f>SUM(B157:D157)</f>
        <v>508283</v>
      </c>
      <c r="F157" s="18"/>
    </row>
    <row r="158" spans="1:6" x14ac:dyDescent="0.35">
      <c r="A158" s="20" t="s">
        <v>273</v>
      </c>
      <c r="B158" s="50">
        <v>3077701</v>
      </c>
      <c r="C158" s="50">
        <v>27895</v>
      </c>
      <c r="D158" s="50">
        <v>3086845</v>
      </c>
      <c r="E158" s="32">
        <f>SUM(B158:D158)</f>
        <v>6192441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83</v>
      </c>
      <c r="C160" s="50">
        <v>128</v>
      </c>
      <c r="D160" s="50">
        <f>7+192</f>
        <v>199</v>
      </c>
      <c r="E160" s="32">
        <f>SUM(B160:D160)</f>
        <v>410</v>
      </c>
    </row>
    <row r="161" spans="1:5" x14ac:dyDescent="0.35">
      <c r="A161" s="20" t="s">
        <v>227</v>
      </c>
      <c r="B161" s="311">
        <v>552</v>
      </c>
      <c r="C161" s="311">
        <v>2423</v>
      </c>
      <c r="D161" s="311">
        <f>730+5600-2423-552</f>
        <v>3355</v>
      </c>
      <c r="E161" s="32">
        <f>SUM(B161:D161)</f>
        <v>6330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485237</v>
      </c>
      <c r="C163" s="50">
        <v>591043</v>
      </c>
      <c r="D163" s="50">
        <v>830412</v>
      </c>
      <c r="E163" s="32">
        <f>SUM(B163:D163)</f>
        <v>1906692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1219832</v>
      </c>
      <c r="C173" s="50">
        <v>333784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375973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20555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99029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684189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10803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59230</v>
      </c>
      <c r="D186" s="20"/>
      <c r="E186" s="20"/>
    </row>
    <row r="187" spans="1:5" x14ac:dyDescent="0.35">
      <c r="A187" s="20" t="s">
        <v>1381</v>
      </c>
      <c r="B187" s="46" t="s">
        <v>284</v>
      </c>
      <c r="C187" s="47">
        <v>1871415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24283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3145477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/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31202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31202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21334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116022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137356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f>12612</f>
        <v>12612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30939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43551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4918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4918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1375</v>
      </c>
      <c r="E210" s="22" t="s">
        <v>365</v>
      </c>
    </row>
    <row r="211" spans="1:5" x14ac:dyDescent="0.35">
      <c r="A211" s="20" t="s">
        <v>366</v>
      </c>
      <c r="B211" s="50">
        <v>83983</v>
      </c>
      <c r="C211" s="47"/>
      <c r="D211" s="50"/>
      <c r="E211" s="32">
        <f t="shared" ref="E211:E216" si="17">SUM(B211:D211)</f>
        <v>83983</v>
      </c>
    </row>
    <row r="212" spans="1:5" x14ac:dyDescent="0.35">
      <c r="A212" s="20" t="s">
        <v>367</v>
      </c>
      <c r="B212" s="50">
        <v>234472</v>
      </c>
      <c r="C212" s="47"/>
      <c r="D212" s="50"/>
      <c r="E212" s="32">
        <f t="shared" si="17"/>
        <v>234472</v>
      </c>
    </row>
    <row r="213" spans="1:5" x14ac:dyDescent="0.35">
      <c r="A213" s="20" t="s">
        <v>368</v>
      </c>
      <c r="B213" s="50">
        <v>1511534</v>
      </c>
      <c r="C213" s="47"/>
      <c r="D213" s="50"/>
      <c r="E213" s="32">
        <f t="shared" si="17"/>
        <v>1511534</v>
      </c>
    </row>
    <row r="214" spans="1:5" x14ac:dyDescent="0.35">
      <c r="A214" s="20" t="s">
        <v>369</v>
      </c>
      <c r="B214" s="50"/>
      <c r="C214" s="47"/>
      <c r="D214" s="50"/>
      <c r="E214" s="32">
        <f t="shared" si="17"/>
        <v>0</v>
      </c>
    </row>
    <row r="215" spans="1:5" x14ac:dyDescent="0.35">
      <c r="A215" s="20" t="s">
        <v>370</v>
      </c>
      <c r="B215" s="50">
        <v>1101977</v>
      </c>
      <c r="C215" s="47">
        <v>24342</v>
      </c>
      <c r="D215" s="50"/>
      <c r="E215" s="32">
        <f t="shared" si="17"/>
        <v>1126319</v>
      </c>
    </row>
    <row r="216" spans="1:5" x14ac:dyDescent="0.35">
      <c r="A216" s="20" t="s">
        <v>371</v>
      </c>
      <c r="B216" s="311">
        <v>3232397</v>
      </c>
      <c r="C216" s="236">
        <v>51785</v>
      </c>
      <c r="D216" s="311">
        <v>-125798</v>
      </c>
      <c r="E216" s="32">
        <f t="shared" si="17"/>
        <v>3158384</v>
      </c>
    </row>
    <row r="217" spans="1:5" x14ac:dyDescent="0.35">
      <c r="A217" s="20" t="s">
        <v>372</v>
      </c>
      <c r="B217" s="50"/>
      <c r="C217" s="47"/>
      <c r="D217" s="50"/>
      <c r="E217" s="32">
        <f t="shared" ref="E217" si="18">SUM(B217:C217)-D217</f>
        <v>0</v>
      </c>
    </row>
    <row r="218" spans="1:5" x14ac:dyDescent="0.35">
      <c r="A218" s="20" t="s">
        <v>373</v>
      </c>
      <c r="B218" s="50"/>
      <c r="C218" s="236">
        <v>46347</v>
      </c>
      <c r="D218" s="311">
        <v>125798</v>
      </c>
      <c r="E218" s="32">
        <f>SUM(B218:D218)</f>
        <v>172145</v>
      </c>
    </row>
    <row r="219" spans="1:5" x14ac:dyDescent="0.35">
      <c r="A219" s="20" t="s">
        <v>374</v>
      </c>
      <c r="B219" s="50">
        <v>188782</v>
      </c>
      <c r="C219" s="47">
        <v>115904</v>
      </c>
      <c r="D219" s="50"/>
      <c r="E219" s="32">
        <f>SUM(B219:D219)</f>
        <v>304686</v>
      </c>
    </row>
    <row r="220" spans="1:5" x14ac:dyDescent="0.35">
      <c r="A220" s="20" t="s">
        <v>215</v>
      </c>
      <c r="B220" s="32">
        <f>SUM(B211:B219)</f>
        <v>6353145</v>
      </c>
      <c r="C220" s="265">
        <f>SUM(C211:C219)</f>
        <v>238378</v>
      </c>
      <c r="D220" s="32">
        <f>SUM(D211:D219)</f>
        <v>0</v>
      </c>
      <c r="E220" s="32">
        <f>SUM(E211:E219)</f>
        <v>6591523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311">
        <v>234472</v>
      </c>
      <c r="C225" s="236"/>
      <c r="D225" s="311"/>
      <c r="E225" s="32">
        <f t="shared" ref="E225:E232" si="19">SUM(B225:C225)-D225</f>
        <v>234472</v>
      </c>
    </row>
    <row r="226" spans="1:5" x14ac:dyDescent="0.35">
      <c r="A226" s="20" t="s">
        <v>368</v>
      </c>
      <c r="B226" s="311">
        <v>1304172</v>
      </c>
      <c r="C226" s="236">
        <v>29262</v>
      </c>
      <c r="D226" s="311"/>
      <c r="E226" s="32">
        <f t="shared" si="19"/>
        <v>1333434</v>
      </c>
    </row>
    <row r="227" spans="1:5" x14ac:dyDescent="0.35">
      <c r="A227" s="20" t="s">
        <v>369</v>
      </c>
      <c r="B227" s="311"/>
      <c r="C227" s="236"/>
      <c r="D227" s="311"/>
      <c r="E227" s="32">
        <f t="shared" si="19"/>
        <v>0</v>
      </c>
    </row>
    <row r="228" spans="1:5" x14ac:dyDescent="0.35">
      <c r="A228" s="20" t="s">
        <v>370</v>
      </c>
      <c r="B228" s="311">
        <v>938530</v>
      </c>
      <c r="C228" s="236">
        <v>24413</v>
      </c>
      <c r="D228" s="311"/>
      <c r="E228" s="32">
        <f>SUM(B228:C228)-D228</f>
        <v>962943</v>
      </c>
    </row>
    <row r="229" spans="1:5" x14ac:dyDescent="0.35">
      <c r="A229" s="20" t="s">
        <v>371</v>
      </c>
      <c r="B229" s="311">
        <v>2326656</v>
      </c>
      <c r="C229" s="236">
        <v>183369</v>
      </c>
      <c r="D229" s="311">
        <v>50319</v>
      </c>
      <c r="E229" s="32">
        <f t="shared" si="19"/>
        <v>2459706</v>
      </c>
    </row>
    <row r="230" spans="1:5" x14ac:dyDescent="0.35">
      <c r="A230" s="20" t="s">
        <v>372</v>
      </c>
      <c r="B230" s="311"/>
      <c r="C230" s="236"/>
      <c r="D230" s="311"/>
      <c r="E230" s="32">
        <f t="shared" si="19"/>
        <v>0</v>
      </c>
    </row>
    <row r="231" spans="1:5" x14ac:dyDescent="0.35">
      <c r="A231" s="20" t="s">
        <v>373</v>
      </c>
      <c r="B231" s="311">
        <v>0</v>
      </c>
      <c r="C231" s="236">
        <v>11833</v>
      </c>
      <c r="D231" s="311">
        <v>-50319</v>
      </c>
      <c r="E231" s="32">
        <f t="shared" si="19"/>
        <v>62152</v>
      </c>
    </row>
    <row r="232" spans="1:5" x14ac:dyDescent="0.35">
      <c r="A232" s="20" t="s">
        <v>374</v>
      </c>
      <c r="B232" s="311"/>
      <c r="C232" s="236"/>
      <c r="D232" s="311"/>
      <c r="E232" s="32">
        <f t="shared" si="19"/>
        <v>0</v>
      </c>
    </row>
    <row r="233" spans="1:5" x14ac:dyDescent="0.35">
      <c r="A233" s="20" t="s">
        <v>215</v>
      </c>
      <c r="B233" s="32">
        <f>SUM(B224:B232)</f>
        <v>4803830</v>
      </c>
      <c r="C233" s="265">
        <f>SUM(C224:C232)</f>
        <v>248877</v>
      </c>
      <c r="D233" s="32">
        <f>SUM(D224:D232)</f>
        <v>0</v>
      </c>
      <c r="E233" s="32">
        <f>SUM(E224:E232)</f>
        <v>5052707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7" t="s">
        <v>377</v>
      </c>
      <c r="C236" s="347"/>
      <c r="D236" s="38"/>
      <c r="E236" s="38"/>
    </row>
    <row r="237" spans="1:5" x14ac:dyDescent="0.35">
      <c r="A237" s="56" t="s">
        <v>377</v>
      </c>
      <c r="B237" s="38"/>
      <c r="C237" s="47">
        <v>250249</v>
      </c>
      <c r="D237" s="40">
        <f>C237</f>
        <v>250249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-4567325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192268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1421754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-2953303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52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17738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45085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62823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-2640231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5435730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1443846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-1724841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0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32049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110027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27702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8774195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62472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62472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83983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234472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1511534</v>
      </c>
      <c r="D285" s="20"/>
      <c r="E285" s="20"/>
    </row>
    <row r="286" spans="1:5" x14ac:dyDescent="0.35">
      <c r="A286" s="20" t="s">
        <v>412</v>
      </c>
      <c r="B286" s="46" t="s">
        <v>284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1126319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3158384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172145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304686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6591523</v>
      </c>
      <c r="E291" s="20"/>
    </row>
    <row r="292" spans="1:5" x14ac:dyDescent="0.35">
      <c r="A292" s="20" t="s">
        <v>416</v>
      </c>
      <c r="B292" s="46" t="s">
        <v>284</v>
      </c>
      <c r="C292" s="47">
        <v>5052707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1538816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10375483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490870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260674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821000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44455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1616999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f>54834+44455</f>
        <v>99289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1871415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1970704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44455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1926249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4">
        <v>6832235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10375483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10375483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344">
        <v>2430324</v>
      </c>
      <c r="D358" s="20"/>
      <c r="E358" s="20"/>
    </row>
    <row r="359" spans="1:5" x14ac:dyDescent="0.35">
      <c r="A359" s="20" t="s">
        <v>470</v>
      </c>
      <c r="B359" s="46" t="s">
        <v>284</v>
      </c>
      <c r="C359" s="344">
        <v>6177094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8607418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236">
        <f>C237</f>
        <v>250249</v>
      </c>
      <c r="D362" s="20"/>
      <c r="E362" s="45"/>
    </row>
    <row r="363" spans="1:5" x14ac:dyDescent="0.35">
      <c r="A363" s="20" t="s">
        <v>473</v>
      </c>
      <c r="B363" s="46" t="s">
        <v>284</v>
      </c>
      <c r="C363" s="236">
        <f>D245</f>
        <v>-2953303</v>
      </c>
      <c r="D363" s="20"/>
      <c r="E363" s="20"/>
    </row>
    <row r="364" spans="1:5" x14ac:dyDescent="0.35">
      <c r="A364" s="20" t="s">
        <v>474</v>
      </c>
      <c r="B364" s="46" t="s">
        <v>284</v>
      </c>
      <c r="C364" s="236">
        <f>D252</f>
        <v>62823</v>
      </c>
      <c r="D364" s="20"/>
      <c r="E364" s="20"/>
    </row>
    <row r="365" spans="1:5" x14ac:dyDescent="0.35">
      <c r="A365" s="20" t="s">
        <v>475</v>
      </c>
      <c r="B365" s="46" t="s">
        <v>284</v>
      </c>
      <c r="C365" s="236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-2640231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11247649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>
        <v>233245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99876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333121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333121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11580770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5643097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f>1274062+1871415</f>
        <v>3145477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2852618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829457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181692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769980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248877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31202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137356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43551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4918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>
        <v>81817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394807-C398</f>
        <v>351256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433073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14321298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-2740528</v>
      </c>
      <c r="E417" s="32"/>
    </row>
    <row r="418" spans="1:13" x14ac:dyDescent="0.35">
      <c r="A418" s="32" t="s">
        <v>508</v>
      </c>
      <c r="B418" s="20"/>
      <c r="C418" s="236">
        <f>302759+4918</f>
        <v>307677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307677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-2432851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-2432851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19450</v>
      </c>
      <c r="E612" s="257">
        <f>SUM(C624:D647)+SUM(C668:D713)</f>
        <v>13290071.056555271</v>
      </c>
      <c r="F612" s="257">
        <f>CE64-(AX64+BD64+BE64+BG64+BJ64+BN64+BP64+BQ64+CB64+CC64+CD64)</f>
        <v>772562</v>
      </c>
      <c r="G612" s="255">
        <f>CE91-(AX91+AY91+BD91+BE91+BG91+BJ91+BN91+BP91+BQ91+CB91+CC91+CD91)</f>
        <v>17145</v>
      </c>
      <c r="H612" s="260">
        <f>CE60-(AX60+AY60+AZ60+BD60+BE60+BG60+BJ60+BN60+BO60+BP60+BQ60+BR60+CB60+CC60+CD60)</f>
        <v>61.570000000000007</v>
      </c>
      <c r="I612" s="255">
        <f>CE92-(AX92+AY92+AZ92+BD92+BE92+BF92+BG92+BJ92+BN92+BO92+BP92+BQ92+BR92+CB92+CC92+CD92)</f>
        <v>14510</v>
      </c>
      <c r="J612" s="255">
        <f>CE93-(AX93+AY93+AZ93+BA93+BD93+BE93+BF93+BG93+BJ93+BN93+BO93+BP93+BQ93+BR93+CB93+CC93+CD93)</f>
        <v>6484</v>
      </c>
      <c r="K612" s="255">
        <f>CE89-(AW89+AX89+AY89+AZ89+BA89+BB89+BC89+BD89+BE89+BF89+BG89+BH89+BI89+BJ89+BK89+BL89+BM89+BN89+BO89+BP89+BQ89+BR89+BS89+BT89+BU89+BV89+BW89+BX89+CB89+CC89+CD89)</f>
        <v>8607416</v>
      </c>
      <c r="L612" s="261">
        <f>CE94-(AW94+AX94+AY94+AZ94+BA94+BB94+BC94+BD94+BE94+BF94+BG94+BH94+BI94+BJ94+BK94+BL94+BM94+BN94+BO94+BP94+BQ94+BR94+BS94+BT94+BU94+BV94+BW94+BX94+BY94+BZ94+CA94+CB94+CC94+CD94)</f>
        <v>25.04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459655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185825</v>
      </c>
      <c r="D615" s="255">
        <f>SUM(C614:C615)</f>
        <v>645480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262860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649062</v>
      </c>
      <c r="D619" s="255">
        <f>(D615/D612)*BN90</f>
        <v>119305.94344473007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0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1031227.94344473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0</v>
      </c>
      <c r="D624" s="255">
        <f>(D615/D612)*BD90</f>
        <v>0</v>
      </c>
      <c r="E624" s="257">
        <f>(E623/E612)*SUM(C624:D624)</f>
        <v>0</v>
      </c>
      <c r="F624" s="257">
        <f>SUM(C624:E624)</f>
        <v>0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524600</v>
      </c>
      <c r="D625" s="255">
        <f>(D615/D612)*AY90</f>
        <v>37700.014395886887</v>
      </c>
      <c r="E625" s="257">
        <f>(E623/E612)*SUM(C625:D625)</f>
        <v>43631.029885156204</v>
      </c>
      <c r="F625" s="257">
        <f>(F624/F612)*AY64</f>
        <v>0</v>
      </c>
      <c r="G625" s="255">
        <f>SUM(C625:F625)</f>
        <v>605931.04428104311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169214</v>
      </c>
      <c r="D626" s="255">
        <f>(D615/D612)*BR90</f>
        <v>0</v>
      </c>
      <c r="E626" s="257">
        <f>(E623/E612)*SUM(C626:D626)</f>
        <v>13129.967814279371</v>
      </c>
      <c r="F626" s="257">
        <f>(F624/F612)*BR64</f>
        <v>0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182343.96781427937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220236</v>
      </c>
      <c r="D629" s="255">
        <f>(D615/D612)*BF90</f>
        <v>6936.0061696658095</v>
      </c>
      <c r="E629" s="257">
        <f>(E623/E612)*SUM(C629:D629)</f>
        <v>17627.153363864614</v>
      </c>
      <c r="F629" s="257">
        <f>(F624/F612)*BF64</f>
        <v>0</v>
      </c>
      <c r="G629" s="255">
        <f>(G625/G612)*BF91</f>
        <v>0</v>
      </c>
      <c r="H629" s="257">
        <f>(H628/H612)*BF60</f>
        <v>11165.125201556491</v>
      </c>
      <c r="I629" s="255">
        <f>SUM(C629:H629)</f>
        <v>255964.2847350869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78389</v>
      </c>
      <c r="D630" s="255">
        <f>(D615/D612)*BA90</f>
        <v>24657.667866323907</v>
      </c>
      <c r="E630" s="257">
        <f>(E623/E612)*SUM(C630:D630)</f>
        <v>7995.7889563131248</v>
      </c>
      <c r="F630" s="257">
        <f>(F624/F612)*BA64</f>
        <v>0</v>
      </c>
      <c r="G630" s="255">
        <f>(G625/G612)*BA91</f>
        <v>0</v>
      </c>
      <c r="H630" s="257">
        <f>(H628/H612)*BA60</f>
        <v>2546.9516374903401</v>
      </c>
      <c r="I630" s="255">
        <f>(I629/I612)*BA92</f>
        <v>13106.923746255656</v>
      </c>
      <c r="J630" s="255">
        <f>SUM(C630:I630)</f>
        <v>126696.33220638303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182902</v>
      </c>
      <c r="D632" s="255">
        <f>(D615/D612)*BB90</f>
        <v>0</v>
      </c>
      <c r="E632" s="257">
        <f>(E623/E612)*SUM(C632:D632)</f>
        <v>14192.072601364694</v>
      </c>
      <c r="F632" s="257">
        <f>(F624/F612)*BB64</f>
        <v>0</v>
      </c>
      <c r="G632" s="255">
        <f>(G625/G612)*BB91</f>
        <v>0</v>
      </c>
      <c r="H632" s="257">
        <f>(H628/H612)*BB60</f>
        <v>5478.907592275732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0</v>
      </c>
      <c r="D635" s="255">
        <f>(D615/D612)*BK90</f>
        <v>0</v>
      </c>
      <c r="E635" s="257">
        <f>(E623/E612)*SUM(C635:D635)</f>
        <v>0</v>
      </c>
      <c r="F635" s="257">
        <f>(F624/F612)*BK64</f>
        <v>0</v>
      </c>
      <c r="G635" s="255">
        <f>(G625/G612)*BK91</f>
        <v>0</v>
      </c>
      <c r="H635" s="257">
        <f>(H628/H612)*BK60</f>
        <v>0</v>
      </c>
      <c r="I635" s="255">
        <f>(I629/I612)*BK92</f>
        <v>0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325929</v>
      </c>
      <c r="D636" s="255">
        <f>(D615/D612)*BH90</f>
        <v>0</v>
      </c>
      <c r="E636" s="257">
        <f>(E623/E612)*SUM(C636:D636)</f>
        <v>25290.089943741423</v>
      </c>
      <c r="F636" s="257">
        <f>(F624/F612)*BH64</f>
        <v>0</v>
      </c>
      <c r="G636" s="255">
        <f>(G625/G612)*BH91</f>
        <v>0</v>
      </c>
      <c r="H636" s="257">
        <f>(H628/H612)*BH60</f>
        <v>2250.7944703403004</v>
      </c>
      <c r="I636" s="255">
        <f>(I629/I612)*BH92</f>
        <v>0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0</v>
      </c>
      <c r="D637" s="255">
        <f>(D615/D612)*BL90</f>
        <v>0</v>
      </c>
      <c r="E637" s="257">
        <f>(E623/E612)*SUM(C637:D637)</f>
        <v>0</v>
      </c>
      <c r="F637" s="257">
        <f>(F624/F612)*BL64</f>
        <v>0</v>
      </c>
      <c r="G637" s="255">
        <f>(G625/G612)*BL91</f>
        <v>0</v>
      </c>
      <c r="H637" s="257">
        <f>(H628/H612)*BL60</f>
        <v>0</v>
      </c>
      <c r="I637" s="255">
        <f>(I629/I612)*BL92</f>
        <v>0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763495</v>
      </c>
      <c r="D642" s="255">
        <f>(D615/D612)*BV90</f>
        <v>11814.441131105399</v>
      </c>
      <c r="E642" s="257">
        <f>(E623/E612)*SUM(C642:D642)</f>
        <v>60159.254010651246</v>
      </c>
      <c r="F642" s="257">
        <f>(F624/F612)*BV64</f>
        <v>0</v>
      </c>
      <c r="G642" s="255">
        <f>(G625/G612)*BV91</f>
        <v>0</v>
      </c>
      <c r="H642" s="257">
        <f>(H628/H612)*BV60</f>
        <v>16140.565609677156</v>
      </c>
      <c r="I642" s="255">
        <f>(I629/I612)*BV92</f>
        <v>6280.0334504266675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0</v>
      </c>
      <c r="D644" s="255">
        <f>(D615/D612)*BX90</f>
        <v>0</v>
      </c>
      <c r="E644" s="257">
        <f>(E623/E612)*SUM(C644:D644)</f>
        <v>0</v>
      </c>
      <c r="F644" s="257">
        <f>(F624/F612)*BX64</f>
        <v>0</v>
      </c>
      <c r="G644" s="255">
        <f>(G625/G612)*BX91</f>
        <v>0</v>
      </c>
      <c r="H644" s="257">
        <f>(H628/H612)*BX60</f>
        <v>0</v>
      </c>
      <c r="I644" s="255">
        <f>(I629/I612)*BX92</f>
        <v>0</v>
      </c>
      <c r="J644" s="255">
        <f>(J630/J612)*BX93</f>
        <v>0</v>
      </c>
      <c r="K644" s="257">
        <f>SUM(C631:J644)</f>
        <v>1413932.1588095827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392240</v>
      </c>
      <c r="D645" s="255">
        <f>(D615/D612)*BY90</f>
        <v>6537.7665809768641</v>
      </c>
      <c r="E645" s="257">
        <f>(E623/E612)*SUM(C645:D645)</f>
        <v>30942.707106140373</v>
      </c>
      <c r="F645" s="257">
        <f>(F624/F612)*BY64</f>
        <v>0</v>
      </c>
      <c r="G645" s="255">
        <f>(G625/G612)*BY91</f>
        <v>0</v>
      </c>
      <c r="H645" s="257">
        <f>(H628/H612)*BY60</f>
        <v>2961.5716715003955</v>
      </c>
      <c r="I645" s="255">
        <f>(I629/I612)*BY92</f>
        <v>3475.1870498147568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436157.23240843235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4214407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20">ROUND(SUM(D668:L668),0)</f>
        <v>0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20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102256</v>
      </c>
      <c r="D670" s="255">
        <f>(D615/D612)*E90</f>
        <v>6570.9532133676094</v>
      </c>
      <c r="E670" s="257">
        <f>(E623/E612)*SUM(C670:D670)</f>
        <v>8444.3036215537941</v>
      </c>
      <c r="F670" s="257">
        <f>(F624/F612)*E64</f>
        <v>0</v>
      </c>
      <c r="G670" s="255">
        <f>(G625/G612)*E91</f>
        <v>12051.471921833521</v>
      </c>
      <c r="H670" s="257">
        <f>(H628/H612)*E60</f>
        <v>1480.7858357501977</v>
      </c>
      <c r="I670" s="255">
        <f>(I629/I612)*E92</f>
        <v>3492.8275932148317</v>
      </c>
      <c r="J670" s="255">
        <f>(J630/J612)*E93</f>
        <v>2520.6395519160101</v>
      </c>
      <c r="K670" s="255">
        <f>(K644/K612)*E89</f>
        <v>48047.222425681954</v>
      </c>
      <c r="L670" s="255">
        <f>(L647/L612)*E94</f>
        <v>8012.4731193242378</v>
      </c>
      <c r="M670" s="231">
        <f t="shared" si="20"/>
        <v>90621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20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20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20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20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0</v>
      </c>
      <c r="L675" s="255">
        <f>(L647/L612)*J94</f>
        <v>0</v>
      </c>
      <c r="M675" s="231">
        <f t="shared" si="20"/>
        <v>0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20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5017683</v>
      </c>
      <c r="D677" s="255">
        <f>(D615/D612)*L90</f>
        <v>322540.88020565553</v>
      </c>
      <c r="E677" s="257">
        <f>(E623/E612)*SUM(C677:D677)</f>
        <v>414368.596381779</v>
      </c>
      <c r="F677" s="257">
        <f>(F624/F612)*L64</f>
        <v>0</v>
      </c>
      <c r="G677" s="255">
        <f>(G625/G612)*L91</f>
        <v>591547.02940659667</v>
      </c>
      <c r="H677" s="257">
        <f>(H628/H612)*L60</f>
        <v>72884.278835624733</v>
      </c>
      <c r="I677" s="255">
        <f>(I629/I612)*L92</f>
        <v>171448.44130532802</v>
      </c>
      <c r="J677" s="255">
        <f>(J630/J612)*L93</f>
        <v>123687.19661727399</v>
      </c>
      <c r="K677" s="255">
        <f>(K644/K612)*L89</f>
        <v>256041.91707480705</v>
      </c>
      <c r="L677" s="255">
        <f>(L647/L612)*L94</f>
        <v>393307.91963987233</v>
      </c>
      <c r="M677" s="231">
        <f t="shared" si="20"/>
        <v>2345826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20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20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>
        <f>(I629/I612)*O92</f>
        <v>0</v>
      </c>
      <c r="J680" s="255">
        <f>(J630/J612)*O93</f>
        <v>0</v>
      </c>
      <c r="K680" s="255">
        <f>(K644/K612)*O89</f>
        <v>0</v>
      </c>
      <c r="L680" s="255">
        <f>(L647/L612)*O94</f>
        <v>0</v>
      </c>
      <c r="M680" s="231">
        <f t="shared" si="20"/>
        <v>0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0</v>
      </c>
      <c r="D681" s="255">
        <f>(D615/D612)*P90</f>
        <v>0</v>
      </c>
      <c r="E681" s="257">
        <f>(E623/E612)*SUM(C681:D681)</f>
        <v>0</v>
      </c>
      <c r="F681" s="257">
        <f>(F624/F612)*P64</f>
        <v>0</v>
      </c>
      <c r="G681" s="255">
        <f>(G625/G612)*P91</f>
        <v>0</v>
      </c>
      <c r="H681" s="257">
        <f>(H628/H612)*P60</f>
        <v>0</v>
      </c>
      <c r="I681" s="255">
        <f>(I629/I612)*P92</f>
        <v>0</v>
      </c>
      <c r="J681" s="255">
        <f>(J630/J612)*P93</f>
        <v>0</v>
      </c>
      <c r="K681" s="255">
        <f>(K644/K612)*P89</f>
        <v>0</v>
      </c>
      <c r="L681" s="255">
        <f>(L647/L612)*P94</f>
        <v>0</v>
      </c>
      <c r="M681" s="231">
        <f t="shared" si="20"/>
        <v>0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0</v>
      </c>
      <c r="L682" s="255">
        <f>(L647/L612)*Q94</f>
        <v>0</v>
      </c>
      <c r="M682" s="231">
        <f t="shared" si="20"/>
        <v>0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0</v>
      </c>
      <c r="D683" s="255">
        <f>(D615/D612)*R90</f>
        <v>0</v>
      </c>
      <c r="E683" s="257">
        <f>(E623/E612)*SUM(C683:D683)</f>
        <v>0</v>
      </c>
      <c r="F683" s="257">
        <f>(F624/F612)*R64</f>
        <v>0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0</v>
      </c>
      <c r="L683" s="255">
        <f>(L647/L612)*R94</f>
        <v>0</v>
      </c>
      <c r="M683" s="231">
        <f t="shared" si="20"/>
        <v>0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86062</v>
      </c>
      <c r="D684" s="255">
        <f>(D615/D612)*S90</f>
        <v>9524.5634961439591</v>
      </c>
      <c r="E684" s="257">
        <f>(E623/E612)*SUM(C684:D684)</f>
        <v>7416.9306451117618</v>
      </c>
      <c r="F684" s="257">
        <f>(F624/F612)*S64</f>
        <v>0</v>
      </c>
      <c r="G684" s="255">
        <f>(G625/G612)*S91</f>
        <v>0</v>
      </c>
      <c r="H684" s="257">
        <f>(H628/H612)*S60</f>
        <v>3020.8031049304036</v>
      </c>
      <c r="I684" s="255">
        <f>(I629/I612)*S92</f>
        <v>5062.8359558214988</v>
      </c>
      <c r="J684" s="255">
        <f>(J630/J612)*S93</f>
        <v>0</v>
      </c>
      <c r="K684" s="255">
        <f>(K644/K612)*S89</f>
        <v>2682.6780633722469</v>
      </c>
      <c r="L684" s="255">
        <f>(L647/L612)*S94</f>
        <v>0</v>
      </c>
      <c r="M684" s="231">
        <f t="shared" si="20"/>
        <v>27708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20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1245816</v>
      </c>
      <c r="D686" s="255">
        <f>(D615/D612)*U90</f>
        <v>19546.9264781491</v>
      </c>
      <c r="E686" s="257">
        <f>(E623/E612)*SUM(C686:D686)</f>
        <v>98184.396669545371</v>
      </c>
      <c r="F686" s="257">
        <f>(F624/F612)*U64</f>
        <v>0</v>
      </c>
      <c r="G686" s="255">
        <f>(G625/G612)*U91</f>
        <v>0</v>
      </c>
      <c r="H686" s="257">
        <f>(H628/H612)*U60</f>
        <v>18154.434346297425</v>
      </c>
      <c r="I686" s="255">
        <f>(I629/I612)*U92</f>
        <v>10390.28006264412</v>
      </c>
      <c r="J686" s="255">
        <f>(J630/J612)*U93</f>
        <v>0</v>
      </c>
      <c r="K686" s="255">
        <f>(K644/K612)*U89</f>
        <v>367778.39061703079</v>
      </c>
      <c r="L686" s="255">
        <f>(L647/L612)*U94</f>
        <v>0</v>
      </c>
      <c r="M686" s="231">
        <f t="shared" si="20"/>
        <v>514054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8991</v>
      </c>
      <c r="D687" s="255">
        <f>(D615/D612)*V90</f>
        <v>497.79948586118252</v>
      </c>
      <c r="E687" s="257">
        <f>(E623/E612)*SUM(C687:D687)</f>
        <v>736.27260064479276</v>
      </c>
      <c r="F687" s="257">
        <f>(F624/F612)*V64</f>
        <v>0</v>
      </c>
      <c r="G687" s="255">
        <f>(G625/G612)*V91</f>
        <v>0</v>
      </c>
      <c r="H687" s="257">
        <f>(H628/H612)*V60</f>
        <v>118.46286686001582</v>
      </c>
      <c r="I687" s="255">
        <f>(I629/I612)*V92</f>
        <v>264.60815100112359</v>
      </c>
      <c r="J687" s="255">
        <f>(J630/J612)*V93</f>
        <v>0</v>
      </c>
      <c r="K687" s="255">
        <f>(K644/K612)*V89</f>
        <v>15845.886597702351</v>
      </c>
      <c r="L687" s="255">
        <f>(L647/L612)*V94</f>
        <v>0</v>
      </c>
      <c r="M687" s="231">
        <f t="shared" si="20"/>
        <v>17463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0</v>
      </c>
      <c r="J688" s="255">
        <f>(J630/J612)*W93</f>
        <v>0</v>
      </c>
      <c r="K688" s="255">
        <f>(K644/K612)*W89</f>
        <v>0</v>
      </c>
      <c r="L688" s="255">
        <f>(L647/L612)*W94</f>
        <v>0</v>
      </c>
      <c r="M688" s="231">
        <f t="shared" si="20"/>
        <v>0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0</v>
      </c>
      <c r="D689" s="255">
        <f>(D615/D612)*X90</f>
        <v>0</v>
      </c>
      <c r="E689" s="257">
        <f>(E623/E612)*SUM(C689:D689)</f>
        <v>0</v>
      </c>
      <c r="F689" s="257">
        <f>(F624/F612)*X64</f>
        <v>0</v>
      </c>
      <c r="G689" s="255">
        <f>(G625/G612)*X91</f>
        <v>0</v>
      </c>
      <c r="H689" s="257">
        <f>(H628/H612)*X60</f>
        <v>0</v>
      </c>
      <c r="I689" s="255">
        <f>(I629/I612)*X92</f>
        <v>0</v>
      </c>
      <c r="J689" s="255">
        <f>(J630/J612)*X93</f>
        <v>0</v>
      </c>
      <c r="K689" s="255">
        <f>(K644/K612)*X89</f>
        <v>0</v>
      </c>
      <c r="L689" s="255">
        <f>(L647/L612)*X94</f>
        <v>0</v>
      </c>
      <c r="M689" s="231">
        <f t="shared" si="20"/>
        <v>0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633236</v>
      </c>
      <c r="D690" s="255">
        <f>(D615/D612)*Y90</f>
        <v>4745.688431876607</v>
      </c>
      <c r="E690" s="257">
        <f>(E623/E612)*SUM(C690:D690)</f>
        <v>49503.463278512114</v>
      </c>
      <c r="F690" s="257">
        <f>(F624/F612)*Y64</f>
        <v>0</v>
      </c>
      <c r="G690" s="255">
        <f>(G625/G612)*Y91</f>
        <v>0</v>
      </c>
      <c r="H690" s="257">
        <f>(H628/H612)*Y60</f>
        <v>15696.329858952096</v>
      </c>
      <c r="I690" s="255">
        <f>(I629/I612)*Y92</f>
        <v>2522.5977062107117</v>
      </c>
      <c r="J690" s="255">
        <f>(J630/J612)*Y93</f>
        <v>0</v>
      </c>
      <c r="K690" s="255">
        <f>(K644/K612)*Y89</f>
        <v>152327.03040360121</v>
      </c>
      <c r="L690" s="255">
        <f>(L647/L612)*Y94</f>
        <v>0</v>
      </c>
      <c r="M690" s="231">
        <f t="shared" si="20"/>
        <v>224795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20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20"/>
        <v>0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317764</v>
      </c>
      <c r="D693" s="255">
        <f>(D615/D612)*AB90</f>
        <v>1891.6380462724935</v>
      </c>
      <c r="E693" s="257">
        <f>(E623/E612)*SUM(C693:D693)</f>
        <v>24803.315560181156</v>
      </c>
      <c r="F693" s="257">
        <f>(F624/F612)*AB64</f>
        <v>0</v>
      </c>
      <c r="G693" s="255">
        <f>(G625/G612)*AB91</f>
        <v>0</v>
      </c>
      <c r="H693" s="257">
        <f>(H628/H612)*AB60</f>
        <v>0</v>
      </c>
      <c r="I693" s="255">
        <f>(I629/I612)*AB92</f>
        <v>1005.5109738042697</v>
      </c>
      <c r="J693" s="255">
        <f>(J630/J612)*AB93</f>
        <v>0</v>
      </c>
      <c r="K693" s="255">
        <f>(K644/K612)*AB89</f>
        <v>112389.44306655812</v>
      </c>
      <c r="L693" s="255">
        <f>(L647/L612)*AB94</f>
        <v>0</v>
      </c>
      <c r="M693" s="231">
        <f t="shared" si="20"/>
        <v>140090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0</v>
      </c>
      <c r="D694" s="255">
        <f>(D615/D612)*AC90</f>
        <v>0</v>
      </c>
      <c r="E694" s="257">
        <f>(E623/E612)*SUM(C694:D694)</f>
        <v>0</v>
      </c>
      <c r="F694" s="257">
        <f>(F624/F612)*AC64</f>
        <v>0</v>
      </c>
      <c r="G694" s="255">
        <f>(G625/G612)*AC91</f>
        <v>0</v>
      </c>
      <c r="H694" s="257">
        <f>(H628/H612)*AC60</f>
        <v>0</v>
      </c>
      <c r="I694" s="255">
        <f>(I629/I612)*AC92</f>
        <v>0</v>
      </c>
      <c r="J694" s="255">
        <f>(J630/J612)*AC93</f>
        <v>0</v>
      </c>
      <c r="K694" s="255">
        <f>(K644/K612)*AC89</f>
        <v>0</v>
      </c>
      <c r="L694" s="255">
        <f>(L647/L612)*AC94</f>
        <v>0</v>
      </c>
      <c r="M694" s="231">
        <f t="shared" si="20"/>
        <v>0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20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330491</v>
      </c>
      <c r="D696" s="255">
        <f>(D615/D612)*AE90</f>
        <v>16626.502827763496</v>
      </c>
      <c r="E696" s="257">
        <f>(E623/E612)*SUM(C696:D696)</f>
        <v>26934.187714382751</v>
      </c>
      <c r="F696" s="257">
        <f>(F624/F612)*AE64</f>
        <v>0</v>
      </c>
      <c r="G696" s="255">
        <f>(G625/G612)*AE91</f>
        <v>0</v>
      </c>
      <c r="H696" s="257">
        <f>(H628/H612)*AE60</f>
        <v>5478.907592275732</v>
      </c>
      <c r="I696" s="255">
        <f>(I629/I612)*AE92</f>
        <v>8837.9122434375295</v>
      </c>
      <c r="J696" s="255">
        <f>(J630/J612)*AE93</f>
        <v>0</v>
      </c>
      <c r="K696" s="255">
        <f>(K644/K612)*AE89</f>
        <v>63333.280057615353</v>
      </c>
      <c r="L696" s="255">
        <f>(L647/L612)*AE94</f>
        <v>0</v>
      </c>
      <c r="M696" s="231">
        <f t="shared" si="20"/>
        <v>121211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20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1268996</v>
      </c>
      <c r="D698" s="255">
        <f>(D615/D612)*AG90</f>
        <v>20940.76503856041</v>
      </c>
      <c r="E698" s="257">
        <f>(E623/E612)*SUM(C698:D698)</f>
        <v>100091.17571484599</v>
      </c>
      <c r="F698" s="257">
        <f>(F624/F612)*AG64</f>
        <v>0</v>
      </c>
      <c r="G698" s="255">
        <f>(G625/G612)*AG91</f>
        <v>0</v>
      </c>
      <c r="H698" s="257">
        <f>(H628/H612)*AG60</f>
        <v>7137.3877283159536</v>
      </c>
      <c r="I698" s="255">
        <f>(I629/I612)*AG92</f>
        <v>11131.182885447266</v>
      </c>
      <c r="J698" s="255">
        <f>(J630/J612)*AG93</f>
        <v>0</v>
      </c>
      <c r="K698" s="255">
        <f>(K644/K612)*AG89</f>
        <v>263172.18001147569</v>
      </c>
      <c r="L698" s="255">
        <f>(L647/L612)*AG94</f>
        <v>0</v>
      </c>
      <c r="M698" s="231">
        <f t="shared" si="20"/>
        <v>402473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20"/>
        <v>0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20"/>
        <v>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1075784</v>
      </c>
      <c r="D701" s="255">
        <f>(D615/D612)*AJ90</f>
        <v>34381.351156812336</v>
      </c>
      <c r="E701" s="257">
        <f>(E623/E612)*SUM(C701:D701)</f>
        <v>86142.017381641592</v>
      </c>
      <c r="F701" s="257">
        <f>(F624/F612)*AJ64</f>
        <v>0</v>
      </c>
      <c r="G701" s="255">
        <f>(G625/G612)*AJ91</f>
        <v>0</v>
      </c>
      <c r="H701" s="257">
        <f>(H628/H612)*AJ60</f>
        <v>17532.504295282342</v>
      </c>
      <c r="I701" s="255">
        <f>(I629/I612)*AJ92</f>
        <v>18275.602962477606</v>
      </c>
      <c r="J701" s="255">
        <f>(J630/J612)*AJ93</f>
        <v>0</v>
      </c>
      <c r="K701" s="255">
        <f>(K644/K612)*AJ89</f>
        <v>95673.916050786283</v>
      </c>
      <c r="L701" s="255">
        <f>(L647/L612)*AJ94</f>
        <v>33269.181865020204</v>
      </c>
      <c r="M701" s="231">
        <f t="shared" si="20"/>
        <v>285275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20"/>
        <v>0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20"/>
        <v>0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20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20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19813</v>
      </c>
      <c r="D706" s="255">
        <f>(D615/D612)*AO90</f>
        <v>1261.0920308483292</v>
      </c>
      <c r="E706" s="257">
        <f>(E623/E612)*SUM(C706:D706)</f>
        <v>1635.2201950205063</v>
      </c>
      <c r="F706" s="257">
        <f>(F624/F612)*AO64</f>
        <v>0</v>
      </c>
      <c r="G706" s="255">
        <f>(G625/G612)*AO91</f>
        <v>2332.5429526129396</v>
      </c>
      <c r="H706" s="257">
        <f>(H628/H612)*AO60</f>
        <v>296.15716715003958</v>
      </c>
      <c r="I706" s="255">
        <f>(I629/I612)*AO92</f>
        <v>670.34064920284652</v>
      </c>
      <c r="J706" s="255">
        <f>(J630/J612)*AO93</f>
        <v>488.49603719302524</v>
      </c>
      <c r="K706" s="255">
        <f>(K644/K612)*AO89</f>
        <v>36640.214440951546</v>
      </c>
      <c r="L706" s="255">
        <f>(L647/L612)*AO94</f>
        <v>1567.6577842156116</v>
      </c>
      <c r="M706" s="231">
        <f t="shared" si="20"/>
        <v>44892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20"/>
        <v>0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20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20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20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20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20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20"/>
        <v>0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14321299</v>
      </c>
      <c r="D715" s="231">
        <f>SUM(D616:D647)+SUM(D668:D713)</f>
        <v>645480</v>
      </c>
      <c r="E715" s="231">
        <f>SUM(E624:E647)+SUM(E668:E713)</f>
        <v>1031227.94344473</v>
      </c>
      <c r="F715" s="231">
        <f>SUM(F625:F648)+SUM(F668:F713)</f>
        <v>0</v>
      </c>
      <c r="G715" s="231">
        <f>SUM(G626:G647)+SUM(G668:G713)</f>
        <v>605931.04428104311</v>
      </c>
      <c r="H715" s="231">
        <f>SUM(H629:H647)+SUM(H668:H713)</f>
        <v>182343.96781427934</v>
      </c>
      <c r="I715" s="231">
        <f>SUM(I630:I647)+SUM(I668:I713)</f>
        <v>255964.2847350869</v>
      </c>
      <c r="J715" s="231">
        <f>SUM(J631:J647)+SUM(J668:J713)</f>
        <v>126696.33220638303</v>
      </c>
      <c r="K715" s="231">
        <f>SUM(K668:K713)</f>
        <v>1413932.1588095829</v>
      </c>
      <c r="L715" s="231">
        <f>SUM(L668:L713)</f>
        <v>436157.23240843241</v>
      </c>
      <c r="M715" s="231">
        <f>SUM(M668:M713)</f>
        <v>4214408</v>
      </c>
      <c r="N715" s="249" t="s">
        <v>669</v>
      </c>
    </row>
    <row r="716" spans="1:14" s="231" customFormat="1" ht="12.65" customHeight="1" x14ac:dyDescent="0.3">
      <c r="C716" s="252">
        <f>CE85</f>
        <v>14321299</v>
      </c>
      <c r="D716" s="231">
        <f>D615</f>
        <v>645480</v>
      </c>
      <c r="E716" s="231">
        <f>E623</f>
        <v>1031227.94344473</v>
      </c>
      <c r="F716" s="231">
        <f>F624</f>
        <v>0</v>
      </c>
      <c r="G716" s="231">
        <f>G625</f>
        <v>605931.04428104311</v>
      </c>
      <c r="H716" s="231">
        <f>H628</f>
        <v>182343.96781427937</v>
      </c>
      <c r="I716" s="231">
        <f>I629</f>
        <v>255964.2847350869</v>
      </c>
      <c r="J716" s="231">
        <f>J630</f>
        <v>126696.33220638303</v>
      </c>
      <c r="K716" s="231">
        <f>K644</f>
        <v>1413932.1588095827</v>
      </c>
      <c r="L716" s="231">
        <f>L647</f>
        <v>436157.23240843235</v>
      </c>
      <c r="M716" s="231">
        <f>C648</f>
        <v>4214407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3C9528A-D9DF-49A4-B12C-96DC2577BC4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6" workbookViewId="0">
      <selection activeCell="D9" sqref="D9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ht="15" thickTop="1" x14ac:dyDescent="0.35">
      <c r="B15" s="112"/>
      <c r="J15" s="113"/>
    </row>
    <row r="16" spans="2:10" ht="15" thickBot="1" x14ac:dyDescent="0.4">
      <c r="B16" s="112"/>
      <c r="F16" s="12" t="s">
        <v>679</v>
      </c>
      <c r="G16" s="115"/>
      <c r="J16" s="113"/>
    </row>
    <row r="17" spans="2:10" ht="15" thickTop="1" x14ac:dyDescent="0.35">
      <c r="B17" s="109"/>
      <c r="C17" s="118" t="s">
        <v>680</v>
      </c>
      <c r="D17" s="118"/>
      <c r="E17" s="110" t="str">
        <f>+data!C98</f>
        <v>Garfield County Public Hospital District</v>
      </c>
      <c r="F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H-082</v>
      </c>
      <c r="F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66 N. Sixth Street</v>
      </c>
      <c r="F19" s="10"/>
      <c r="J19" s="113"/>
    </row>
    <row r="20" spans="2:10" x14ac:dyDescent="0.35">
      <c r="B20" s="112"/>
      <c r="C20" s="66" t="s">
        <v>683</v>
      </c>
      <c r="D20" s="66"/>
      <c r="E20" s="12" t="str">
        <f>+data!C99</f>
        <v>66 N. Sixth Street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+data!C100</f>
        <v>Pomeroy, 99347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  <pageSetUpPr fitToPage="1"/>
  </sheetPr>
  <dimension ref="A2:M94"/>
  <sheetViews>
    <sheetView topLeftCell="A43" zoomScaleNormal="100" workbookViewId="0">
      <selection activeCell="I63" sqref="I6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082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ht="43.5" x14ac:dyDescent="0.35">
      <c r="A17" s="1" t="s">
        <v>710</v>
      </c>
      <c r="B17" s="274">
        <f>'Prior Year'!E86</f>
        <v>80707</v>
      </c>
      <c r="C17" s="274">
        <f>data!E85</f>
        <v>102256</v>
      </c>
      <c r="D17" s="274">
        <f>'Prior Year'!E60</f>
        <v>157</v>
      </c>
      <c r="E17" s="1">
        <f>data!E59</f>
        <v>129</v>
      </c>
      <c r="F17" s="238">
        <f t="shared" si="0"/>
        <v>514.0573248407643</v>
      </c>
      <c r="G17" s="238">
        <f t="shared" si="1"/>
        <v>792.68217054263562</v>
      </c>
      <c r="H17" s="6">
        <f t="shared" si="2"/>
        <v>0.54201123539710072</v>
      </c>
      <c r="I17" s="346" t="s">
        <v>1382</v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ht="43.5" x14ac:dyDescent="0.35">
      <c r="A24" s="1" t="s">
        <v>717</v>
      </c>
      <c r="B24" s="274">
        <f>'Prior Year'!L86</f>
        <v>3384610</v>
      </c>
      <c r="C24" s="274">
        <f>data!L85</f>
        <v>5017683</v>
      </c>
      <c r="D24" s="274">
        <f>'Prior Year'!L60</f>
        <v>6584</v>
      </c>
      <c r="E24" s="1">
        <f>data!L59</f>
        <v>6330</v>
      </c>
      <c r="F24" s="238">
        <f t="shared" si="0"/>
        <v>514.06591737545568</v>
      </c>
      <c r="G24" s="238">
        <f t="shared" si="1"/>
        <v>792.68293838862564</v>
      </c>
      <c r="H24" s="6">
        <f t="shared" si="2"/>
        <v>0.54198695458286505</v>
      </c>
      <c r="I24" s="346" t="s">
        <v>1382</v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4">
        <f>'Prior Year'!P86</f>
        <v>0</v>
      </c>
      <c r="C28" s="274">
        <f>data!P85</f>
        <v>0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4">
        <f>'Prior Year'!R86</f>
        <v>0</v>
      </c>
      <c r="C30" s="274">
        <f>data!R85</f>
        <v>0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4">
        <f>'Prior Year'!S86</f>
        <v>95067</v>
      </c>
      <c r="C31" s="274">
        <f>data!S85</f>
        <v>86062</v>
      </c>
      <c r="D31" s="274" t="s">
        <v>725</v>
      </c>
      <c r="E31" s="4" t="s">
        <v>725</v>
      </c>
      <c r="F31" s="238"/>
      <c r="G31" s="238" t="str">
        <f t="shared" ref="G31:G32" si="4">IFERROR(IF(C31=0,"",IF(E31=0,"",C31/E31)),"")</f>
        <v/>
      </c>
      <c r="H31" s="6"/>
      <c r="I31" s="274" t="str">
        <f t="shared" si="3"/>
        <v/>
      </c>
      <c r="M31" s="7"/>
    </row>
    <row r="32" spans="1:13" x14ac:dyDescent="0.3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ht="29" x14ac:dyDescent="0.35">
      <c r="A33" s="1" t="s">
        <v>727</v>
      </c>
      <c r="B33" s="274">
        <f>'Prior Year'!U86</f>
        <v>885462</v>
      </c>
      <c r="C33" s="274">
        <f>data!U85</f>
        <v>1245816</v>
      </c>
      <c r="D33" s="274">
        <f>'Prior Year'!U60</f>
        <v>4531</v>
      </c>
      <c r="E33" s="1">
        <f>data!U59</f>
        <v>4856</v>
      </c>
      <c r="F33" s="238">
        <f t="shared" si="0"/>
        <v>195.42308541160892</v>
      </c>
      <c r="G33" s="238">
        <f t="shared" ref="G33:G69" si="5">IF(C33=0,"",IF(E33=0,"",C33/E33))</f>
        <v>256.55189456342669</v>
      </c>
      <c r="H33" s="6">
        <f t="shared" si="2"/>
        <v>0.31280239498350726</v>
      </c>
      <c r="I33" s="346" t="s">
        <v>1383</v>
      </c>
      <c r="M33" s="7"/>
    </row>
    <row r="34" spans="1:13" ht="43.5" x14ac:dyDescent="0.35">
      <c r="A34" s="1" t="s">
        <v>728</v>
      </c>
      <c r="B34" s="274">
        <f>'Prior Year'!V86</f>
        <v>11153</v>
      </c>
      <c r="C34" s="274">
        <f>data!V85</f>
        <v>8991</v>
      </c>
      <c r="D34" s="274">
        <f>'Prior Year'!V60</f>
        <v>205</v>
      </c>
      <c r="E34" s="1">
        <f>data!V59</f>
        <v>258</v>
      </c>
      <c r="F34" s="238">
        <f t="shared" si="0"/>
        <v>54.404878048780489</v>
      </c>
      <c r="G34" s="238">
        <f t="shared" si="5"/>
        <v>34.848837209302324</v>
      </c>
      <c r="H34" s="6">
        <f t="shared" si="2"/>
        <v>-0.35945381261481424</v>
      </c>
      <c r="I34" s="346" t="s">
        <v>1384</v>
      </c>
      <c r="M34" s="7"/>
    </row>
    <row r="35" spans="1:13" x14ac:dyDescent="0.35">
      <c r="A35" s="1" t="s">
        <v>729</v>
      </c>
      <c r="B35" s="274">
        <f>'Prior Year'!W86</f>
        <v>0</v>
      </c>
      <c r="C35" s="274">
        <f>data!W85</f>
        <v>0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4">
        <f>'Prior Year'!X86</f>
        <v>0</v>
      </c>
      <c r="C36" s="274">
        <f>data!X85</f>
        <v>0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4">
        <f>'Prior Year'!Y86</f>
        <v>433133</v>
      </c>
      <c r="C37" s="274">
        <f>data!Y85</f>
        <v>633236</v>
      </c>
      <c r="D37" s="274">
        <f>'Prior Year'!Y60</f>
        <v>850</v>
      </c>
      <c r="E37" s="1">
        <f>data!Y59</f>
        <v>1276</v>
      </c>
      <c r="F37" s="238">
        <f t="shared" si="0"/>
        <v>509.56823529411764</v>
      </c>
      <c r="G37" s="238">
        <f t="shared" si="5"/>
        <v>496.26645768025077</v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4">
        <f>'Prior Year'!AB86</f>
        <v>225360</v>
      </c>
      <c r="C40" s="274">
        <f>data!AB85</f>
        <v>317764</v>
      </c>
      <c r="D40" s="274" t="s">
        <v>725</v>
      </c>
      <c r="E40" s="4" t="s">
        <v>725</v>
      </c>
      <c r="F40" s="238"/>
      <c r="G40" s="238" t="str">
        <f>IFERROR(IF(C40=0,"",IF(E40=0,"",C40/E40)),"")</f>
        <v/>
      </c>
      <c r="H40" s="6"/>
      <c r="I40" s="274" t="str">
        <f t="shared" si="3"/>
        <v/>
      </c>
      <c r="M40" s="7"/>
    </row>
    <row r="41" spans="1:13" x14ac:dyDescent="0.35">
      <c r="A41" s="1" t="s">
        <v>735</v>
      </c>
      <c r="B41" s="274">
        <f>'Prior Year'!AC86</f>
        <v>0</v>
      </c>
      <c r="C41" s="274">
        <f>data!AC85</f>
        <v>0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ht="58" x14ac:dyDescent="0.35">
      <c r="A43" s="1" t="s">
        <v>737</v>
      </c>
      <c r="B43" s="274">
        <f>'Prior Year'!AE86</f>
        <v>264952</v>
      </c>
      <c r="C43" s="274">
        <f>data!AE85</f>
        <v>330491</v>
      </c>
      <c r="D43" s="274">
        <f>'Prior Year'!AE60</f>
        <v>1773</v>
      </c>
      <c r="E43" s="1">
        <f>data!AE59</f>
        <v>1713</v>
      </c>
      <c r="F43" s="238">
        <f t="shared" si="0"/>
        <v>149.43711223914269</v>
      </c>
      <c r="G43" s="238">
        <f t="shared" si="5"/>
        <v>192.93111500291886</v>
      </c>
      <c r="H43" s="6">
        <f t="shared" si="2"/>
        <v>0.2910522166285785</v>
      </c>
      <c r="I43" s="346" t="s">
        <v>1385</v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4">
        <f>'Prior Year'!AG86</f>
        <v>946512</v>
      </c>
      <c r="C45" s="274">
        <f>data!AG85</f>
        <v>1268996</v>
      </c>
      <c r="D45" s="274">
        <f>'Prior Year'!AG60</f>
        <v>846</v>
      </c>
      <c r="E45" s="1">
        <f>data!AG59</f>
        <v>947</v>
      </c>
      <c r="F45" s="238">
        <f t="shared" si="0"/>
        <v>1118.8085106382978</v>
      </c>
      <c r="G45" s="238">
        <f t="shared" si="5"/>
        <v>1340.0168954593453</v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4">
        <f>'Prior Year'!AJ86</f>
        <v>868111</v>
      </c>
      <c r="C48" s="274">
        <f>data!AJ85</f>
        <v>1075784</v>
      </c>
      <c r="D48" s="274">
        <f>'Prior Year'!AJ60</f>
        <v>3324</v>
      </c>
      <c r="E48" s="1">
        <f>data!AJ59</f>
        <v>3540</v>
      </c>
      <c r="F48" s="238">
        <f t="shared" si="0"/>
        <v>261.16456077015641</v>
      </c>
      <c r="G48" s="238">
        <f t="shared" si="5"/>
        <v>303.89378531073447</v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ht="43.5" x14ac:dyDescent="0.35">
      <c r="A53" s="1" t="s">
        <v>747</v>
      </c>
      <c r="B53" s="274">
        <f>'Prior Year'!AO86</f>
        <v>20051</v>
      </c>
      <c r="C53" s="274">
        <f>data!AO85</f>
        <v>19813</v>
      </c>
      <c r="D53" s="274">
        <f>'Prior Year'!AO60</f>
        <v>936</v>
      </c>
      <c r="E53" s="1">
        <f>data!AO59</f>
        <v>600</v>
      </c>
      <c r="F53" s="238">
        <f t="shared" si="0"/>
        <v>21.422008547008549</v>
      </c>
      <c r="G53" s="238">
        <f t="shared" si="5"/>
        <v>33.021666666666668</v>
      </c>
      <c r="H53" s="6">
        <f t="shared" si="2"/>
        <v>0.54148321779462361</v>
      </c>
      <c r="I53" s="346" t="s">
        <v>1382</v>
      </c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4">
        <f>'Prior Year'!AV86</f>
        <v>0</v>
      </c>
      <c r="C60" s="274">
        <f>data!AV85</f>
        <v>0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ht="58" x14ac:dyDescent="0.35">
      <c r="A63" s="1" t="s">
        <v>757</v>
      </c>
      <c r="B63" s="274">
        <f>'Prior Year'!AY86</f>
        <v>458723</v>
      </c>
      <c r="C63" s="274">
        <f>data!AY85</f>
        <v>524600</v>
      </c>
      <c r="D63" s="274">
        <f>'Prior Year'!AY60</f>
        <v>19238</v>
      </c>
      <c r="E63" s="1">
        <f>data!AY59</f>
        <v>17145</v>
      </c>
      <c r="F63" s="238">
        <f>IF(B63=0,"",IF(D63=0,"",B63/D63))</f>
        <v>23.84463041896247</v>
      </c>
      <c r="G63" s="238">
        <f t="shared" si="5"/>
        <v>30.597841936424615</v>
      </c>
      <c r="H63" s="6">
        <f>IF(B63=0,"",IF(C63=0,"",IF(D63=0,"",IF(E63=0,"",IF(G63/F63-1&lt;-0.25,G63/F63-1,IF(G63/F63-1&gt;0.25,G63/F63-1,""))))))</f>
        <v>0.28321728619000308</v>
      </c>
      <c r="I63" s="346" t="s">
        <v>1385</v>
      </c>
      <c r="M63" s="7"/>
    </row>
    <row r="64" spans="1:13" x14ac:dyDescent="0.3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4">
        <f>'Prior Year'!BA86</f>
        <v>55886</v>
      </c>
      <c r="C65" s="274">
        <f>data!BA85</f>
        <v>78389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4">
        <f>'Prior Year'!BB86</f>
        <v>146675</v>
      </c>
      <c r="C66" s="274">
        <f>data!BB85</f>
        <v>182902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762</v>
      </c>
      <c r="B68" s="274">
        <f>'Prior Year'!BD86</f>
        <v>0</v>
      </c>
      <c r="C68" s="274">
        <f>data!BD85</f>
        <v>0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763</v>
      </c>
      <c r="B69" s="274">
        <f>'Prior Year'!BE86</f>
        <v>379186</v>
      </c>
      <c r="C69" s="274">
        <f>data!BE85</f>
        <v>459655</v>
      </c>
      <c r="D69" s="274">
        <f>'Prior Year'!BE60</f>
        <v>20923</v>
      </c>
      <c r="E69" s="1">
        <f>data!BE59</f>
        <v>20923</v>
      </c>
      <c r="F69" s="238">
        <f>IF(B69=0,"",IF(D69=0,"",B69/D69))</f>
        <v>18.122926922525451</v>
      </c>
      <c r="G69" s="238">
        <f t="shared" si="5"/>
        <v>21.968885915021747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4">
        <f>'Prior Year'!BF86</f>
        <v>247296</v>
      </c>
      <c r="C70" s="274">
        <f>data!BF85</f>
        <v>220236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4">
        <f>'Prior Year'!BG86</f>
        <v>0</v>
      </c>
      <c r="C71" s="274">
        <f>data!BG85</f>
        <v>0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4">
        <f>'Prior Year'!BH86</f>
        <v>281853</v>
      </c>
      <c r="C72" s="274">
        <f>data!BH85</f>
        <v>325929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4">
        <f>'Prior Year'!BJ86</f>
        <v>197667</v>
      </c>
      <c r="C74" s="274">
        <f>data!BJ85</f>
        <v>262860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4">
        <f>'Prior Year'!BK86</f>
        <v>0</v>
      </c>
      <c r="C75" s="274">
        <f>data!BK85</f>
        <v>0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4">
        <f>'Prior Year'!BL86</f>
        <v>0</v>
      </c>
      <c r="C76" s="274">
        <f>data!BL85</f>
        <v>0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4">
        <f>'Prior Year'!BN86</f>
        <v>501909</v>
      </c>
      <c r="C78" s="274">
        <f>data!BN85</f>
        <v>649062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4">
        <f>'Prior Year'!BO86</f>
        <v>0</v>
      </c>
      <c r="C79" s="274">
        <f>data!BO85</f>
        <v>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4">
        <f>'Prior Year'!BR86</f>
        <v>127865</v>
      </c>
      <c r="C82" s="274">
        <f>data!BR85</f>
        <v>169214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4">
        <f>'Prior Year'!BV86</f>
        <v>651762</v>
      </c>
      <c r="C86" s="274">
        <f>data!BV85</f>
        <v>763495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4">
        <f>'Prior Year'!BX86</f>
        <v>0</v>
      </c>
      <c r="C88" s="274">
        <f>data!BX85</f>
        <v>0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4">
        <f>'Prior Year'!BY86</f>
        <v>614510</v>
      </c>
      <c r="C89" s="274">
        <f>data!BY85</f>
        <v>392240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4">
        <f>'Prior Year'!CA86</f>
        <v>0</v>
      </c>
      <c r="C91" s="274">
        <f>data!CA85</f>
        <v>0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4">
        <f>'Prior Year'!CC86</f>
        <v>0</v>
      </c>
      <c r="C93" s="274">
        <f>data!CC85</f>
        <v>0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4">
        <f>'Prior Year'!CD86</f>
        <v>-1764420</v>
      </c>
      <c r="C94" s="274">
        <f>data!CD85</f>
        <v>185825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  <pageSetUpPr fitToPage="1"/>
  </sheetPr>
  <dimension ref="A1:D35"/>
  <sheetViews>
    <sheetView workbookViewId="0">
      <selection activeCell="F16" sqref="F16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9" t="s">
        <v>1348</v>
      </c>
    </row>
    <row r="3" spans="1:4" x14ac:dyDescent="0.35">
      <c r="A3" s="11" t="s">
        <v>789</v>
      </c>
    </row>
    <row r="4" spans="1:4" x14ac:dyDescent="0.35">
      <c r="A4" s="327" t="s">
        <v>1346</v>
      </c>
    </row>
    <row r="5" spans="1:4" x14ac:dyDescent="0.35">
      <c r="A5" s="328" t="s">
        <v>1344</v>
      </c>
    </row>
    <row r="6" spans="1:4" x14ac:dyDescent="0.35">
      <c r="A6" s="326"/>
    </row>
    <row r="7" spans="1:4" x14ac:dyDescent="0.35">
      <c r="A7" s="327" t="s">
        <v>1347</v>
      </c>
    </row>
    <row r="8" spans="1:4" x14ac:dyDescent="0.35">
      <c r="A8" s="328" t="s">
        <v>1345</v>
      </c>
    </row>
    <row r="11" spans="1:4" x14ac:dyDescent="0.35">
      <c r="A11" s="13" t="s">
        <v>790</v>
      </c>
      <c r="D11" s="275">
        <f>data!C380</f>
        <v>99876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351256</v>
      </c>
    </row>
    <row r="26" spans="1:4" x14ac:dyDescent="0.35">
      <c r="A26" s="13" t="s">
        <v>791</v>
      </c>
      <c r="D26" s="276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D9" sqref="D9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H-82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Garfield County Public Hospital District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"&amp;data!C103</f>
        <v xml:space="preserve">  Garfield County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"&amp;data!C104</f>
        <v xml:space="preserve">  Mat Slaybaugh &amp; Jayd Keener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"&amp;data!C105</f>
        <v xml:space="preserve">  Stephanie Miller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"&amp;data!C106</f>
        <v xml:space="preserve">  Michael Field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509-843-1591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49</v>
      </c>
      <c r="G23" s="81">
        <f>data!D127</f>
        <v>129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410</v>
      </c>
      <c r="G24" s="81">
        <f>data!D128</f>
        <v>6330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25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D9" sqref="D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Garfield County Public Hospital District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41</v>
      </c>
      <c r="C7" s="141">
        <f>data!B155</f>
        <v>112</v>
      </c>
      <c r="D7" s="141">
        <f>data!B156</f>
        <v>0</v>
      </c>
      <c r="E7" s="141">
        <f>data!B157</f>
        <v>437510</v>
      </c>
      <c r="F7" s="141">
        <f>data!B158</f>
        <v>3077701</v>
      </c>
      <c r="G7" s="141">
        <f>data!B157+data!B158</f>
        <v>3515211</v>
      </c>
    </row>
    <row r="8" spans="1:7" ht="20.149999999999999" customHeight="1" x14ac:dyDescent="0.35">
      <c r="A8" s="77" t="s">
        <v>331</v>
      </c>
      <c r="B8" s="141">
        <f>data!C154</f>
        <v>0</v>
      </c>
      <c r="C8" s="141">
        <f>data!C155</f>
        <v>2</v>
      </c>
      <c r="D8" s="141">
        <f>data!C156</f>
        <v>0</v>
      </c>
      <c r="E8" s="141">
        <f>data!C157</f>
        <v>10123</v>
      </c>
      <c r="F8" s="141">
        <f>data!C158</f>
        <v>27895</v>
      </c>
      <c r="G8" s="141">
        <f>data!C157+data!C158</f>
        <v>38018</v>
      </c>
    </row>
    <row r="9" spans="1:7" ht="20.149999999999999" customHeight="1" x14ac:dyDescent="0.35">
      <c r="A9" s="77" t="s">
        <v>829</v>
      </c>
      <c r="B9" s="141">
        <f>data!D154</f>
        <v>8</v>
      </c>
      <c r="C9" s="141">
        <f>data!D155</f>
        <v>15</v>
      </c>
      <c r="D9" s="141">
        <f>data!D156</f>
        <v>0</v>
      </c>
      <c r="E9" s="141">
        <f>data!D157</f>
        <v>60650</v>
      </c>
      <c r="F9" s="141">
        <f>data!D158</f>
        <v>3086845</v>
      </c>
      <c r="G9" s="141">
        <f>data!D157+data!D158</f>
        <v>3147495</v>
      </c>
    </row>
    <row r="10" spans="1:7" ht="20.149999999999999" customHeight="1" x14ac:dyDescent="0.35">
      <c r="A10" s="92" t="s">
        <v>215</v>
      </c>
      <c r="B10" s="141">
        <f>data!E154</f>
        <v>49</v>
      </c>
      <c r="C10" s="141">
        <f>data!E155</f>
        <v>129</v>
      </c>
      <c r="D10" s="141">
        <f>data!E156</f>
        <v>0</v>
      </c>
      <c r="E10" s="141">
        <f>data!E157</f>
        <v>508283</v>
      </c>
      <c r="F10" s="141">
        <f>data!E158</f>
        <v>6192441</v>
      </c>
      <c r="G10" s="141">
        <f>E10+F10</f>
        <v>6700724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83</v>
      </c>
      <c r="C16" s="141">
        <f>data!B161</f>
        <v>552</v>
      </c>
      <c r="D16" s="141">
        <f>data!B162</f>
        <v>0</v>
      </c>
      <c r="E16" s="141">
        <f>data!B163</f>
        <v>485237</v>
      </c>
      <c r="F16" s="141">
        <f>data!B164</f>
        <v>0</v>
      </c>
      <c r="G16" s="141">
        <f>E16+F16</f>
        <v>485237</v>
      </c>
    </row>
    <row r="17" spans="1:7" ht="20.149999999999999" customHeight="1" x14ac:dyDescent="0.35">
      <c r="A17" s="77" t="s">
        <v>331</v>
      </c>
      <c r="B17" s="141">
        <f>data!C160</f>
        <v>128</v>
      </c>
      <c r="C17" s="141">
        <f>data!C161</f>
        <v>2423</v>
      </c>
      <c r="D17" s="141">
        <f>data!C162</f>
        <v>0</v>
      </c>
      <c r="E17" s="141">
        <f>data!C163</f>
        <v>591043</v>
      </c>
      <c r="F17" s="141">
        <f>data!C164</f>
        <v>0</v>
      </c>
      <c r="G17" s="141">
        <f t="shared" ref="G17:G19" si="0">E17+F17</f>
        <v>591043</v>
      </c>
    </row>
    <row r="18" spans="1:7" ht="20.149999999999999" customHeight="1" x14ac:dyDescent="0.35">
      <c r="A18" s="77" t="s">
        <v>829</v>
      </c>
      <c r="B18" s="141">
        <f>data!D160</f>
        <v>199</v>
      </c>
      <c r="C18" s="141">
        <f>data!D161</f>
        <v>3355</v>
      </c>
      <c r="D18" s="141">
        <f>data!D162</f>
        <v>0</v>
      </c>
      <c r="E18" s="141">
        <f>data!D163</f>
        <v>830412</v>
      </c>
      <c r="F18" s="141">
        <f>data!D164</f>
        <v>0</v>
      </c>
      <c r="G18" s="141">
        <f t="shared" si="0"/>
        <v>830412</v>
      </c>
    </row>
    <row r="19" spans="1:7" ht="20.149999999999999" customHeight="1" x14ac:dyDescent="0.35">
      <c r="A19" s="92" t="s">
        <v>215</v>
      </c>
      <c r="B19" s="141">
        <f>data!E160</f>
        <v>410</v>
      </c>
      <c r="C19" s="141">
        <f>data!E161</f>
        <v>6330</v>
      </c>
      <c r="D19" s="141">
        <f>data!E162</f>
        <v>0</v>
      </c>
      <c r="E19" s="141">
        <f>data!E163</f>
        <v>1906692</v>
      </c>
      <c r="F19" s="141">
        <f>data!E164</f>
        <v>0</v>
      </c>
      <c r="G19" s="141">
        <f t="shared" si="0"/>
        <v>1906692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1219832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333784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41"/>
  <sheetViews>
    <sheetView workbookViewId="0">
      <selection activeCell="D9" sqref="D9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7" ht="20.149999999999999" customHeight="1" x14ac:dyDescent="0.35">
      <c r="A1" s="155" t="s">
        <v>339</v>
      </c>
      <c r="B1" s="76"/>
      <c r="C1" s="75" t="s">
        <v>835</v>
      </c>
    </row>
    <row r="2" spans="1:7" ht="20.149999999999999" customHeight="1" x14ac:dyDescent="0.35">
      <c r="A2" s="100"/>
    </row>
    <row r="3" spans="1:7" ht="20.149999999999999" customHeight="1" x14ac:dyDescent="0.35">
      <c r="A3" s="134" t="str">
        <f>"Hospital: "&amp;data!C98</f>
        <v>Hospital: Garfield County Public Hospital District</v>
      </c>
      <c r="B3" s="83"/>
      <c r="C3" s="156" t="str">
        <f>"FYE: "&amp;data!C96</f>
        <v>FYE: 12/31/2022</v>
      </c>
    </row>
    <row r="4" spans="1:7" ht="20.149999999999999" customHeight="1" x14ac:dyDescent="0.35">
      <c r="A4" s="83"/>
    </row>
    <row r="5" spans="1:7" ht="20.149999999999999" customHeight="1" x14ac:dyDescent="0.35">
      <c r="A5" s="77">
        <v>1</v>
      </c>
      <c r="B5" s="89" t="s">
        <v>340</v>
      </c>
      <c r="C5" s="137"/>
    </row>
    <row r="6" spans="1:7" ht="20.149999999999999" customHeight="1" x14ac:dyDescent="0.35">
      <c r="A6" s="157">
        <v>2</v>
      </c>
      <c r="B6" s="78" t="s">
        <v>836</v>
      </c>
      <c r="C6" s="77">
        <f>data!C181</f>
        <v>375973</v>
      </c>
    </row>
    <row r="7" spans="1:7" ht="20.149999999999999" customHeight="1" x14ac:dyDescent="0.35">
      <c r="A7" s="158">
        <v>3</v>
      </c>
      <c r="B7" s="97" t="s">
        <v>342</v>
      </c>
      <c r="C7" s="77">
        <f>data!C182</f>
        <v>20555</v>
      </c>
    </row>
    <row r="8" spans="1:7" ht="20.149999999999999" customHeight="1" x14ac:dyDescent="0.35">
      <c r="A8" s="158">
        <v>4</v>
      </c>
      <c r="B8" s="78" t="s">
        <v>343</v>
      </c>
      <c r="C8" s="77">
        <f>data!C183</f>
        <v>99029</v>
      </c>
    </row>
    <row r="9" spans="1:7" ht="20.149999999999999" customHeight="1" x14ac:dyDescent="0.35">
      <c r="A9" s="158">
        <v>5</v>
      </c>
      <c r="B9" s="78" t="s">
        <v>344</v>
      </c>
      <c r="C9" s="77">
        <f>data!C184</f>
        <v>684189</v>
      </c>
    </row>
    <row r="10" spans="1:7" ht="20.149999999999999" customHeight="1" x14ac:dyDescent="0.35">
      <c r="A10" s="158">
        <v>6</v>
      </c>
      <c r="B10" s="78" t="s">
        <v>345</v>
      </c>
      <c r="C10" s="77">
        <f>data!C185</f>
        <v>10803</v>
      </c>
    </row>
    <row r="11" spans="1:7" ht="20.149999999999999" customHeight="1" x14ac:dyDescent="0.35">
      <c r="A11" s="158">
        <v>7</v>
      </c>
      <c r="B11" s="78" t="s">
        <v>346</v>
      </c>
      <c r="C11" s="77">
        <f>data!C186</f>
        <v>59230</v>
      </c>
    </row>
    <row r="12" spans="1:7" ht="20.149999999999999" customHeight="1" x14ac:dyDescent="0.35">
      <c r="A12" s="158">
        <v>8</v>
      </c>
      <c r="B12" s="78" t="s">
        <v>347</v>
      </c>
      <c r="C12" s="77">
        <f>data!C187</f>
        <v>1871415</v>
      </c>
    </row>
    <row r="13" spans="1:7" ht="20.149999999999999" customHeight="1" x14ac:dyDescent="0.35">
      <c r="A13" s="158">
        <v>9</v>
      </c>
      <c r="B13" s="78" t="s">
        <v>347</v>
      </c>
      <c r="C13" s="77">
        <f>data!C188</f>
        <v>24283</v>
      </c>
    </row>
    <row r="14" spans="1:7" ht="20.149999999999999" customHeight="1" x14ac:dyDescent="0.35">
      <c r="A14" s="158">
        <v>10</v>
      </c>
      <c r="B14" s="78" t="s">
        <v>837</v>
      </c>
      <c r="C14" s="77">
        <f>data!D189</f>
        <v>3145477</v>
      </c>
    </row>
    <row r="15" spans="1:7" ht="20.149999999999999" customHeight="1" x14ac:dyDescent="0.35">
      <c r="A15" s="82"/>
      <c r="B15" s="83"/>
      <c r="C15" s="84"/>
    </row>
    <row r="16" spans="1:7" ht="20.149999999999999" customHeight="1" x14ac:dyDescent="0.35">
      <c r="A16" s="82"/>
      <c r="B16" s="83"/>
      <c r="C16" s="84"/>
      <c r="G16" s="1">
        <f>E16+F16</f>
        <v>0</v>
      </c>
    </row>
    <row r="17" spans="1:7" ht="20.149999999999999" customHeight="1" x14ac:dyDescent="0.35">
      <c r="A17" s="159">
        <v>11</v>
      </c>
      <c r="B17" s="90" t="s">
        <v>348</v>
      </c>
      <c r="C17" s="91"/>
      <c r="G17" s="1">
        <f t="shared" ref="G17:G19" si="0">E17+F17</f>
        <v>0</v>
      </c>
    </row>
    <row r="18" spans="1:7" ht="20.149999999999999" customHeight="1" x14ac:dyDescent="0.35">
      <c r="A18" s="77">
        <v>12</v>
      </c>
      <c r="B18" s="78" t="s">
        <v>838</v>
      </c>
      <c r="C18" s="77">
        <f>data!C191</f>
        <v>0</v>
      </c>
      <c r="G18" s="1">
        <f t="shared" si="0"/>
        <v>0</v>
      </c>
    </row>
    <row r="19" spans="1:7" ht="20.149999999999999" customHeight="1" x14ac:dyDescent="0.35">
      <c r="A19" s="77">
        <v>13</v>
      </c>
      <c r="B19" s="78" t="s">
        <v>839</v>
      </c>
      <c r="C19" s="77">
        <f>data!C192</f>
        <v>31202</v>
      </c>
      <c r="G19" s="1">
        <f t="shared" si="0"/>
        <v>0</v>
      </c>
    </row>
    <row r="20" spans="1:7" ht="20.149999999999999" customHeight="1" x14ac:dyDescent="0.35">
      <c r="A20" s="77">
        <v>14</v>
      </c>
      <c r="B20" s="78" t="s">
        <v>840</v>
      </c>
      <c r="C20" s="77">
        <f>data!D193</f>
        <v>31202</v>
      </c>
    </row>
    <row r="21" spans="1:7" ht="20.149999999999999" customHeight="1" x14ac:dyDescent="0.35">
      <c r="A21" s="82"/>
      <c r="B21" s="83"/>
      <c r="C21" s="84"/>
    </row>
    <row r="22" spans="1:7" ht="20.149999999999999" customHeight="1" x14ac:dyDescent="0.35">
      <c r="A22" s="82"/>
      <c r="C22" s="160"/>
    </row>
    <row r="23" spans="1:7" ht="20.149999999999999" customHeight="1" x14ac:dyDescent="0.35">
      <c r="A23" s="138">
        <v>15</v>
      </c>
      <c r="B23" s="161" t="s">
        <v>351</v>
      </c>
      <c r="C23" s="137"/>
    </row>
    <row r="24" spans="1:7" ht="20.149999999999999" customHeight="1" x14ac:dyDescent="0.35">
      <c r="A24" s="77">
        <v>16</v>
      </c>
      <c r="B24" s="89" t="s">
        <v>841</v>
      </c>
      <c r="C24" s="162"/>
    </row>
    <row r="25" spans="1:7" ht="20.149999999999999" customHeight="1" x14ac:dyDescent="0.35">
      <c r="A25" s="77">
        <v>17</v>
      </c>
      <c r="B25" s="78" t="s">
        <v>842</v>
      </c>
      <c r="C25" s="77">
        <f>data!C195</f>
        <v>21334</v>
      </c>
    </row>
    <row r="26" spans="1:7" ht="20.149999999999999" customHeight="1" x14ac:dyDescent="0.35">
      <c r="A26" s="77">
        <v>18</v>
      </c>
      <c r="B26" s="78" t="s">
        <v>353</v>
      </c>
      <c r="C26" s="77">
        <f>data!C196</f>
        <v>116022</v>
      </c>
    </row>
    <row r="27" spans="1:7" ht="20.149999999999999" customHeight="1" x14ac:dyDescent="0.35">
      <c r="A27" s="77">
        <v>19</v>
      </c>
      <c r="B27" s="78" t="s">
        <v>843</v>
      </c>
      <c r="C27" s="77">
        <f>data!D197</f>
        <v>137356</v>
      </c>
    </row>
    <row r="28" spans="1:7" ht="20.149999999999999" customHeight="1" x14ac:dyDescent="0.35">
      <c r="A28" s="82"/>
      <c r="B28" s="83"/>
      <c r="C28" s="84"/>
    </row>
    <row r="29" spans="1:7" ht="20.149999999999999" customHeight="1" x14ac:dyDescent="0.35">
      <c r="A29" s="82"/>
      <c r="B29" s="83"/>
      <c r="C29" s="84"/>
    </row>
    <row r="30" spans="1:7" ht="20.149999999999999" customHeight="1" x14ac:dyDescent="0.35">
      <c r="A30" s="138">
        <v>20</v>
      </c>
      <c r="B30" s="161" t="s">
        <v>844</v>
      </c>
      <c r="C30" s="147"/>
    </row>
    <row r="31" spans="1:7" ht="20.149999999999999" customHeight="1" x14ac:dyDescent="0.35">
      <c r="A31" s="77">
        <v>21</v>
      </c>
      <c r="B31" s="78" t="s">
        <v>355</v>
      </c>
      <c r="C31" s="77">
        <f>data!C199</f>
        <v>12612</v>
      </c>
    </row>
    <row r="32" spans="1:7" ht="20.149999999999999" customHeight="1" x14ac:dyDescent="0.35">
      <c r="A32" s="77">
        <v>22</v>
      </c>
      <c r="B32" s="78" t="s">
        <v>845</v>
      </c>
      <c r="C32" s="77">
        <f>data!C200</f>
        <v>30939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43551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4918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4918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32"/>
  <sheetViews>
    <sheetView topLeftCell="A5" workbookViewId="0">
      <selection activeCell="D6" sqref="D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Garfield County Public Hospital District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83983</v>
      </c>
      <c r="D7" s="81">
        <f>data!C211</f>
        <v>0</v>
      </c>
      <c r="E7" s="81">
        <f>data!D211</f>
        <v>0</v>
      </c>
      <c r="F7" s="81">
        <f>data!E211</f>
        <v>83983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234472</v>
      </c>
      <c r="D8" s="81">
        <f>data!C212</f>
        <v>0</v>
      </c>
      <c r="E8" s="81">
        <f>data!D212</f>
        <v>0</v>
      </c>
      <c r="F8" s="81">
        <f>data!E212</f>
        <v>234472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1511534</v>
      </c>
      <c r="D9" s="81">
        <f>data!C213</f>
        <v>0</v>
      </c>
      <c r="E9" s="81">
        <f>data!D213</f>
        <v>0</v>
      </c>
      <c r="F9" s="81">
        <f>data!E213</f>
        <v>1511534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1101977</v>
      </c>
      <c r="D11" s="81">
        <f>data!C215</f>
        <v>24342</v>
      </c>
      <c r="E11" s="81">
        <f>data!D215</f>
        <v>0</v>
      </c>
      <c r="F11" s="81">
        <f>data!E215</f>
        <v>1126319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3232397</v>
      </c>
      <c r="D12" s="81">
        <f>data!C216</f>
        <v>51785</v>
      </c>
      <c r="E12" s="81">
        <f>data!D216</f>
        <v>-125798</v>
      </c>
      <c r="F12" s="81">
        <f>data!E216</f>
        <v>3158384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46347</v>
      </c>
      <c r="E14" s="81">
        <f>data!D218</f>
        <v>125798</v>
      </c>
      <c r="F14" s="81">
        <f>data!E218</f>
        <v>172145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188782</v>
      </c>
      <c r="D15" s="81">
        <f>data!C219</f>
        <v>115904</v>
      </c>
      <c r="E15" s="81">
        <f>data!D219</f>
        <v>0</v>
      </c>
      <c r="F15" s="81">
        <f>data!E219</f>
        <v>304686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6353145</v>
      </c>
      <c r="D16" s="81">
        <f>data!C220</f>
        <v>238378</v>
      </c>
      <c r="E16" s="81">
        <f>data!D220</f>
        <v>0</v>
      </c>
      <c r="F16" s="81">
        <f>data!E220</f>
        <v>6591523</v>
      </c>
    </row>
    <row r="17" spans="1:7" ht="20.149999999999999" customHeight="1" x14ac:dyDescent="0.35">
      <c r="A17" s="82"/>
      <c r="B17" s="83"/>
      <c r="C17" s="83"/>
      <c r="D17" s="83"/>
      <c r="E17" s="83"/>
      <c r="F17" s="84"/>
      <c r="G17" s="1">
        <f t="shared" ref="G17:G19" si="0">E17+F17</f>
        <v>0</v>
      </c>
    </row>
    <row r="18" spans="1:7" ht="20.149999999999999" customHeight="1" x14ac:dyDescent="0.35">
      <c r="A18" s="85"/>
      <c r="F18" s="96"/>
      <c r="G18" s="1">
        <f t="shared" si="0"/>
        <v>0</v>
      </c>
    </row>
    <row r="19" spans="1:7" ht="20.149999999999999" customHeight="1" x14ac:dyDescent="0.35">
      <c r="A19" s="85"/>
      <c r="F19" s="96"/>
      <c r="G19" s="1">
        <f t="shared" si="0"/>
        <v>0</v>
      </c>
    </row>
    <row r="20" spans="1:7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7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7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7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7" ht="20.149999999999999" customHeight="1" x14ac:dyDescent="0.35">
      <c r="A24" s="77">
        <v>12</v>
      </c>
      <c r="B24" s="81" t="s">
        <v>367</v>
      </c>
      <c r="C24" s="81">
        <f>data!B225</f>
        <v>234472</v>
      </c>
      <c r="D24" s="81">
        <f>data!C225</f>
        <v>0</v>
      </c>
      <c r="E24" s="81">
        <f>data!D225</f>
        <v>0</v>
      </c>
      <c r="F24" s="81">
        <f>data!E225</f>
        <v>234472</v>
      </c>
    </row>
    <row r="25" spans="1:7" ht="20.149999999999999" customHeight="1" x14ac:dyDescent="0.35">
      <c r="A25" s="77">
        <v>13</v>
      </c>
      <c r="B25" s="81" t="s">
        <v>368</v>
      </c>
      <c r="C25" s="81">
        <f>data!B226</f>
        <v>1304172</v>
      </c>
      <c r="D25" s="81">
        <f>data!C226</f>
        <v>29262</v>
      </c>
      <c r="E25" s="81">
        <f>data!D226</f>
        <v>0</v>
      </c>
      <c r="F25" s="81">
        <f>data!E226</f>
        <v>1333434</v>
      </c>
    </row>
    <row r="26" spans="1:7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7" ht="20.149999999999999" customHeight="1" x14ac:dyDescent="0.35">
      <c r="A27" s="77">
        <v>15</v>
      </c>
      <c r="B27" s="81" t="s">
        <v>855</v>
      </c>
      <c r="C27" s="81">
        <f>data!B228</f>
        <v>938530</v>
      </c>
      <c r="D27" s="81">
        <f>data!C228</f>
        <v>24413</v>
      </c>
      <c r="E27" s="81">
        <f>data!D228</f>
        <v>0</v>
      </c>
      <c r="F27" s="81">
        <f>data!E228</f>
        <v>962943</v>
      </c>
    </row>
    <row r="28" spans="1:7" ht="20.149999999999999" customHeight="1" x14ac:dyDescent="0.35">
      <c r="A28" s="77">
        <v>16</v>
      </c>
      <c r="B28" s="81" t="s">
        <v>856</v>
      </c>
      <c r="C28" s="81">
        <f>data!B229</f>
        <v>2326656</v>
      </c>
      <c r="D28" s="81">
        <f>data!C229</f>
        <v>183369</v>
      </c>
      <c r="E28" s="81">
        <f>data!D229</f>
        <v>50319</v>
      </c>
      <c r="F28" s="81">
        <f>data!E229</f>
        <v>2459706</v>
      </c>
    </row>
    <row r="29" spans="1:7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7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11833</v>
      </c>
      <c r="E30" s="81">
        <f>data!D231</f>
        <v>-50319</v>
      </c>
      <c r="F30" s="81">
        <f>data!E231</f>
        <v>62152</v>
      </c>
    </row>
    <row r="31" spans="1:7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7" ht="20.149999999999999" customHeight="1" x14ac:dyDescent="0.35">
      <c r="A32" s="77">
        <v>20</v>
      </c>
      <c r="B32" s="81" t="s">
        <v>587</v>
      </c>
      <c r="C32" s="81">
        <f>data!B233</f>
        <v>4803830</v>
      </c>
      <c r="D32" s="81">
        <f>data!C233</f>
        <v>248877</v>
      </c>
      <c r="E32" s="81">
        <f>data!D233</f>
        <v>0</v>
      </c>
      <c r="F32" s="81">
        <f>data!E233</f>
        <v>5052707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4"/>
  <sheetViews>
    <sheetView topLeftCell="A13" workbookViewId="0">
      <selection activeCell="E25" sqref="E25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7" ht="20.149999999999999" customHeight="1" x14ac:dyDescent="0.35">
      <c r="A1" s="76" t="s">
        <v>860</v>
      </c>
      <c r="B1" s="76"/>
      <c r="C1" s="76"/>
      <c r="D1" s="75" t="s">
        <v>861</v>
      </c>
    </row>
    <row r="2" spans="1:7" ht="20.149999999999999" customHeight="1" x14ac:dyDescent="0.35">
      <c r="A2" s="134" t="str">
        <f>"Hospital: "&amp;data!C98</f>
        <v>Hospital: Garfield County Public Hospital District</v>
      </c>
      <c r="B2" s="83"/>
      <c r="C2" s="83"/>
      <c r="D2" s="156" t="str">
        <f>"FYE: "&amp;data!C96</f>
        <v>FYE: 12/31/2022</v>
      </c>
    </row>
    <row r="3" spans="1:7" ht="20.149999999999999" customHeight="1" x14ac:dyDescent="0.35">
      <c r="A3" s="138"/>
      <c r="B3" s="164"/>
      <c r="C3" s="164"/>
      <c r="D3" s="164"/>
    </row>
    <row r="4" spans="1:7" ht="20.149999999999999" customHeight="1" x14ac:dyDescent="0.35">
      <c r="A4" s="158"/>
      <c r="B4" s="170" t="s">
        <v>862</v>
      </c>
      <c r="C4" s="170" t="s">
        <v>863</v>
      </c>
      <c r="D4" s="171"/>
    </row>
    <row r="5" spans="1:7" ht="20.149999999999999" customHeight="1" x14ac:dyDescent="0.35">
      <c r="A5" s="138">
        <v>1</v>
      </c>
      <c r="B5" s="172"/>
      <c r="C5" s="94" t="s">
        <v>377</v>
      </c>
      <c r="D5" s="81">
        <f>data!D237</f>
        <v>250249</v>
      </c>
    </row>
    <row r="6" spans="1:7" ht="20.149999999999999" customHeight="1" x14ac:dyDescent="0.35">
      <c r="A6" s="77">
        <v>2</v>
      </c>
      <c r="B6" s="83"/>
      <c r="C6" s="156" t="s">
        <v>473</v>
      </c>
      <c r="D6" s="167"/>
    </row>
    <row r="7" spans="1:7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-4567325</v>
      </c>
    </row>
    <row r="8" spans="1:7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192268</v>
      </c>
    </row>
    <row r="9" spans="1:7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7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7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7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1421754</v>
      </c>
    </row>
    <row r="13" spans="1:7" ht="20.149999999999999" customHeight="1" x14ac:dyDescent="0.35">
      <c r="A13" s="77">
        <v>9</v>
      </c>
      <c r="B13" s="81"/>
      <c r="C13" s="81" t="s">
        <v>865</v>
      </c>
      <c r="D13" s="81">
        <f>data!D245</f>
        <v>-2953303</v>
      </c>
    </row>
    <row r="14" spans="1:7" ht="20.149999999999999" customHeight="1" x14ac:dyDescent="0.35">
      <c r="A14" s="166">
        <v>10</v>
      </c>
      <c r="B14" s="93"/>
      <c r="C14" s="93"/>
      <c r="D14" s="93"/>
    </row>
    <row r="15" spans="1:7" ht="20.149999999999999" customHeight="1" x14ac:dyDescent="0.35">
      <c r="A15" s="77">
        <v>11</v>
      </c>
      <c r="B15" s="173"/>
      <c r="C15" s="173" t="s">
        <v>386</v>
      </c>
      <c r="D15" s="167"/>
    </row>
    <row r="16" spans="1:7" ht="20.149999999999999" customHeight="1" x14ac:dyDescent="0.35">
      <c r="A16" s="166">
        <v>12</v>
      </c>
      <c r="B16" s="93"/>
      <c r="C16" s="78" t="s">
        <v>866</v>
      </c>
      <c r="D16" s="77">
        <f>data!C247</f>
        <v>52</v>
      </c>
      <c r="G16" s="1">
        <f>E16+F16</f>
        <v>0</v>
      </c>
    </row>
    <row r="17" spans="1:7" ht="20.149999999999999" customHeight="1" x14ac:dyDescent="0.35">
      <c r="A17" s="77">
        <v>13</v>
      </c>
      <c r="B17" s="173"/>
      <c r="C17" s="83"/>
      <c r="D17" s="84"/>
      <c r="G17" s="1">
        <f t="shared" ref="G17:G19" si="0">E17+F17</f>
        <v>0</v>
      </c>
    </row>
    <row r="18" spans="1:7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17738</v>
      </c>
      <c r="G18" s="1">
        <f t="shared" si="0"/>
        <v>0</v>
      </c>
    </row>
    <row r="19" spans="1:7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45085</v>
      </c>
      <c r="G19" s="1">
        <f t="shared" si="0"/>
        <v>0</v>
      </c>
    </row>
    <row r="20" spans="1:7" ht="20.149999999999999" customHeight="1" x14ac:dyDescent="0.35">
      <c r="A20" s="77">
        <v>16</v>
      </c>
      <c r="B20" s="81"/>
      <c r="C20" s="81"/>
      <c r="D20" s="93"/>
    </row>
    <row r="21" spans="1:7" ht="20.149999999999999" customHeight="1" x14ac:dyDescent="0.35">
      <c r="A21" s="77">
        <v>17</v>
      </c>
      <c r="B21" s="93"/>
      <c r="C21" s="93"/>
      <c r="D21" s="93"/>
    </row>
    <row r="22" spans="1:7" ht="20.149999999999999" customHeight="1" x14ac:dyDescent="0.35">
      <c r="A22" s="166">
        <v>18</v>
      </c>
      <c r="B22" s="93"/>
      <c r="C22" s="93" t="s">
        <v>868</v>
      </c>
      <c r="D22" s="81">
        <f>data!D252</f>
        <v>62823</v>
      </c>
    </row>
    <row r="23" spans="1:7" ht="20.149999999999999" customHeight="1" x14ac:dyDescent="0.35">
      <c r="A23" s="175">
        <v>19</v>
      </c>
      <c r="B23" s="173"/>
      <c r="C23" s="173"/>
      <c r="D23" s="167"/>
    </row>
    <row r="24" spans="1:7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7" ht="20.149999999999999" customHeight="1" x14ac:dyDescent="0.35">
      <c r="A25" s="175">
        <v>21</v>
      </c>
      <c r="B25" s="83"/>
      <c r="C25" s="83"/>
      <c r="D25" s="167"/>
    </row>
    <row r="26" spans="1:7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7" ht="20.149999999999999" customHeight="1" x14ac:dyDescent="0.35">
      <c r="A27" s="158">
        <v>23</v>
      </c>
      <c r="B27" s="177" t="s">
        <v>870</v>
      </c>
      <c r="C27" s="93"/>
      <c r="D27" s="81">
        <f>data!D258</f>
        <v>-2640231</v>
      </c>
    </row>
    <row r="28" spans="1:7" ht="20.149999999999999" customHeight="1" x14ac:dyDescent="0.35">
      <c r="A28" s="86">
        <v>24</v>
      </c>
      <c r="B28" s="152" t="s">
        <v>871</v>
      </c>
      <c r="C28" s="95"/>
      <c r="D28" s="171"/>
    </row>
    <row r="29" spans="1:7" ht="20.149999999999999" customHeight="1" x14ac:dyDescent="0.35">
      <c r="A29" s="178"/>
      <c r="B29" s="179"/>
      <c r="C29" s="179"/>
      <c r="D29" s="93"/>
    </row>
    <row r="30" spans="1:7" ht="20.149999999999999" customHeight="1" x14ac:dyDescent="0.35">
      <c r="A30" s="180"/>
      <c r="B30" s="78"/>
      <c r="C30" s="78"/>
      <c r="D30" s="93"/>
    </row>
    <row r="31" spans="1:7" ht="20.149999999999999" customHeight="1" x14ac:dyDescent="0.35">
      <c r="A31" s="180"/>
      <c r="B31" s="78"/>
      <c r="C31" s="78"/>
      <c r="D31" s="93"/>
    </row>
    <row r="32" spans="1:7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179"/>
  <sheetViews>
    <sheetView view="pageBreakPreview" topLeftCell="A145" zoomScale="60" zoomScaleNormal="100" workbookViewId="0">
      <selection activeCell="D9" sqref="D9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7" ht="20.149999999999999" customHeight="1" x14ac:dyDescent="0.35">
      <c r="A1" s="182" t="s">
        <v>872</v>
      </c>
      <c r="B1" s="183"/>
      <c r="C1" s="183"/>
    </row>
    <row r="2" spans="1:7" ht="20.149999999999999" customHeight="1" x14ac:dyDescent="0.35">
      <c r="A2" s="182"/>
      <c r="B2" s="183"/>
      <c r="C2" s="108" t="s">
        <v>873</v>
      </c>
    </row>
    <row r="3" spans="1:7" ht="20.149999999999999" customHeight="1" x14ac:dyDescent="0.35">
      <c r="A3" s="134" t="str">
        <f>"Hospital: "&amp;data!C98</f>
        <v>Hospital: Garfield County Public Hospital District</v>
      </c>
      <c r="B3" s="184"/>
      <c r="C3" s="156" t="str">
        <f>"FYE: "&amp;data!C96</f>
        <v>FYE: 12/31/2022</v>
      </c>
    </row>
    <row r="4" spans="1:7" ht="20.149999999999999" customHeight="1" x14ac:dyDescent="0.35">
      <c r="A4" s="185"/>
      <c r="B4" s="186" t="s">
        <v>874</v>
      </c>
      <c r="C4" s="187"/>
    </row>
    <row r="5" spans="1:7" ht="20.149999999999999" customHeight="1" x14ac:dyDescent="0.35">
      <c r="A5" s="188">
        <v>1</v>
      </c>
      <c r="B5" s="189" t="s">
        <v>396</v>
      </c>
      <c r="C5" s="189"/>
    </row>
    <row r="6" spans="1:7" ht="20.149999999999999" customHeight="1" x14ac:dyDescent="0.35">
      <c r="A6" s="188">
        <v>2</v>
      </c>
      <c r="B6" s="190" t="s">
        <v>397</v>
      </c>
      <c r="C6" s="190">
        <f>data!C266</f>
        <v>5435730</v>
      </c>
    </row>
    <row r="7" spans="1:7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7" ht="20.149999999999999" customHeight="1" x14ac:dyDescent="0.35">
      <c r="A8" s="188">
        <v>4</v>
      </c>
      <c r="B8" s="190" t="s">
        <v>399</v>
      </c>
      <c r="C8" s="190">
        <f>data!C268</f>
        <v>1443846</v>
      </c>
    </row>
    <row r="9" spans="1:7" ht="20.149999999999999" customHeight="1" x14ac:dyDescent="0.35">
      <c r="A9" s="188">
        <v>5</v>
      </c>
      <c r="B9" s="190" t="s">
        <v>875</v>
      </c>
      <c r="C9" s="190">
        <f>data!C269</f>
        <v>-1724841</v>
      </c>
    </row>
    <row r="10" spans="1:7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7" ht="20.149999999999999" customHeight="1" x14ac:dyDescent="0.35">
      <c r="A11" s="188">
        <v>7</v>
      </c>
      <c r="B11" s="190" t="s">
        <v>877</v>
      </c>
      <c r="C11" s="190">
        <f>data!C271</f>
        <v>32049</v>
      </c>
    </row>
    <row r="12" spans="1:7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7" ht="20.149999999999999" customHeight="1" x14ac:dyDescent="0.35">
      <c r="A13" s="188">
        <v>9</v>
      </c>
      <c r="B13" s="190" t="s">
        <v>404</v>
      </c>
      <c r="C13" s="190">
        <f>data!C273</f>
        <v>110027</v>
      </c>
    </row>
    <row r="14" spans="1:7" ht="20.149999999999999" customHeight="1" x14ac:dyDescent="0.35">
      <c r="A14" s="188">
        <v>10</v>
      </c>
      <c r="B14" s="190" t="s">
        <v>405</v>
      </c>
      <c r="C14" s="190">
        <f>data!C274</f>
        <v>27702</v>
      </c>
    </row>
    <row r="15" spans="1:7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7" ht="20.149999999999999" customHeight="1" x14ac:dyDescent="0.35">
      <c r="A16" s="188">
        <v>12</v>
      </c>
      <c r="B16" s="190" t="s">
        <v>879</v>
      </c>
      <c r="C16" s="190">
        <f>data!D276</f>
        <v>8774195</v>
      </c>
      <c r="G16" s="12">
        <f>E16+F16</f>
        <v>0</v>
      </c>
    </row>
    <row r="17" spans="1:7" ht="20.149999999999999" customHeight="1" x14ac:dyDescent="0.35">
      <c r="A17" s="188">
        <v>13</v>
      </c>
      <c r="B17" s="190"/>
      <c r="C17" s="190"/>
      <c r="G17" s="12">
        <f t="shared" ref="G17:G19" si="0">E17+F17</f>
        <v>0</v>
      </c>
    </row>
    <row r="18" spans="1:7" ht="20.149999999999999" customHeight="1" x14ac:dyDescent="0.35">
      <c r="A18" s="188">
        <v>14</v>
      </c>
      <c r="B18" s="191" t="s">
        <v>880</v>
      </c>
      <c r="C18" s="189"/>
      <c r="G18" s="12">
        <f t="shared" si="0"/>
        <v>0</v>
      </c>
    </row>
    <row r="19" spans="1:7" ht="20.149999999999999" customHeight="1" x14ac:dyDescent="0.35">
      <c r="A19" s="188">
        <v>15</v>
      </c>
      <c r="B19" s="190" t="s">
        <v>397</v>
      </c>
      <c r="C19" s="190">
        <f>data!C278</f>
        <v>62472</v>
      </c>
      <c r="G19" s="12">
        <f t="shared" si="0"/>
        <v>0</v>
      </c>
    </row>
    <row r="20" spans="1:7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7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7" ht="20.149999999999999" customHeight="1" x14ac:dyDescent="0.35">
      <c r="A22" s="188">
        <v>18</v>
      </c>
      <c r="B22" s="190" t="s">
        <v>881</v>
      </c>
      <c r="C22" s="190">
        <f>data!D281</f>
        <v>62472</v>
      </c>
    </row>
    <row r="23" spans="1:7" ht="20.149999999999999" customHeight="1" x14ac:dyDescent="0.35">
      <c r="A23" s="188">
        <v>19</v>
      </c>
      <c r="B23" s="192"/>
      <c r="C23" s="190"/>
    </row>
    <row r="24" spans="1:7" ht="20.149999999999999" customHeight="1" x14ac:dyDescent="0.35">
      <c r="A24" s="188">
        <v>20</v>
      </c>
      <c r="B24" s="191" t="s">
        <v>882</v>
      </c>
      <c r="C24" s="189"/>
    </row>
    <row r="25" spans="1:7" ht="20.149999999999999" customHeight="1" x14ac:dyDescent="0.35">
      <c r="A25" s="188">
        <v>21</v>
      </c>
      <c r="B25" s="190" t="s">
        <v>366</v>
      </c>
      <c r="C25" s="190">
        <f>data!C283</f>
        <v>83983</v>
      </c>
    </row>
    <row r="26" spans="1:7" ht="20.149999999999999" customHeight="1" x14ac:dyDescent="0.35">
      <c r="A26" s="188">
        <v>22</v>
      </c>
      <c r="B26" s="190" t="s">
        <v>367</v>
      </c>
      <c r="C26" s="190">
        <f>data!C284</f>
        <v>234472</v>
      </c>
    </row>
    <row r="27" spans="1:7" ht="20.149999999999999" customHeight="1" x14ac:dyDescent="0.35">
      <c r="A27" s="188">
        <v>23</v>
      </c>
      <c r="B27" s="190" t="s">
        <v>368</v>
      </c>
      <c r="C27" s="190">
        <f>data!C285</f>
        <v>1511534</v>
      </c>
    </row>
    <row r="28" spans="1:7" ht="20.149999999999999" customHeight="1" x14ac:dyDescent="0.35">
      <c r="A28" s="188">
        <v>24</v>
      </c>
      <c r="B28" s="190" t="s">
        <v>883</v>
      </c>
      <c r="C28" s="190">
        <f>data!C287</f>
        <v>1126319</v>
      </c>
    </row>
    <row r="29" spans="1:7" ht="20.149999999999999" customHeight="1" x14ac:dyDescent="0.35">
      <c r="A29" s="188">
        <v>25</v>
      </c>
      <c r="B29" s="190" t="s">
        <v>370</v>
      </c>
      <c r="C29" s="190">
        <v>0</v>
      </c>
    </row>
    <row r="30" spans="1:7" ht="20.149999999999999" customHeight="1" x14ac:dyDescent="0.35">
      <c r="A30" s="188">
        <v>26</v>
      </c>
      <c r="B30" s="190" t="s">
        <v>414</v>
      </c>
      <c r="C30" s="190">
        <f>data!C288</f>
        <v>3158384</v>
      </c>
    </row>
    <row r="31" spans="1:7" ht="20.149999999999999" customHeight="1" x14ac:dyDescent="0.35">
      <c r="A31" s="188">
        <v>27</v>
      </c>
      <c r="B31" s="190" t="s">
        <v>373</v>
      </c>
      <c r="C31" s="190">
        <f>data!C289</f>
        <v>172145</v>
      </c>
    </row>
    <row r="32" spans="1:7" ht="20.149999999999999" customHeight="1" x14ac:dyDescent="0.35">
      <c r="A32" s="188">
        <v>28</v>
      </c>
      <c r="B32" s="190" t="s">
        <v>374</v>
      </c>
      <c r="C32" s="190">
        <f>data!C290</f>
        <v>304686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5052707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1538816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10375483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Garfield County Public Hospital District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490870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260674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821000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44455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1616999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99289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1871415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1970704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44455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1926249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6832235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6832235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10375483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Garfield County Public Hospital District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2430324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6177094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8607418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250249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-2953303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62823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-2640231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11247649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233245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99876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333121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11580770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5643097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3145477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2852618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829457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181692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769980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248877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31202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137356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43551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4918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81817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351256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14321298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-2740528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307677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-2432851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-2432851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2" manualBreakCount="2">
    <brk id="52" max="3" man="1"/>
    <brk id="105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358" zoomScale="65" workbookViewId="0">
      <selection activeCell="G360" sqref="G360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971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Garfield County Public Hospital District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129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0.5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35533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19806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39044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3286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99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872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2355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977</v>
      </c>
      <c r="C18" s="286">
        <f>data!C68</f>
        <v>0</v>
      </c>
      <c r="D18" s="286">
        <f>data!D68</f>
        <v>0</v>
      </c>
      <c r="E18" s="286">
        <f>data!E68</f>
        <v>324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978</v>
      </c>
      <c r="C19" s="286">
        <f>data!C69</f>
        <v>0</v>
      </c>
      <c r="D19" s="286">
        <f>data!D69</f>
        <v>0</v>
      </c>
      <c r="E19" s="286">
        <f>data!E69</f>
        <v>937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-data!E83</f>
        <v>-937</v>
      </c>
      <c r="F20" s="286">
        <f>-data!F84</f>
        <v>0</v>
      </c>
      <c r="G20" s="286">
        <f>data!G70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979</v>
      </c>
      <c r="C21" s="286">
        <f>data!C85</f>
        <v>0</v>
      </c>
      <c r="D21" s="286">
        <f>data!D85</f>
        <v>0</v>
      </c>
      <c r="E21" s="286">
        <f>data!E85</f>
        <v>102256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980</v>
      </c>
      <c r="C23" s="294">
        <f>+data!M668</f>
        <v>0</v>
      </c>
      <c r="D23" s="294">
        <f>+data!M669</f>
        <v>0</v>
      </c>
      <c r="E23" s="294">
        <f>+data!M670</f>
        <v>90621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981</v>
      </c>
      <c r="C24" s="286">
        <f>data!C87</f>
        <v>0</v>
      </c>
      <c r="D24" s="286">
        <f>data!D87</f>
        <v>0</v>
      </c>
      <c r="E24" s="286">
        <f>data!E87</f>
        <v>279104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982</v>
      </c>
      <c r="C25" s="286">
        <f>data!C88</f>
        <v>0</v>
      </c>
      <c r="D25" s="286">
        <f>data!D88</f>
        <v>0</v>
      </c>
      <c r="E25" s="286">
        <f>data!E88</f>
        <v>13387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983</v>
      </c>
      <c r="C26" s="286">
        <f>data!C89</f>
        <v>0</v>
      </c>
      <c r="D26" s="286">
        <f>data!D89</f>
        <v>0</v>
      </c>
      <c r="E26" s="286">
        <f>data!E89</f>
        <v>292491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985</v>
      </c>
      <c r="C28" s="286">
        <f>data!C90</f>
        <v>0</v>
      </c>
      <c r="D28" s="286">
        <f>data!D90</f>
        <v>0</v>
      </c>
      <c r="E28" s="286">
        <f>data!E90</f>
        <v>198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986</v>
      </c>
      <c r="C29" s="286">
        <f>data!C91</f>
        <v>0</v>
      </c>
      <c r="D29" s="286">
        <f>data!D91</f>
        <v>0</v>
      </c>
      <c r="E29" s="286">
        <f>data!E91</f>
        <v>341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987</v>
      </c>
      <c r="C30" s="286">
        <f>data!C92</f>
        <v>0</v>
      </c>
      <c r="D30" s="286">
        <f>data!D92</f>
        <v>0</v>
      </c>
      <c r="E30" s="286">
        <f>data!E92</f>
        <v>198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988</v>
      </c>
      <c r="C31" s="286">
        <f>data!C93</f>
        <v>0</v>
      </c>
      <c r="D31" s="286">
        <f>data!D93</f>
        <v>0</v>
      </c>
      <c r="E31" s="286">
        <f>data!E93</f>
        <v>129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0.46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989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Garfield County Public Hospital District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6330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24.61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0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1743587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0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971880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0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1915869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161256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0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4842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42773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0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115607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0</v>
      </c>
    </row>
    <row r="50" spans="1:11" ht="20.149999999999999" customHeight="1" x14ac:dyDescent="0.35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15891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49999999999999" customHeight="1" x14ac:dyDescent="0.35">
      <c r="A51" s="278">
        <v>14</v>
      </c>
      <c r="B51" s="286" t="s">
        <v>978</v>
      </c>
      <c r="C51" s="286">
        <f>data!J69</f>
        <v>0</v>
      </c>
      <c r="D51" s="286">
        <f>data!K69</f>
        <v>0</v>
      </c>
      <c r="E51" s="286">
        <f>data!L69</f>
        <v>45978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0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-data!L83</f>
        <v>-45978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979</v>
      </c>
      <c r="C53" s="286">
        <f>data!J85</f>
        <v>0</v>
      </c>
      <c r="D53" s="286">
        <f>data!K85</f>
        <v>0</v>
      </c>
      <c r="E53" s="286">
        <f>data!L85</f>
        <v>5017683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0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980</v>
      </c>
      <c r="C55" s="294">
        <f>+data!M675</f>
        <v>0</v>
      </c>
      <c r="D55" s="294">
        <f>+data!M676</f>
        <v>0</v>
      </c>
      <c r="E55" s="294">
        <f>+data!M677</f>
        <v>2345826</v>
      </c>
      <c r="F55" s="294">
        <f>+data!M678</f>
        <v>0</v>
      </c>
      <c r="G55" s="294">
        <f>+data!M679</f>
        <v>0</v>
      </c>
      <c r="H55" s="294">
        <f>+data!M680</f>
        <v>0</v>
      </c>
      <c r="I55" s="294">
        <f>+data!M681</f>
        <v>0</v>
      </c>
    </row>
    <row r="56" spans="1:11" ht="20.149999999999999" customHeight="1" x14ac:dyDescent="0.35">
      <c r="A56" s="278">
        <v>19</v>
      </c>
      <c r="B56" s="294" t="s">
        <v>981</v>
      </c>
      <c r="C56" s="286">
        <f>data!J87</f>
        <v>0</v>
      </c>
      <c r="D56" s="286">
        <f>data!K87</f>
        <v>0</v>
      </c>
      <c r="E56" s="286">
        <f>data!L87</f>
        <v>1558674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0</v>
      </c>
    </row>
    <row r="57" spans="1:11" ht="20.149999999999999" customHeight="1" x14ac:dyDescent="0.35">
      <c r="A57" s="278">
        <v>20</v>
      </c>
      <c r="B57" s="294" t="s">
        <v>982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0</v>
      </c>
    </row>
    <row r="58" spans="1:11" ht="20.149999999999999" customHeight="1" x14ac:dyDescent="0.35">
      <c r="A58" s="278">
        <v>21</v>
      </c>
      <c r="B58" s="294" t="s">
        <v>983</v>
      </c>
      <c r="C58" s="286">
        <f>data!J89</f>
        <v>0</v>
      </c>
      <c r="D58" s="286">
        <f>data!K89</f>
        <v>0</v>
      </c>
      <c r="E58" s="286">
        <f>data!L89</f>
        <v>1558674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0</v>
      </c>
    </row>
    <row r="59" spans="1:11" ht="20.149999999999999" customHeight="1" x14ac:dyDescent="0.35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985</v>
      </c>
      <c r="C60" s="286">
        <f>data!J90</f>
        <v>0</v>
      </c>
      <c r="D60" s="286">
        <f>data!K90</f>
        <v>0</v>
      </c>
      <c r="E60" s="286">
        <f>data!L90</f>
        <v>9719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0</v>
      </c>
      <c r="K60" s="297"/>
    </row>
    <row r="61" spans="1:11" ht="20.149999999999999" customHeight="1" x14ac:dyDescent="0.35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16738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987</v>
      </c>
      <c r="C62" s="286">
        <f>data!J92</f>
        <v>0</v>
      </c>
      <c r="D62" s="286">
        <f>data!K92</f>
        <v>0</v>
      </c>
      <c r="E62" s="286">
        <f>data!L92</f>
        <v>9719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49999999999999" customHeight="1" x14ac:dyDescent="0.35">
      <c r="A63" s="278">
        <v>25</v>
      </c>
      <c r="B63" s="286" t="s">
        <v>988</v>
      </c>
      <c r="C63" s="286">
        <f>data!J93</f>
        <v>0</v>
      </c>
      <c r="D63" s="286">
        <f>data!K93</f>
        <v>0</v>
      </c>
      <c r="E63" s="286">
        <f>data!L93</f>
        <v>6330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22.58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0</v>
      </c>
    </row>
    <row r="65" spans="1:9" ht="20.149999999999999" customHeight="1" x14ac:dyDescent="0.35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992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Garfield County Public Hospital District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4856</v>
      </c>
      <c r="H73" s="286">
        <f>data!V59</f>
        <v>258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1.02</v>
      </c>
      <c r="F74" s="293">
        <f>data!T60</f>
        <v>0</v>
      </c>
      <c r="G74" s="293">
        <f>data!U60</f>
        <v>6.13</v>
      </c>
      <c r="H74" s="293">
        <f>data!V60</f>
        <v>0.04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47380</v>
      </c>
      <c r="F75" s="286">
        <f>data!T61</f>
        <v>0</v>
      </c>
      <c r="G75" s="286">
        <f>data!U61</f>
        <v>318804</v>
      </c>
      <c r="H75" s="286">
        <f>data!V61</f>
        <v>2737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26410</v>
      </c>
      <c r="F76" s="286">
        <f>data!T62</f>
        <v>0</v>
      </c>
      <c r="G76" s="286">
        <f>data!U62</f>
        <v>177702</v>
      </c>
      <c r="H76" s="286">
        <f>data!V62</f>
        <v>1526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63</v>
      </c>
      <c r="F77" s="286">
        <f>data!T63</f>
        <v>0</v>
      </c>
      <c r="G77" s="286">
        <f>data!U63</f>
        <v>20370</v>
      </c>
      <c r="H77" s="286">
        <f>data!V63</f>
        <v>24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0</v>
      </c>
      <c r="E78" s="286">
        <f>data!S64</f>
        <v>8757</v>
      </c>
      <c r="F78" s="286">
        <f>data!T64</f>
        <v>0</v>
      </c>
      <c r="G78" s="286">
        <f>data!U64</f>
        <v>195092</v>
      </c>
      <c r="H78" s="286">
        <f>data!V64</f>
        <v>283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0</v>
      </c>
      <c r="E80" s="286">
        <f>data!S66</f>
        <v>0</v>
      </c>
      <c r="F80" s="286">
        <f>data!T66</f>
        <v>0</v>
      </c>
      <c r="G80" s="286">
        <f>data!U66</f>
        <v>520780</v>
      </c>
      <c r="H80" s="286">
        <f>data!V66</f>
        <v>4213</v>
      </c>
      <c r="I80" s="286">
        <f>data!W66</f>
        <v>0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3414</v>
      </c>
      <c r="F81" s="286">
        <f>data!T67</f>
        <v>0</v>
      </c>
      <c r="G81" s="286">
        <f>data!U67</f>
        <v>7006</v>
      </c>
      <c r="H81" s="286">
        <f>data!V67</f>
        <v>178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977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978</v>
      </c>
      <c r="C83" s="286">
        <f>data!Q69</f>
        <v>0</v>
      </c>
      <c r="D83" s="286">
        <f>data!R69</f>
        <v>0</v>
      </c>
      <c r="E83" s="286">
        <f>data!S69</f>
        <v>38</v>
      </c>
      <c r="F83" s="286">
        <f>data!T69</f>
        <v>0</v>
      </c>
      <c r="G83" s="286">
        <f>data!U69</f>
        <v>6062</v>
      </c>
      <c r="H83" s="286">
        <f>data!V69</f>
        <v>30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data!V83</f>
        <v>30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979</v>
      </c>
      <c r="C85" s="286">
        <f>data!Q85</f>
        <v>0</v>
      </c>
      <c r="D85" s="286">
        <f>data!R85</f>
        <v>0</v>
      </c>
      <c r="E85" s="286">
        <f>data!S85</f>
        <v>86062</v>
      </c>
      <c r="F85" s="286">
        <f>data!T85</f>
        <v>0</v>
      </c>
      <c r="G85" s="286">
        <f>data!U85</f>
        <v>1245816</v>
      </c>
      <c r="H85" s="286">
        <f>data!V85</f>
        <v>8991</v>
      </c>
      <c r="I85" s="286">
        <f>data!W85</f>
        <v>0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980</v>
      </c>
      <c r="C87" s="294">
        <f>+data!M682</f>
        <v>0</v>
      </c>
      <c r="D87" s="294">
        <f>+data!M683</f>
        <v>0</v>
      </c>
      <c r="E87" s="294">
        <f>+data!M684</f>
        <v>27708</v>
      </c>
      <c r="F87" s="294">
        <f>+data!M685</f>
        <v>0</v>
      </c>
      <c r="G87" s="294">
        <f>+data!M686</f>
        <v>514054</v>
      </c>
      <c r="H87" s="294">
        <f>+data!M687</f>
        <v>17463</v>
      </c>
      <c r="I87" s="294">
        <f>+data!M688</f>
        <v>0</v>
      </c>
    </row>
    <row r="88" spans="1:9" ht="20.149999999999999" customHeight="1" x14ac:dyDescent="0.35">
      <c r="A88" s="278">
        <v>19</v>
      </c>
      <c r="B88" s="294" t="s">
        <v>981</v>
      </c>
      <c r="C88" s="286">
        <f>data!Q87</f>
        <v>0</v>
      </c>
      <c r="D88" s="286">
        <f>data!R87</f>
        <v>0</v>
      </c>
      <c r="E88" s="286">
        <f>data!S87</f>
        <v>4186</v>
      </c>
      <c r="F88" s="286">
        <f>data!T87</f>
        <v>0</v>
      </c>
      <c r="G88" s="286">
        <f>data!U87</f>
        <v>180559</v>
      </c>
      <c r="H88" s="286">
        <f>data!V87</f>
        <v>5570</v>
      </c>
      <c r="I88" s="286">
        <f>data!W87</f>
        <v>0</v>
      </c>
    </row>
    <row r="89" spans="1:9" ht="20.149999999999999" customHeight="1" x14ac:dyDescent="0.35">
      <c r="A89" s="278">
        <v>20</v>
      </c>
      <c r="B89" s="294" t="s">
        <v>982</v>
      </c>
      <c r="C89" s="286">
        <f>data!Q88</f>
        <v>0</v>
      </c>
      <c r="D89" s="286">
        <f>data!R88</f>
        <v>0</v>
      </c>
      <c r="E89" s="286">
        <f>data!S88</f>
        <v>12145</v>
      </c>
      <c r="F89" s="286">
        <f>data!T88</f>
        <v>0</v>
      </c>
      <c r="G89" s="286">
        <f>data!U88</f>
        <v>2058319</v>
      </c>
      <c r="H89" s="286">
        <f>data!V88</f>
        <v>90893</v>
      </c>
      <c r="I89" s="286">
        <f>data!W88</f>
        <v>0</v>
      </c>
    </row>
    <row r="90" spans="1:9" ht="20.149999999999999" customHeight="1" x14ac:dyDescent="0.35">
      <c r="A90" s="278">
        <v>21</v>
      </c>
      <c r="B90" s="294" t="s">
        <v>983</v>
      </c>
      <c r="C90" s="286">
        <f>data!Q89</f>
        <v>0</v>
      </c>
      <c r="D90" s="286">
        <f>data!R89</f>
        <v>0</v>
      </c>
      <c r="E90" s="286">
        <f>data!S89</f>
        <v>16331</v>
      </c>
      <c r="F90" s="286">
        <f>data!T89</f>
        <v>0</v>
      </c>
      <c r="G90" s="286">
        <f>data!U89</f>
        <v>2238878</v>
      </c>
      <c r="H90" s="286">
        <f>data!V89</f>
        <v>96463</v>
      </c>
      <c r="I90" s="286">
        <f>data!W89</f>
        <v>0</v>
      </c>
    </row>
    <row r="91" spans="1:9" ht="20.149999999999999" customHeight="1" x14ac:dyDescent="0.35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985</v>
      </c>
      <c r="C92" s="286">
        <f>data!Q90</f>
        <v>0</v>
      </c>
      <c r="D92" s="286">
        <f>data!R90</f>
        <v>0</v>
      </c>
      <c r="E92" s="286">
        <f>data!S90</f>
        <v>287</v>
      </c>
      <c r="F92" s="286">
        <f>data!T90</f>
        <v>0</v>
      </c>
      <c r="G92" s="286">
        <f>data!U90</f>
        <v>589</v>
      </c>
      <c r="H92" s="286">
        <f>data!V90</f>
        <v>15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987</v>
      </c>
      <c r="C94" s="286">
        <f>data!Q92</f>
        <v>0</v>
      </c>
      <c r="D94" s="286">
        <f>data!R92</f>
        <v>0</v>
      </c>
      <c r="E94" s="286">
        <f>data!S92</f>
        <v>287</v>
      </c>
      <c r="F94" s="286">
        <f>data!T92</f>
        <v>0</v>
      </c>
      <c r="G94" s="286">
        <f>data!U92</f>
        <v>589</v>
      </c>
      <c r="H94" s="286">
        <f>data!V92</f>
        <v>15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988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997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Garfield County Public Hospital District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0</v>
      </c>
      <c r="D105" s="286">
        <f>data!Y59</f>
        <v>1276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</v>
      </c>
      <c r="D106" s="293">
        <f>data!Y60</f>
        <v>5.3</v>
      </c>
      <c r="E106" s="293">
        <f>data!Z60</f>
        <v>0</v>
      </c>
      <c r="F106" s="293">
        <f>data!AA60</f>
        <v>0</v>
      </c>
      <c r="G106" s="293">
        <f>data!AB60</f>
        <v>0</v>
      </c>
      <c r="H106" s="293">
        <f>data!AC60</f>
        <v>0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0</v>
      </c>
      <c r="D107" s="286">
        <f>data!Y61</f>
        <v>377425</v>
      </c>
      <c r="E107" s="286">
        <f>data!Z61</f>
        <v>0</v>
      </c>
      <c r="F107" s="286">
        <f>data!AA61</f>
        <v>0</v>
      </c>
      <c r="G107" s="286">
        <f>data!AB61</f>
        <v>0</v>
      </c>
      <c r="H107" s="286">
        <f>data!AC61</f>
        <v>0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0</v>
      </c>
      <c r="D108" s="286">
        <f>data!Y62</f>
        <v>210378</v>
      </c>
      <c r="E108" s="286">
        <f>data!Z62</f>
        <v>0</v>
      </c>
      <c r="F108" s="286">
        <f>data!AA62</f>
        <v>0</v>
      </c>
      <c r="G108" s="286">
        <f>data!AB62</f>
        <v>0</v>
      </c>
      <c r="H108" s="286">
        <f>data!AC62</f>
        <v>0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228</v>
      </c>
      <c r="E109" s="286">
        <f>data!Z63</f>
        <v>0</v>
      </c>
      <c r="F109" s="286">
        <f>data!AA63</f>
        <v>0</v>
      </c>
      <c r="G109" s="286">
        <f>data!AB63</f>
        <v>194460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0</v>
      </c>
      <c r="D110" s="286">
        <f>data!Y64</f>
        <v>2721</v>
      </c>
      <c r="E110" s="286">
        <f>data!Z64</f>
        <v>0</v>
      </c>
      <c r="F110" s="286">
        <f>data!AA64</f>
        <v>0</v>
      </c>
      <c r="G110" s="286">
        <f>data!AB64</f>
        <v>112291</v>
      </c>
      <c r="H110" s="286">
        <f>data!AC64</f>
        <v>0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1432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0</v>
      </c>
      <c r="D112" s="286">
        <f>data!Y66</f>
        <v>40497</v>
      </c>
      <c r="E112" s="286">
        <f>data!Z66</f>
        <v>0</v>
      </c>
      <c r="F112" s="286">
        <f>data!AA66</f>
        <v>0</v>
      </c>
      <c r="G112" s="286">
        <f>data!AB66</f>
        <v>8903</v>
      </c>
      <c r="H112" s="286">
        <f>data!AC66</f>
        <v>0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0</v>
      </c>
      <c r="D113" s="286">
        <f>data!Y67</f>
        <v>1701</v>
      </c>
      <c r="E113" s="286">
        <f>data!Z67</f>
        <v>0</v>
      </c>
      <c r="F113" s="286">
        <f>data!AA67</f>
        <v>0</v>
      </c>
      <c r="G113" s="286">
        <f>data!AB67</f>
        <v>678</v>
      </c>
      <c r="H113" s="286">
        <f>data!AC67</f>
        <v>0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977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978</v>
      </c>
      <c r="C115" s="286">
        <f>data!X69</f>
        <v>0</v>
      </c>
      <c r="D115" s="286">
        <f>data!Y69</f>
        <v>286</v>
      </c>
      <c r="E115" s="286">
        <f>data!Z69</f>
        <v>0</v>
      </c>
      <c r="F115" s="286">
        <f>data!AA69</f>
        <v>0</v>
      </c>
      <c r="G115" s="286">
        <f>data!AB69</f>
        <v>0</v>
      </c>
      <c r="H115" s="286">
        <f>data!AC69</f>
        <v>0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979</v>
      </c>
      <c r="C117" s="286">
        <f>data!X85</f>
        <v>0</v>
      </c>
      <c r="D117" s="286">
        <f>data!Y85</f>
        <v>633236</v>
      </c>
      <c r="E117" s="286">
        <f>data!Z85</f>
        <v>0</v>
      </c>
      <c r="F117" s="286">
        <f>data!AA85</f>
        <v>0</v>
      </c>
      <c r="G117" s="286">
        <f>data!AB85</f>
        <v>317764</v>
      </c>
      <c r="H117" s="286">
        <f>data!AC85</f>
        <v>0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980</v>
      </c>
      <c r="C119" s="294">
        <f>+data!M689</f>
        <v>0</v>
      </c>
      <c r="D119" s="294">
        <f>+data!M690</f>
        <v>224795</v>
      </c>
      <c r="E119" s="294">
        <f>+data!M691</f>
        <v>0</v>
      </c>
      <c r="F119" s="294">
        <f>+data!M692</f>
        <v>0</v>
      </c>
      <c r="G119" s="294">
        <f>+data!M693</f>
        <v>140090</v>
      </c>
      <c r="H119" s="294">
        <f>+data!M694</f>
        <v>0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981</v>
      </c>
      <c r="C120" s="286">
        <f>data!X87</f>
        <v>0</v>
      </c>
      <c r="D120" s="286">
        <f>data!Y87</f>
        <v>65787</v>
      </c>
      <c r="E120" s="286">
        <f>data!Z87</f>
        <v>0</v>
      </c>
      <c r="F120" s="286">
        <f>data!AA87</f>
        <v>0</v>
      </c>
      <c r="G120" s="286">
        <f>data!AB87</f>
        <v>262582</v>
      </c>
      <c r="H120" s="286">
        <f>data!AC87</f>
        <v>0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982</v>
      </c>
      <c r="C121" s="286">
        <f>data!X88</f>
        <v>0</v>
      </c>
      <c r="D121" s="286">
        <f>data!Y88</f>
        <v>861515</v>
      </c>
      <c r="E121" s="286">
        <f>data!Z88</f>
        <v>0</v>
      </c>
      <c r="F121" s="286">
        <f>data!AA88</f>
        <v>0</v>
      </c>
      <c r="G121" s="286">
        <f>data!AB88</f>
        <v>421597</v>
      </c>
      <c r="H121" s="286">
        <f>data!AC88</f>
        <v>0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983</v>
      </c>
      <c r="C122" s="286">
        <f>data!X89</f>
        <v>0</v>
      </c>
      <c r="D122" s="286">
        <f>data!Y89</f>
        <v>927302</v>
      </c>
      <c r="E122" s="286">
        <f>data!Z89</f>
        <v>0</v>
      </c>
      <c r="F122" s="286">
        <f>data!AA89</f>
        <v>0</v>
      </c>
      <c r="G122" s="286">
        <f>data!AB89</f>
        <v>684179</v>
      </c>
      <c r="H122" s="286">
        <f>data!AC89</f>
        <v>0</v>
      </c>
      <c r="I122" s="286">
        <f>data!AD89</f>
        <v>0</v>
      </c>
    </row>
    <row r="123" spans="1:9" ht="20.149999999999999" customHeight="1" x14ac:dyDescent="0.35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985</v>
      </c>
      <c r="C124" s="286">
        <f>data!X90</f>
        <v>0</v>
      </c>
      <c r="D124" s="286">
        <f>data!Y90</f>
        <v>143</v>
      </c>
      <c r="E124" s="286">
        <f>data!Z90</f>
        <v>0</v>
      </c>
      <c r="F124" s="286">
        <f>data!AA90</f>
        <v>0</v>
      </c>
      <c r="G124" s="286">
        <f>data!AB90</f>
        <v>57</v>
      </c>
      <c r="H124" s="286">
        <f>data!AC90</f>
        <v>0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987</v>
      </c>
      <c r="C126" s="286">
        <f>data!X92</f>
        <v>0</v>
      </c>
      <c r="D126" s="286">
        <f>data!Y92</f>
        <v>143</v>
      </c>
      <c r="E126" s="286">
        <f>data!Z92</f>
        <v>0</v>
      </c>
      <c r="F126" s="286">
        <f>data!AA92</f>
        <v>0</v>
      </c>
      <c r="G126" s="286">
        <f>data!AB92</f>
        <v>57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988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1001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Garfield County Public Hospital District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1713</v>
      </c>
      <c r="D137" s="286">
        <f>data!AF59</f>
        <v>0</v>
      </c>
      <c r="E137" s="286">
        <f>data!AG59</f>
        <v>947</v>
      </c>
      <c r="F137" s="286">
        <f>data!AH59</f>
        <v>0</v>
      </c>
      <c r="G137" s="286">
        <f>data!AI59</f>
        <v>0</v>
      </c>
      <c r="H137" s="286">
        <f>data!AJ59</f>
        <v>3540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1.85</v>
      </c>
      <c r="D138" s="293">
        <f>data!AF60</f>
        <v>0</v>
      </c>
      <c r="E138" s="293">
        <f>data!AG60</f>
        <v>2.41</v>
      </c>
      <c r="F138" s="293">
        <f>data!AH60</f>
        <v>0</v>
      </c>
      <c r="G138" s="293">
        <f>data!AI60</f>
        <v>0</v>
      </c>
      <c r="H138" s="293">
        <f>data!AJ60</f>
        <v>5.92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205409</v>
      </c>
      <c r="D139" s="286">
        <f>data!AF61</f>
        <v>0</v>
      </c>
      <c r="E139" s="286">
        <f>data!AG61</f>
        <v>769264</v>
      </c>
      <c r="F139" s="286">
        <f>data!AH61</f>
        <v>0</v>
      </c>
      <c r="G139" s="286">
        <f>data!AI61</f>
        <v>0</v>
      </c>
      <c r="H139" s="286">
        <f>data!AJ61</f>
        <v>629144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114496</v>
      </c>
      <c r="D140" s="286">
        <f>data!AF62</f>
        <v>0</v>
      </c>
      <c r="E140" s="286">
        <f>data!AG62</f>
        <v>428790</v>
      </c>
      <c r="F140" s="286">
        <f>data!AH62</f>
        <v>0</v>
      </c>
      <c r="G140" s="286">
        <f>data!AI62</f>
        <v>0</v>
      </c>
      <c r="H140" s="286">
        <f>data!AJ62</f>
        <v>350687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2724</v>
      </c>
      <c r="D141" s="286">
        <f>data!AF63</f>
        <v>0</v>
      </c>
      <c r="E141" s="286">
        <f>data!AG63</f>
        <v>126</v>
      </c>
      <c r="F141" s="286">
        <f>data!AH63</f>
        <v>0</v>
      </c>
      <c r="G141" s="286">
        <f>data!AI63</f>
        <v>0</v>
      </c>
      <c r="H141" s="286">
        <f>data!AJ63</f>
        <v>30268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1323</v>
      </c>
      <c r="D142" s="286">
        <f>data!AF64</f>
        <v>0</v>
      </c>
      <c r="E142" s="286">
        <f>data!AG64</f>
        <v>39953</v>
      </c>
      <c r="F142" s="286">
        <f>data!AH64</f>
        <v>0</v>
      </c>
      <c r="G142" s="286">
        <f>data!AI64</f>
        <v>0</v>
      </c>
      <c r="H142" s="286">
        <f>data!AJ64</f>
        <v>35273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813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0</v>
      </c>
      <c r="D144" s="286">
        <f>data!AF66</f>
        <v>0</v>
      </c>
      <c r="E144" s="286">
        <f>data!AG66</f>
        <v>3003</v>
      </c>
      <c r="F144" s="286">
        <f>data!AH66</f>
        <v>0</v>
      </c>
      <c r="G144" s="286">
        <f>data!AI66</f>
        <v>0</v>
      </c>
      <c r="H144" s="286">
        <f>data!AJ66</f>
        <v>10659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5959</v>
      </c>
      <c r="D145" s="286">
        <f>data!AF67</f>
        <v>0</v>
      </c>
      <c r="E145" s="286">
        <f>data!AG67</f>
        <v>7506</v>
      </c>
      <c r="F145" s="286">
        <f>data!AH67</f>
        <v>0</v>
      </c>
      <c r="G145" s="286">
        <f>data!AI67</f>
        <v>0</v>
      </c>
      <c r="H145" s="286">
        <f>data!AJ67</f>
        <v>12323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977</v>
      </c>
      <c r="C146" s="286">
        <f>data!AE68</f>
        <v>0</v>
      </c>
      <c r="D146" s="286">
        <f>data!AF68</f>
        <v>0</v>
      </c>
      <c r="E146" s="286">
        <f>data!AG68</f>
        <v>9718</v>
      </c>
      <c r="F146" s="286">
        <f>data!AH68</f>
        <v>0</v>
      </c>
      <c r="G146" s="286">
        <f>data!AI68</f>
        <v>0</v>
      </c>
      <c r="H146" s="286">
        <f>data!AJ68</f>
        <v>3062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978</v>
      </c>
      <c r="C147" s="286">
        <f>data!AE69</f>
        <v>580</v>
      </c>
      <c r="D147" s="286">
        <f>data!AF69</f>
        <v>0</v>
      </c>
      <c r="E147" s="286">
        <f>data!AG69</f>
        <v>9823</v>
      </c>
      <c r="F147" s="286">
        <f>data!AH69</f>
        <v>0</v>
      </c>
      <c r="G147" s="286">
        <f>data!AI69</f>
        <v>0</v>
      </c>
      <c r="H147" s="286">
        <f>data!AJ69</f>
        <v>4368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979</v>
      </c>
      <c r="C149" s="286">
        <f>data!AE85</f>
        <v>330491</v>
      </c>
      <c r="D149" s="286">
        <f>data!AF85</f>
        <v>0</v>
      </c>
      <c r="E149" s="286">
        <f>data!AG85</f>
        <v>1268996</v>
      </c>
      <c r="F149" s="286">
        <f>data!AH85</f>
        <v>0</v>
      </c>
      <c r="G149" s="286">
        <f>data!AI85</f>
        <v>0</v>
      </c>
      <c r="H149" s="286">
        <f>data!AJ85</f>
        <v>1075784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980</v>
      </c>
      <c r="C151" s="294">
        <f>+data!M696</f>
        <v>121211</v>
      </c>
      <c r="D151" s="294">
        <f>+data!M697</f>
        <v>0</v>
      </c>
      <c r="E151" s="294">
        <f>+data!M698</f>
        <v>402473</v>
      </c>
      <c r="F151" s="294">
        <f>+data!M699</f>
        <v>0</v>
      </c>
      <c r="G151" s="294">
        <f>+data!M700</f>
        <v>0</v>
      </c>
      <c r="H151" s="294">
        <f>+data!M701</f>
        <v>285275</v>
      </c>
      <c r="I151" s="294">
        <f>+data!M702</f>
        <v>0</v>
      </c>
    </row>
    <row r="152" spans="1:9" ht="20.149999999999999" customHeight="1" x14ac:dyDescent="0.35">
      <c r="A152" s="278">
        <v>19</v>
      </c>
      <c r="B152" s="294" t="s">
        <v>981</v>
      </c>
      <c r="C152" s="286">
        <f>data!AE87</f>
        <v>52931</v>
      </c>
      <c r="D152" s="286">
        <f>data!AF87</f>
        <v>0</v>
      </c>
      <c r="E152" s="286">
        <f>data!AG87</f>
        <v>-773</v>
      </c>
      <c r="F152" s="286">
        <f>data!AH87</f>
        <v>0</v>
      </c>
      <c r="G152" s="286">
        <f>data!AI87</f>
        <v>0</v>
      </c>
      <c r="H152" s="286">
        <f>data!AJ87</f>
        <v>166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982</v>
      </c>
      <c r="C153" s="286">
        <f>data!AE88</f>
        <v>332615</v>
      </c>
      <c r="D153" s="286">
        <f>data!AF88</f>
        <v>0</v>
      </c>
      <c r="E153" s="286">
        <f>data!AG88</f>
        <v>1602853</v>
      </c>
      <c r="F153" s="286">
        <f>data!AH88</f>
        <v>0</v>
      </c>
      <c r="G153" s="286">
        <f>data!AI88</f>
        <v>0</v>
      </c>
      <c r="H153" s="286">
        <f>data!AJ88</f>
        <v>582256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983</v>
      </c>
      <c r="C154" s="286">
        <f>data!AE89</f>
        <v>385546</v>
      </c>
      <c r="D154" s="286">
        <f>data!AF89</f>
        <v>0</v>
      </c>
      <c r="E154" s="286">
        <f>data!AG89</f>
        <v>1602080</v>
      </c>
      <c r="F154" s="286">
        <f>data!AH89</f>
        <v>0</v>
      </c>
      <c r="G154" s="286">
        <f>data!AI89</f>
        <v>0</v>
      </c>
      <c r="H154" s="286">
        <f>data!AJ89</f>
        <v>582422</v>
      </c>
      <c r="I154" s="286">
        <f>data!AK89</f>
        <v>0</v>
      </c>
    </row>
    <row r="155" spans="1:9" ht="20.149999999999999" customHeight="1" x14ac:dyDescent="0.35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985</v>
      </c>
      <c r="C156" s="286">
        <f>data!AE90</f>
        <v>501</v>
      </c>
      <c r="D156" s="286">
        <f>data!AF90</f>
        <v>0</v>
      </c>
      <c r="E156" s="286">
        <f>data!AG90</f>
        <v>631</v>
      </c>
      <c r="F156" s="286">
        <f>data!AH90</f>
        <v>0</v>
      </c>
      <c r="G156" s="286">
        <f>data!AI90</f>
        <v>0</v>
      </c>
      <c r="H156" s="286">
        <f>data!AJ90</f>
        <v>1036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987</v>
      </c>
      <c r="C158" s="286">
        <f>data!AE92</f>
        <v>501</v>
      </c>
      <c r="D158" s="286">
        <f>data!AF92</f>
        <v>0</v>
      </c>
      <c r="E158" s="286">
        <f>data!AG92</f>
        <v>631</v>
      </c>
      <c r="F158" s="286">
        <f>data!AH92</f>
        <v>0</v>
      </c>
      <c r="G158" s="286">
        <f>data!AI92</f>
        <v>0</v>
      </c>
      <c r="H158" s="286">
        <f>data!AJ92</f>
        <v>1036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988</v>
      </c>
      <c r="C159" s="286">
        <f>data!AE93</f>
        <v>0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0</v>
      </c>
      <c r="F160" s="293">
        <f>data!AH94</f>
        <v>0</v>
      </c>
      <c r="G160" s="293">
        <f>data!AI94</f>
        <v>0</v>
      </c>
      <c r="H160" s="293">
        <f>data!AJ94</f>
        <v>1.91</v>
      </c>
      <c r="I160" s="293">
        <f>data!AK94</f>
        <v>0</v>
      </c>
    </row>
    <row r="161" spans="1:9" ht="20.149999999999999" customHeight="1" x14ac:dyDescent="0.35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1004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Garfield County Public Hospital District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600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0.1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6886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3838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7567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637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19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169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452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63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978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182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979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19813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980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44892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981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6188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982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216862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983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223050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38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66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38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25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0.09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1008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Garfield County Public Hospital District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17145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5.99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255523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142429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25262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81597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6114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13513</v>
      </c>
    </row>
    <row r="210" spans="1:9" ht="20.149999999999999" customHeight="1" x14ac:dyDescent="0.35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43</v>
      </c>
    </row>
    <row r="211" spans="1:9" ht="20.149999999999999" customHeight="1" x14ac:dyDescent="0.35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119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 x14ac:dyDescent="0.35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524600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980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0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1136</v>
      </c>
    </row>
    <row r="221" spans="1:9" ht="20.149999999999999" customHeight="1" x14ac:dyDescent="0.35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1011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Garfield County Public Hospital District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20923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0.86</v>
      </c>
      <c r="E234" s="293">
        <f>data!BB60</f>
        <v>1.85</v>
      </c>
      <c r="F234" s="293">
        <f>data!BC60</f>
        <v>0</v>
      </c>
      <c r="G234" s="293">
        <f>data!BD60</f>
        <v>0</v>
      </c>
      <c r="H234" s="293">
        <f>data!BE60</f>
        <v>2.58</v>
      </c>
      <c r="I234" s="293">
        <f>data!BF60</f>
        <v>3.77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31520</v>
      </c>
      <c r="E235" s="286">
        <f>data!BB61</f>
        <v>115752</v>
      </c>
      <c r="F235" s="286">
        <f>data!BC61</f>
        <v>0</v>
      </c>
      <c r="G235" s="286">
        <f>data!BD61</f>
        <v>0</v>
      </c>
      <c r="H235" s="286">
        <f>data!BE61</f>
        <v>137867</v>
      </c>
      <c r="I235" s="286">
        <f>data!BF61</f>
        <v>131581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17569</v>
      </c>
      <c r="E236" s="286">
        <f>data!BB62</f>
        <v>64520</v>
      </c>
      <c r="F236" s="286">
        <f>data!BC62</f>
        <v>0</v>
      </c>
      <c r="G236" s="286">
        <f>data!BD62</f>
        <v>0</v>
      </c>
      <c r="H236" s="286">
        <f>data!BE62</f>
        <v>76847</v>
      </c>
      <c r="I236" s="286">
        <f>data!BF62</f>
        <v>73344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47</v>
      </c>
      <c r="F237" s="286">
        <f>data!BC63</f>
        <v>0</v>
      </c>
      <c r="G237" s="286">
        <f>data!BD63</f>
        <v>0</v>
      </c>
      <c r="H237" s="286">
        <f>data!BE63</f>
        <v>2471</v>
      </c>
      <c r="I237" s="286">
        <f>data!BF63</f>
        <v>95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20079</v>
      </c>
      <c r="E238" s="286">
        <f>data!BB64</f>
        <v>2017</v>
      </c>
      <c r="F238" s="286">
        <f>data!BC64</f>
        <v>0</v>
      </c>
      <c r="G238" s="286">
        <f>data!BD64</f>
        <v>0</v>
      </c>
      <c r="H238" s="286">
        <f>data!BE64</f>
        <v>43254</v>
      </c>
      <c r="I238" s="286">
        <f>data!BF64</f>
        <v>12426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131604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383</v>
      </c>
      <c r="E240" s="286">
        <f>data!BB66</f>
        <v>0</v>
      </c>
      <c r="F240" s="286">
        <f>data!BC66</f>
        <v>0</v>
      </c>
      <c r="G240" s="286">
        <f>data!BD66</f>
        <v>0</v>
      </c>
      <c r="H240" s="286">
        <f>data!BE66</f>
        <v>43830</v>
      </c>
      <c r="I240" s="286">
        <f>data!BF66</f>
        <v>184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8838</v>
      </c>
      <c r="E241" s="286">
        <f>data!BB67</f>
        <v>0</v>
      </c>
      <c r="F241" s="286">
        <f>data!BC67</f>
        <v>0</v>
      </c>
      <c r="G241" s="286">
        <f>data!BD67</f>
        <v>0</v>
      </c>
      <c r="H241" s="286">
        <f>data!BE67</f>
        <v>17521</v>
      </c>
      <c r="I241" s="286">
        <f>data!BF67</f>
        <v>2486</v>
      </c>
    </row>
    <row r="242" spans="1:9" ht="20.149999999999999" customHeight="1" x14ac:dyDescent="0.35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4734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566</v>
      </c>
      <c r="F243" s="286">
        <f>data!BC69</f>
        <v>0</v>
      </c>
      <c r="G243" s="286">
        <f>data!BD69</f>
        <v>0</v>
      </c>
      <c r="H243" s="286">
        <f>data!BE69</f>
        <v>1527</v>
      </c>
      <c r="I243" s="286">
        <f>data!BF69</f>
        <v>120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979</v>
      </c>
      <c r="C245" s="286">
        <f>data!AZ85</f>
        <v>0</v>
      </c>
      <c r="D245" s="286">
        <f>data!BA85</f>
        <v>78389</v>
      </c>
      <c r="E245" s="286">
        <f>data!BB85</f>
        <v>182902</v>
      </c>
      <c r="F245" s="286">
        <f>data!BC85</f>
        <v>0</v>
      </c>
      <c r="G245" s="286">
        <f>data!BD85</f>
        <v>0</v>
      </c>
      <c r="H245" s="286">
        <f>data!BE85</f>
        <v>459655</v>
      </c>
      <c r="I245" s="286">
        <f>data!BF85</f>
        <v>220236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985</v>
      </c>
      <c r="C252" s="302">
        <f>data!AZ90</f>
        <v>0</v>
      </c>
      <c r="D252" s="302">
        <f>data!BA90</f>
        <v>743</v>
      </c>
      <c r="E252" s="302">
        <f>data!BB90</f>
        <v>0</v>
      </c>
      <c r="F252" s="302">
        <f>data!BC90</f>
        <v>0</v>
      </c>
      <c r="G252" s="302">
        <f>data!BD90</f>
        <v>0</v>
      </c>
      <c r="H252" s="302">
        <f>data!BE90</f>
        <v>1473</v>
      </c>
      <c r="I252" s="302">
        <f>data!BF90</f>
        <v>209</v>
      </c>
    </row>
    <row r="253" spans="1:9" ht="20.149999999999999" customHeight="1" x14ac:dyDescent="0.35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743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1016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Garfield County Public Hospital District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 x14ac:dyDescent="0.35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0.76</v>
      </c>
      <c r="E266" s="293">
        <f>data!BI60</f>
        <v>0</v>
      </c>
      <c r="F266" s="293">
        <f>data!BJ60</f>
        <v>1.91</v>
      </c>
      <c r="G266" s="293">
        <f>data!BK60</f>
        <v>0</v>
      </c>
      <c r="H266" s="293">
        <f>data!BL60</f>
        <v>0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43651</v>
      </c>
      <c r="E267" s="286">
        <f>data!BI61</f>
        <v>0</v>
      </c>
      <c r="F267" s="286">
        <f>data!BJ61</f>
        <v>138081</v>
      </c>
      <c r="G267" s="286">
        <f>data!BK61</f>
        <v>0</v>
      </c>
      <c r="H267" s="286">
        <f>data!BL61</f>
        <v>0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24331</v>
      </c>
      <c r="E268" s="286">
        <f>data!BI62</f>
        <v>0</v>
      </c>
      <c r="F268" s="286">
        <f>data!BJ62</f>
        <v>76967</v>
      </c>
      <c r="G268" s="286">
        <f>data!BK62</f>
        <v>0</v>
      </c>
      <c r="H268" s="286">
        <f>data!BL62</f>
        <v>0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42</v>
      </c>
      <c r="E269" s="286">
        <f>data!BI63</f>
        <v>0</v>
      </c>
      <c r="F269" s="286">
        <f>data!BJ63</f>
        <v>12417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13012</v>
      </c>
      <c r="E270" s="286">
        <f>data!BI64</f>
        <v>0</v>
      </c>
      <c r="F270" s="286">
        <f>data!BJ64</f>
        <v>2658</v>
      </c>
      <c r="G270" s="286">
        <f>data!BK64</f>
        <v>0</v>
      </c>
      <c r="H270" s="286">
        <f>data!BL64</f>
        <v>0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42689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136113</v>
      </c>
      <c r="E272" s="286">
        <f>data!BI66</f>
        <v>0</v>
      </c>
      <c r="F272" s="286">
        <f>data!BJ66</f>
        <v>0</v>
      </c>
      <c r="G272" s="286">
        <f>data!BK66</f>
        <v>0</v>
      </c>
      <c r="H272" s="286">
        <f>data!BL66</f>
        <v>0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977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-8644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978</v>
      </c>
      <c r="C275" s="286">
        <f>data!BG69</f>
        <v>0</v>
      </c>
      <c r="D275" s="286">
        <f>data!BH69</f>
        <v>66091</v>
      </c>
      <c r="E275" s="286">
        <f>data!BI69</f>
        <v>0</v>
      </c>
      <c r="F275" s="286">
        <f>data!BJ69</f>
        <v>41381</v>
      </c>
      <c r="G275" s="286">
        <f>data!BK69</f>
        <v>0</v>
      </c>
      <c r="H275" s="286">
        <f>data!BL69</f>
        <v>0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979</v>
      </c>
      <c r="C277" s="286">
        <f>data!BG85</f>
        <v>0</v>
      </c>
      <c r="D277" s="286">
        <f>data!BH85</f>
        <v>325929</v>
      </c>
      <c r="E277" s="286">
        <f>data!BI85</f>
        <v>0</v>
      </c>
      <c r="F277" s="286">
        <f>data!BJ85</f>
        <v>262860</v>
      </c>
      <c r="G277" s="286">
        <f>data!BK85</f>
        <v>0</v>
      </c>
      <c r="H277" s="286">
        <f>data!BL85</f>
        <v>0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985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1020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Garfield County Public Hospital District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1.1299999999999999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1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110698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83912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61703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46773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259272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25775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10983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430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14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10750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42762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977</v>
      </c>
      <c r="C306" s="286">
        <f>data!BN68</f>
        <v>3461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978</v>
      </c>
      <c r="C307" s="286">
        <f>data!BN69</f>
        <v>149419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12324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979</v>
      </c>
      <c r="C309" s="286">
        <f>data!BN85</f>
        <v>649062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169214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985</v>
      </c>
      <c r="C316" s="302">
        <f>data!BN90</f>
        <v>3595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1022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Garfield County Public Hospital District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5.45</v>
      </c>
      <c r="E330" s="293">
        <f>data!BW60</f>
        <v>0</v>
      </c>
      <c r="F330" s="293">
        <f>data!BX60</f>
        <v>0</v>
      </c>
      <c r="G330" s="293">
        <f>data!BY60</f>
        <v>1</v>
      </c>
      <c r="H330" s="293">
        <f>data!BZ60</f>
        <v>0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277317</v>
      </c>
      <c r="E331" s="305">
        <f>data!BW61</f>
        <v>0</v>
      </c>
      <c r="F331" s="305">
        <f>data!BX61</f>
        <v>0</v>
      </c>
      <c r="G331" s="305">
        <f>data!BY61</f>
        <v>181026</v>
      </c>
      <c r="H331" s="305">
        <f>data!BZ61</f>
        <v>0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154577</v>
      </c>
      <c r="E332" s="305">
        <f>data!BW62</f>
        <v>0</v>
      </c>
      <c r="F332" s="305">
        <f>data!BX62</f>
        <v>0</v>
      </c>
      <c r="G332" s="305">
        <f>data!BY62</f>
        <v>100904</v>
      </c>
      <c r="H332" s="305">
        <f>data!BZ62</f>
        <v>0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310604</v>
      </c>
      <c r="E333" s="305">
        <f>data!BW63</f>
        <v>0</v>
      </c>
      <c r="F333" s="305">
        <f>data!BX63</f>
        <v>0</v>
      </c>
      <c r="G333" s="305">
        <f>data!BY63</f>
        <v>5891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3022</v>
      </c>
      <c r="E334" s="305">
        <f>data!BW64</f>
        <v>0</v>
      </c>
      <c r="F334" s="305">
        <f>data!BX64</f>
        <v>0</v>
      </c>
      <c r="G334" s="305">
        <f>data!BY64</f>
        <v>79107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180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86</v>
      </c>
      <c r="E336" s="305">
        <f>data!BW66</f>
        <v>0</v>
      </c>
      <c r="F336" s="305">
        <f>data!BX66</f>
        <v>0</v>
      </c>
      <c r="G336" s="305">
        <f>data!BY66</f>
        <v>22468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4235</v>
      </c>
      <c r="E337" s="305">
        <f>data!BW67</f>
        <v>0</v>
      </c>
      <c r="F337" s="305">
        <f>data!BX67</f>
        <v>0</v>
      </c>
      <c r="G337" s="305">
        <f>data!BY67</f>
        <v>2343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977</v>
      </c>
      <c r="C338" s="305">
        <f>data!BU68</f>
        <v>0</v>
      </c>
      <c r="D338" s="305">
        <f>data!BV68</f>
        <v>2550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978</v>
      </c>
      <c r="C339" s="305">
        <f>data!BU69</f>
        <v>0</v>
      </c>
      <c r="D339" s="305">
        <f>data!BV69</f>
        <v>11104</v>
      </c>
      <c r="E339" s="305">
        <f>data!BW69</f>
        <v>0</v>
      </c>
      <c r="F339" s="305">
        <f>data!BX69</f>
        <v>0</v>
      </c>
      <c r="G339" s="305">
        <f>data!BY69</f>
        <v>321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979</v>
      </c>
      <c r="C341" s="286">
        <f>data!BU85</f>
        <v>0</v>
      </c>
      <c r="D341" s="286">
        <f>data!BV85</f>
        <v>763495</v>
      </c>
      <c r="E341" s="286">
        <f>data!BW85</f>
        <v>0</v>
      </c>
      <c r="F341" s="286">
        <f>data!BX85</f>
        <v>0</v>
      </c>
      <c r="G341" s="286">
        <f>data!BY85</f>
        <v>392240</v>
      </c>
      <c r="H341" s="286">
        <f>data!BZ85</f>
        <v>0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985</v>
      </c>
      <c r="C348" s="302">
        <f>data!BU90</f>
        <v>0</v>
      </c>
      <c r="D348" s="302">
        <f>data!BV90</f>
        <v>356</v>
      </c>
      <c r="E348" s="302">
        <f>data!BW90</f>
        <v>0</v>
      </c>
      <c r="F348" s="302">
        <f>data!BX90</f>
        <v>0</v>
      </c>
      <c r="G348" s="302">
        <f>data!BY90</f>
        <v>197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987</v>
      </c>
      <c r="C350" s="302">
        <f>data!BU92</f>
        <v>0</v>
      </c>
      <c r="D350" s="302">
        <f>data!BV92</f>
        <v>356</v>
      </c>
      <c r="E350" s="302">
        <f>data!BW92</f>
        <v>0</v>
      </c>
      <c r="F350" s="302">
        <f>data!BX92</f>
        <v>0</v>
      </c>
      <c r="G350" s="302">
        <f>data!BY92</f>
        <v>197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1023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Garfield County Public Hospital District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74.180000000000007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0</v>
      </c>
      <c r="E363" s="310"/>
      <c r="F363" s="310"/>
      <c r="G363" s="310"/>
      <c r="H363" s="310"/>
      <c r="I363" s="305">
        <f>data!CE61</f>
        <v>5643097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0</v>
      </c>
      <c r="E364" s="310"/>
      <c r="F364" s="310"/>
      <c r="G364" s="310"/>
      <c r="H364" s="310"/>
      <c r="I364" s="305">
        <f>data!CE62</f>
        <v>3145477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2852619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0</v>
      </c>
      <c r="E366" s="310"/>
      <c r="F366" s="310"/>
      <c r="G366" s="310"/>
      <c r="H366" s="310"/>
      <c r="I366" s="305">
        <f>data!CE64</f>
        <v>829457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181692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851797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248877</v>
      </c>
    </row>
    <row r="370" spans="1:9" ht="20.149999999999999" customHeight="1" x14ac:dyDescent="0.35">
      <c r="A370" s="278">
        <v>13</v>
      </c>
      <c r="B370" s="286" t="s">
        <v>977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31202</v>
      </c>
    </row>
    <row r="371" spans="1:9" ht="20.149999999999999" customHeight="1" x14ac:dyDescent="0.35">
      <c r="A371" s="278">
        <v>14</v>
      </c>
      <c r="B371" s="286" t="s">
        <v>978</v>
      </c>
      <c r="C371" s="305">
        <f>data!CB69</f>
        <v>0</v>
      </c>
      <c r="D371" s="305">
        <f>data!CC69</f>
        <v>0</v>
      </c>
      <c r="E371" s="305">
        <f>data!CD69</f>
        <v>185825</v>
      </c>
      <c r="F371" s="310"/>
      <c r="G371" s="310"/>
      <c r="H371" s="310"/>
      <c r="I371" s="305">
        <f>data!CE69</f>
        <v>537081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49999999999999" customHeight="1" x14ac:dyDescent="0.35">
      <c r="A373" s="278">
        <v>16</v>
      </c>
      <c r="B373" s="294" t="s">
        <v>979</v>
      </c>
      <c r="C373" s="305">
        <f>data!CB85</f>
        <v>0</v>
      </c>
      <c r="D373" s="305">
        <f>data!CC85</f>
        <v>0</v>
      </c>
      <c r="E373" s="305">
        <f>data!CD85</f>
        <v>185825</v>
      </c>
      <c r="F373" s="310"/>
      <c r="G373" s="310"/>
      <c r="H373" s="310"/>
      <c r="I373" s="286">
        <f>data!CE85</f>
        <v>14321299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2414974</v>
      </c>
    </row>
    <row r="377" spans="1:9" ht="20.149999999999999" customHeight="1" x14ac:dyDescent="0.35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6192442</v>
      </c>
    </row>
    <row r="378" spans="1:9" ht="20.149999999999999" customHeight="1" x14ac:dyDescent="0.35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8607416</v>
      </c>
    </row>
    <row r="379" spans="1:9" ht="20.149999999999999" customHeight="1" x14ac:dyDescent="0.35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985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20923</v>
      </c>
    </row>
    <row r="381" spans="1:9" ht="20.149999999999999" customHeight="1" x14ac:dyDescent="0.35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17145</v>
      </c>
    </row>
    <row r="382" spans="1:9" ht="20.149999999999999" customHeight="1" x14ac:dyDescent="0.35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19787</v>
      </c>
    </row>
    <row r="383" spans="1:9" ht="20.149999999999999" customHeight="1" x14ac:dyDescent="0.35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6484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25.04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W1" transitionEvaluation="1" transitionEntry="1" codeName="Sheet12">
    <tabColor rgb="FF92D050"/>
    <pageSetUpPr autoPageBreaks="0" fitToPage="1"/>
  </sheetPr>
  <dimension ref="A1:CF717"/>
  <sheetViews>
    <sheetView topLeftCell="BW1" zoomScaleNormal="100" workbookViewId="0">
      <selection activeCell="CD54" sqref="CD5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0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1" t="s">
        <v>18</v>
      </c>
      <c r="B37" s="332"/>
      <c r="C37" s="333"/>
      <c r="D37" s="332"/>
      <c r="E37" s="332"/>
      <c r="F37" s="332"/>
      <c r="G37" s="332"/>
    </row>
    <row r="38" spans="1:83" x14ac:dyDescent="0.35">
      <c r="A38" s="334" t="s">
        <v>1342</v>
      </c>
      <c r="B38" s="335"/>
      <c r="C38" s="333"/>
      <c r="D38" s="332"/>
      <c r="E38" s="332"/>
      <c r="F38" s="332"/>
      <c r="G38" s="332"/>
    </row>
    <row r="39" spans="1:83" x14ac:dyDescent="0.35">
      <c r="A39" s="336" t="s">
        <v>1340</v>
      </c>
      <c r="B39" s="335"/>
      <c r="C39" s="333"/>
      <c r="D39" s="332"/>
      <c r="E39" s="332"/>
      <c r="F39" s="332"/>
      <c r="G39" s="332"/>
    </row>
    <row r="40" spans="1:83" x14ac:dyDescent="0.35">
      <c r="A40" s="337" t="s">
        <v>1343</v>
      </c>
      <c r="B40" s="332"/>
      <c r="C40" s="333"/>
      <c r="D40" s="332"/>
      <c r="E40" s="332"/>
      <c r="F40" s="332"/>
      <c r="G40" s="332"/>
    </row>
    <row r="41" spans="1:83" x14ac:dyDescent="0.35">
      <c r="A41" s="336" t="s">
        <v>1341</v>
      </c>
      <c r="B41" s="332"/>
      <c r="C41" s="333"/>
      <c r="D41" s="332"/>
      <c r="E41" s="332"/>
      <c r="F41" s="332"/>
      <c r="G41" s="332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1238524</v>
      </c>
      <c r="C49" s="269">
        <f>IF($B$49,(ROUND((($B$49/$CE$62)*C62),0)))</f>
        <v>0</v>
      </c>
      <c r="D49" s="269">
        <f t="shared" ref="D49:BO49" si="0">IF($B$49,(ROUND((($B$49/$CE$62)*D62),0)))</f>
        <v>0</v>
      </c>
      <c r="E49" s="269">
        <f t="shared" si="0"/>
        <v>8850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0</v>
      </c>
      <c r="K49" s="269">
        <f t="shared" si="0"/>
        <v>0</v>
      </c>
      <c r="L49" s="269">
        <f t="shared" si="0"/>
        <v>371140</v>
      </c>
      <c r="M49" s="269">
        <f t="shared" si="0"/>
        <v>0</v>
      </c>
      <c r="N49" s="269">
        <f t="shared" si="0"/>
        <v>0</v>
      </c>
      <c r="O49" s="269">
        <f t="shared" si="0"/>
        <v>0</v>
      </c>
      <c r="P49" s="269">
        <f t="shared" si="0"/>
        <v>0</v>
      </c>
      <c r="Q49" s="269">
        <f t="shared" si="0"/>
        <v>0</v>
      </c>
      <c r="R49" s="269">
        <f t="shared" si="0"/>
        <v>0</v>
      </c>
      <c r="S49" s="269">
        <f t="shared" si="0"/>
        <v>11740</v>
      </c>
      <c r="T49" s="269">
        <f t="shared" si="0"/>
        <v>0</v>
      </c>
      <c r="U49" s="269">
        <f t="shared" si="0"/>
        <v>72892</v>
      </c>
      <c r="V49" s="269">
        <f t="shared" si="0"/>
        <v>609</v>
      </c>
      <c r="W49" s="269">
        <f t="shared" si="0"/>
        <v>0</v>
      </c>
      <c r="X49" s="269">
        <f t="shared" si="0"/>
        <v>0</v>
      </c>
      <c r="Y49" s="269">
        <f t="shared" si="0"/>
        <v>70936</v>
      </c>
      <c r="Z49" s="269">
        <f t="shared" si="0"/>
        <v>0</v>
      </c>
      <c r="AA49" s="269">
        <f t="shared" si="0"/>
        <v>0</v>
      </c>
      <c r="AB49" s="269">
        <f t="shared" si="0"/>
        <v>0</v>
      </c>
      <c r="AC49" s="269">
        <f t="shared" si="0"/>
        <v>0</v>
      </c>
      <c r="AD49" s="269">
        <f t="shared" si="0"/>
        <v>0</v>
      </c>
      <c r="AE49" s="269">
        <f t="shared" si="0"/>
        <v>46312</v>
      </c>
      <c r="AF49" s="269">
        <f t="shared" si="0"/>
        <v>0</v>
      </c>
      <c r="AG49" s="269">
        <f t="shared" si="0"/>
        <v>158932</v>
      </c>
      <c r="AH49" s="269">
        <f t="shared" si="0"/>
        <v>0</v>
      </c>
      <c r="AI49" s="269">
        <f t="shared" si="0"/>
        <v>0</v>
      </c>
      <c r="AJ49" s="269">
        <f t="shared" si="0"/>
        <v>145832</v>
      </c>
      <c r="AK49" s="269">
        <f t="shared" si="0"/>
        <v>0</v>
      </c>
      <c r="AL49" s="269">
        <f t="shared" si="0"/>
        <v>0</v>
      </c>
      <c r="AM49" s="269">
        <f t="shared" si="0"/>
        <v>0</v>
      </c>
      <c r="AN49" s="269">
        <f t="shared" si="0"/>
        <v>0</v>
      </c>
      <c r="AO49" s="269">
        <f t="shared" si="0"/>
        <v>2198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0</v>
      </c>
      <c r="AW49" s="269">
        <f t="shared" si="0"/>
        <v>0</v>
      </c>
      <c r="AX49" s="269">
        <f t="shared" si="0"/>
        <v>0</v>
      </c>
      <c r="AY49" s="269">
        <f t="shared" si="0"/>
        <v>63173</v>
      </c>
      <c r="AZ49" s="269">
        <f t="shared" si="0"/>
        <v>0</v>
      </c>
      <c r="BA49" s="269">
        <f t="shared" si="0"/>
        <v>5342</v>
      </c>
      <c r="BB49" s="269">
        <f t="shared" si="0"/>
        <v>25859</v>
      </c>
      <c r="BC49" s="269">
        <f t="shared" si="0"/>
        <v>0</v>
      </c>
      <c r="BD49" s="269">
        <f t="shared" si="0"/>
        <v>0</v>
      </c>
      <c r="BE49" s="269">
        <f t="shared" si="0"/>
        <v>31859</v>
      </c>
      <c r="BF49" s="269">
        <f t="shared" si="0"/>
        <v>41572</v>
      </c>
      <c r="BG49" s="269">
        <f t="shared" si="0"/>
        <v>0</v>
      </c>
      <c r="BH49" s="269">
        <f t="shared" si="0"/>
        <v>11103</v>
      </c>
      <c r="BI49" s="269">
        <f t="shared" si="0"/>
        <v>0</v>
      </c>
      <c r="BJ49" s="269">
        <f t="shared" si="0"/>
        <v>26805</v>
      </c>
      <c r="BK49" s="269">
        <f t="shared" si="0"/>
        <v>0</v>
      </c>
      <c r="BL49" s="269">
        <f t="shared" si="0"/>
        <v>0</v>
      </c>
      <c r="BM49" s="269">
        <f t="shared" si="0"/>
        <v>0</v>
      </c>
      <c r="BN49" s="269">
        <f t="shared" si="0"/>
        <v>24950</v>
      </c>
      <c r="BO49" s="269">
        <f t="shared" si="0"/>
        <v>0</v>
      </c>
      <c r="BP49" s="269">
        <f t="shared" ref="BP49:CD49" si="1">IF($B$49,(ROUND((($B$49/$CE$62)*BP62),0)))</f>
        <v>0</v>
      </c>
      <c r="BQ49" s="269">
        <f t="shared" si="1"/>
        <v>0</v>
      </c>
      <c r="BR49" s="269">
        <f t="shared" si="1"/>
        <v>17937</v>
      </c>
      <c r="BS49" s="269">
        <f t="shared" si="1"/>
        <v>0</v>
      </c>
      <c r="BT49" s="269">
        <f t="shared" si="1"/>
        <v>0</v>
      </c>
      <c r="BU49" s="269">
        <f t="shared" si="1"/>
        <v>0</v>
      </c>
      <c r="BV49" s="269">
        <f t="shared" si="1"/>
        <v>62927</v>
      </c>
      <c r="BW49" s="269">
        <f t="shared" si="1"/>
        <v>0</v>
      </c>
      <c r="BX49" s="269">
        <f t="shared" si="1"/>
        <v>0</v>
      </c>
      <c r="BY49" s="269">
        <f t="shared" si="1"/>
        <v>37558</v>
      </c>
      <c r="BZ49" s="269">
        <f t="shared" si="1"/>
        <v>0</v>
      </c>
      <c r="CA49" s="269">
        <f t="shared" si="1"/>
        <v>0</v>
      </c>
      <c r="CB49" s="269">
        <f t="shared" si="1"/>
        <v>0</v>
      </c>
      <c r="CC49" s="269">
        <f t="shared" si="1"/>
        <v>0</v>
      </c>
      <c r="CD49" s="269">
        <f t="shared" si="1"/>
        <v>0</v>
      </c>
      <c r="CE49" s="32">
        <f>SUM(C49:CD49)</f>
        <v>1238526</v>
      </c>
    </row>
    <row r="50" spans="1:83" x14ac:dyDescent="0.35">
      <c r="A50" s="20" t="s">
        <v>218</v>
      </c>
      <c r="B50" s="269">
        <f>B48+B49</f>
        <v>1238524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189229</v>
      </c>
      <c r="C53" s="269">
        <f>IF($B$53,ROUND(($B$53/($CE$91+$CF$91)*C91),0))</f>
        <v>0</v>
      </c>
      <c r="D53" s="269">
        <f t="shared" ref="D53:BO53" si="2">IF($B$53,ROUND(($B$53/($CE$91+$CF$91)*D91),0))</f>
        <v>0</v>
      </c>
      <c r="E53" s="269">
        <f t="shared" si="2"/>
        <v>2062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0</v>
      </c>
      <c r="K53" s="269">
        <f t="shared" si="2"/>
        <v>0</v>
      </c>
      <c r="L53" s="269">
        <f t="shared" si="2"/>
        <v>86552</v>
      </c>
      <c r="M53" s="269">
        <f t="shared" si="2"/>
        <v>0</v>
      </c>
      <c r="N53" s="269">
        <f t="shared" si="2"/>
        <v>0</v>
      </c>
      <c r="O53" s="269">
        <f t="shared" si="2"/>
        <v>0</v>
      </c>
      <c r="P53" s="269">
        <f t="shared" si="2"/>
        <v>0</v>
      </c>
      <c r="Q53" s="269">
        <f t="shared" si="2"/>
        <v>0</v>
      </c>
      <c r="R53" s="269">
        <f t="shared" si="2"/>
        <v>0</v>
      </c>
      <c r="S53" s="269">
        <f t="shared" si="2"/>
        <v>2596</v>
      </c>
      <c r="T53" s="269">
        <f t="shared" si="2"/>
        <v>0</v>
      </c>
      <c r="U53" s="269">
        <f t="shared" si="2"/>
        <v>5327</v>
      </c>
      <c r="V53" s="269">
        <f t="shared" si="2"/>
        <v>235</v>
      </c>
      <c r="W53" s="269">
        <f t="shared" si="2"/>
        <v>0</v>
      </c>
      <c r="X53" s="269">
        <f t="shared" si="2"/>
        <v>0</v>
      </c>
      <c r="Y53" s="269">
        <f t="shared" si="2"/>
        <v>1194</v>
      </c>
      <c r="Z53" s="269">
        <f t="shared" si="2"/>
        <v>0</v>
      </c>
      <c r="AA53" s="269">
        <f t="shared" si="2"/>
        <v>0</v>
      </c>
      <c r="AB53" s="269">
        <f t="shared" si="2"/>
        <v>516</v>
      </c>
      <c r="AC53" s="269">
        <f t="shared" si="2"/>
        <v>0</v>
      </c>
      <c r="AD53" s="269">
        <f t="shared" si="2"/>
        <v>0</v>
      </c>
      <c r="AE53" s="269">
        <f t="shared" si="2"/>
        <v>4531</v>
      </c>
      <c r="AF53" s="269">
        <f t="shared" si="2"/>
        <v>0</v>
      </c>
      <c r="AG53" s="269">
        <f t="shared" si="2"/>
        <v>5707</v>
      </c>
      <c r="AH53" s="269">
        <f t="shared" si="2"/>
        <v>0</v>
      </c>
      <c r="AI53" s="269">
        <f t="shared" si="2"/>
        <v>0</v>
      </c>
      <c r="AJ53" s="269">
        <f t="shared" si="2"/>
        <v>9370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516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0</v>
      </c>
      <c r="AW53" s="269">
        <f t="shared" si="2"/>
        <v>0</v>
      </c>
      <c r="AX53" s="269">
        <f t="shared" si="2"/>
        <v>0</v>
      </c>
      <c r="AY53" s="269">
        <f t="shared" si="2"/>
        <v>7742</v>
      </c>
      <c r="AZ53" s="269">
        <f t="shared" si="2"/>
        <v>0</v>
      </c>
      <c r="BA53" s="269">
        <f t="shared" si="2"/>
        <v>6720</v>
      </c>
      <c r="BB53" s="269">
        <f t="shared" si="2"/>
        <v>904</v>
      </c>
      <c r="BC53" s="269">
        <f t="shared" si="2"/>
        <v>0</v>
      </c>
      <c r="BD53" s="269">
        <f t="shared" si="2"/>
        <v>0</v>
      </c>
      <c r="BE53" s="269">
        <f t="shared" si="2"/>
        <v>15854</v>
      </c>
      <c r="BF53" s="269">
        <f t="shared" si="2"/>
        <v>1890</v>
      </c>
      <c r="BG53" s="269">
        <f t="shared" si="2"/>
        <v>0</v>
      </c>
      <c r="BH53" s="269">
        <f t="shared" si="2"/>
        <v>3799</v>
      </c>
      <c r="BI53" s="269">
        <f t="shared" si="2"/>
        <v>0</v>
      </c>
      <c r="BJ53" s="269">
        <f t="shared" si="2"/>
        <v>6231</v>
      </c>
      <c r="BK53" s="269">
        <f t="shared" si="2"/>
        <v>0</v>
      </c>
      <c r="BL53" s="269">
        <f t="shared" si="2"/>
        <v>0</v>
      </c>
      <c r="BM53" s="269">
        <f t="shared" si="2"/>
        <v>0</v>
      </c>
      <c r="BN53" s="269">
        <f t="shared" si="2"/>
        <v>20575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1908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3220</v>
      </c>
      <c r="BW53" s="269">
        <f t="shared" si="3"/>
        <v>0</v>
      </c>
      <c r="BX53" s="269">
        <f t="shared" si="3"/>
        <v>0</v>
      </c>
      <c r="BY53" s="269">
        <f t="shared" si="3"/>
        <v>1782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0</v>
      </c>
      <c r="CD53" s="269">
        <f t="shared" si="3"/>
        <v>0</v>
      </c>
      <c r="CE53" s="32">
        <f>SUM(C53:CD53)</f>
        <v>189231</v>
      </c>
    </row>
    <row r="54" spans="1:83" x14ac:dyDescent="0.35">
      <c r="A54" s="20" t="s">
        <v>218</v>
      </c>
      <c r="B54" s="269">
        <f>B52+B53</f>
        <v>189229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157</v>
      </c>
      <c r="F60" s="213"/>
      <c r="G60" s="213"/>
      <c r="H60" s="213"/>
      <c r="I60" s="213"/>
      <c r="J60" s="213"/>
      <c r="K60" s="213"/>
      <c r="L60" s="213">
        <v>6584</v>
      </c>
      <c r="M60" s="213"/>
      <c r="N60" s="213"/>
      <c r="O60" s="213"/>
      <c r="P60" s="214"/>
      <c r="Q60" s="214"/>
      <c r="R60" s="214"/>
      <c r="S60" s="262"/>
      <c r="T60" s="262"/>
      <c r="U60" s="227">
        <v>4531</v>
      </c>
      <c r="V60" s="214">
        <v>205</v>
      </c>
      <c r="W60" s="214"/>
      <c r="X60" s="214"/>
      <c r="Y60" s="214">
        <v>850</v>
      </c>
      <c r="Z60" s="214"/>
      <c r="AA60" s="214"/>
      <c r="AB60" s="262"/>
      <c r="AC60" s="214"/>
      <c r="AD60" s="214"/>
      <c r="AE60" s="214">
        <v>1773</v>
      </c>
      <c r="AF60" s="214"/>
      <c r="AG60" s="214">
        <v>846</v>
      </c>
      <c r="AH60" s="214"/>
      <c r="AI60" s="214"/>
      <c r="AJ60" s="214">
        <v>3324</v>
      </c>
      <c r="AK60" s="214"/>
      <c r="AL60" s="214"/>
      <c r="AM60" s="214"/>
      <c r="AN60" s="214"/>
      <c r="AO60" s="214">
        <v>936</v>
      </c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19238</v>
      </c>
      <c r="AZ60" s="214"/>
      <c r="BA60" s="262"/>
      <c r="BB60" s="262"/>
      <c r="BC60" s="262"/>
      <c r="BD60" s="262"/>
      <c r="BE60" s="214">
        <v>20923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/>
      <c r="D61" s="242"/>
      <c r="E61" s="242">
        <v>0.57999999999999996</v>
      </c>
      <c r="F61" s="242"/>
      <c r="G61" s="242"/>
      <c r="H61" s="242"/>
      <c r="I61" s="242"/>
      <c r="J61" s="242"/>
      <c r="K61" s="242"/>
      <c r="L61" s="242">
        <v>24.21</v>
      </c>
      <c r="M61" s="242"/>
      <c r="N61" s="242"/>
      <c r="O61" s="242"/>
      <c r="P61" s="243"/>
      <c r="Q61" s="243"/>
      <c r="R61" s="243"/>
      <c r="S61" s="244">
        <v>1.04</v>
      </c>
      <c r="T61" s="244"/>
      <c r="U61" s="245">
        <v>5.42</v>
      </c>
      <c r="V61" s="243">
        <v>0.04</v>
      </c>
      <c r="W61" s="243"/>
      <c r="X61" s="243"/>
      <c r="Y61" s="243">
        <v>4.54</v>
      </c>
      <c r="Z61" s="243"/>
      <c r="AA61" s="243"/>
      <c r="AB61" s="244"/>
      <c r="AC61" s="243"/>
      <c r="AD61" s="243"/>
      <c r="AE61" s="243">
        <v>1.98</v>
      </c>
      <c r="AF61" s="243"/>
      <c r="AG61" s="243">
        <v>2.74</v>
      </c>
      <c r="AH61" s="243"/>
      <c r="AI61" s="243"/>
      <c r="AJ61" s="243">
        <v>6.12</v>
      </c>
      <c r="AK61" s="243"/>
      <c r="AL61" s="243"/>
      <c r="AM61" s="243"/>
      <c r="AN61" s="243"/>
      <c r="AO61" s="243">
        <v>0.14000000000000001</v>
      </c>
      <c r="AP61" s="243"/>
      <c r="AQ61" s="243"/>
      <c r="AR61" s="243"/>
      <c r="AS61" s="243"/>
      <c r="AT61" s="243"/>
      <c r="AU61" s="243"/>
      <c r="AV61" s="244"/>
      <c r="AW61" s="244"/>
      <c r="AX61" s="244"/>
      <c r="AY61" s="243">
        <v>6.31</v>
      </c>
      <c r="AZ61" s="243"/>
      <c r="BA61" s="244">
        <v>0.61</v>
      </c>
      <c r="BB61" s="244">
        <v>1.8</v>
      </c>
      <c r="BC61" s="244"/>
      <c r="BD61" s="244"/>
      <c r="BE61" s="243">
        <v>2.13</v>
      </c>
      <c r="BF61" s="244">
        <v>4.88</v>
      </c>
      <c r="BG61" s="244"/>
      <c r="BH61" s="244">
        <v>0.89</v>
      </c>
      <c r="BI61" s="244"/>
      <c r="BJ61" s="244">
        <v>1.86</v>
      </c>
      <c r="BK61" s="244"/>
      <c r="BL61" s="244"/>
      <c r="BM61" s="244"/>
      <c r="BN61" s="244">
        <v>1.1299999999999999</v>
      </c>
      <c r="BO61" s="244"/>
      <c r="BP61" s="244"/>
      <c r="BQ61" s="244"/>
      <c r="BR61" s="244">
        <v>1.01</v>
      </c>
      <c r="BS61" s="244"/>
      <c r="BT61" s="244"/>
      <c r="BU61" s="244"/>
      <c r="BV61" s="244">
        <v>5.0599999999999996</v>
      </c>
      <c r="BW61" s="244"/>
      <c r="BX61" s="244"/>
      <c r="BY61" s="244">
        <v>1</v>
      </c>
      <c r="BZ61" s="244"/>
      <c r="CA61" s="244"/>
      <c r="CB61" s="244"/>
      <c r="CC61" s="244"/>
      <c r="CD61" s="246" t="s">
        <v>233</v>
      </c>
      <c r="CE61" s="267">
        <f t="shared" ref="CE61:CE69" si="4">SUM(C61:CD61)</f>
        <v>73.490000000000009</v>
      </c>
    </row>
    <row r="62" spans="1:83" x14ac:dyDescent="0.35">
      <c r="A62" s="39" t="s">
        <v>248</v>
      </c>
      <c r="B62" s="20"/>
      <c r="C62" s="213"/>
      <c r="D62" s="213"/>
      <c r="E62" s="213">
        <v>40273</v>
      </c>
      <c r="F62" s="213"/>
      <c r="G62" s="213"/>
      <c r="H62" s="213"/>
      <c r="I62" s="213"/>
      <c r="J62" s="213"/>
      <c r="K62" s="213"/>
      <c r="L62" s="213">
        <v>1688882</v>
      </c>
      <c r="M62" s="213"/>
      <c r="N62" s="213"/>
      <c r="O62" s="213"/>
      <c r="P62" s="214"/>
      <c r="Q62" s="214"/>
      <c r="R62" s="214"/>
      <c r="S62" s="228">
        <v>53424</v>
      </c>
      <c r="T62" s="228"/>
      <c r="U62" s="227">
        <v>331695</v>
      </c>
      <c r="V62" s="214">
        <v>2773</v>
      </c>
      <c r="W62" s="214"/>
      <c r="X62" s="214"/>
      <c r="Y62" s="214">
        <v>322798</v>
      </c>
      <c r="Z62" s="214"/>
      <c r="AA62" s="214"/>
      <c r="AB62" s="239"/>
      <c r="AC62" s="214"/>
      <c r="AD62" s="214"/>
      <c r="AE62" s="214">
        <v>210746</v>
      </c>
      <c r="AF62" s="214"/>
      <c r="AG62" s="214">
        <v>723223</v>
      </c>
      <c r="AH62" s="214"/>
      <c r="AI62" s="214"/>
      <c r="AJ62" s="214">
        <v>663611</v>
      </c>
      <c r="AK62" s="214"/>
      <c r="AL62" s="214"/>
      <c r="AM62" s="214"/>
      <c r="AN62" s="214"/>
      <c r="AO62" s="214">
        <v>10004</v>
      </c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287470</v>
      </c>
      <c r="AZ62" s="214"/>
      <c r="BA62" s="228">
        <v>24308</v>
      </c>
      <c r="BB62" s="228">
        <v>117670</v>
      </c>
      <c r="BC62" s="228"/>
      <c r="BD62" s="228"/>
      <c r="BE62" s="214">
        <v>144974</v>
      </c>
      <c r="BF62" s="228">
        <v>189173</v>
      </c>
      <c r="BG62" s="228"/>
      <c r="BH62" s="228">
        <v>50526</v>
      </c>
      <c r="BI62" s="228"/>
      <c r="BJ62" s="228">
        <v>121975</v>
      </c>
      <c r="BK62" s="228"/>
      <c r="BL62" s="228"/>
      <c r="BM62" s="228"/>
      <c r="BN62" s="228">
        <v>113534</v>
      </c>
      <c r="BO62" s="228"/>
      <c r="BP62" s="228"/>
      <c r="BQ62" s="228"/>
      <c r="BR62" s="228">
        <v>81621</v>
      </c>
      <c r="BS62" s="228"/>
      <c r="BT62" s="228"/>
      <c r="BU62" s="228"/>
      <c r="BV62" s="228">
        <v>286349</v>
      </c>
      <c r="BW62" s="228"/>
      <c r="BX62" s="228"/>
      <c r="BY62" s="228">
        <v>170907</v>
      </c>
      <c r="BZ62" s="228"/>
      <c r="CA62" s="228"/>
      <c r="CB62" s="228"/>
      <c r="CC62" s="228"/>
      <c r="CD62" s="29" t="s">
        <v>233</v>
      </c>
      <c r="CE62" s="32">
        <f t="shared" si="4"/>
        <v>5635936</v>
      </c>
    </row>
    <row r="63" spans="1:83" x14ac:dyDescent="0.3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8850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371140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0</v>
      </c>
      <c r="Q63" s="268">
        <f t="shared" si="5"/>
        <v>0</v>
      </c>
      <c r="R63" s="268">
        <f t="shared" si="5"/>
        <v>0</v>
      </c>
      <c r="S63" s="268">
        <f t="shared" si="5"/>
        <v>11740</v>
      </c>
      <c r="T63" s="268">
        <f t="shared" si="5"/>
        <v>0</v>
      </c>
      <c r="U63" s="268">
        <f t="shared" si="5"/>
        <v>72892</v>
      </c>
      <c r="V63" s="268">
        <f t="shared" si="5"/>
        <v>609</v>
      </c>
      <c r="W63" s="268">
        <f t="shared" si="5"/>
        <v>0</v>
      </c>
      <c r="X63" s="268">
        <f t="shared" si="5"/>
        <v>0</v>
      </c>
      <c r="Y63" s="268">
        <f t="shared" si="5"/>
        <v>70936</v>
      </c>
      <c r="Z63" s="268">
        <f t="shared" si="5"/>
        <v>0</v>
      </c>
      <c r="AA63" s="268">
        <f t="shared" si="5"/>
        <v>0</v>
      </c>
      <c r="AB63" s="268">
        <f t="shared" si="5"/>
        <v>0</v>
      </c>
      <c r="AC63" s="268">
        <f t="shared" si="5"/>
        <v>0</v>
      </c>
      <c r="AD63" s="268">
        <f t="shared" si="5"/>
        <v>0</v>
      </c>
      <c r="AE63" s="268">
        <f t="shared" si="5"/>
        <v>46312</v>
      </c>
      <c r="AF63" s="268">
        <f t="shared" si="5"/>
        <v>0</v>
      </c>
      <c r="AG63" s="268">
        <f t="shared" si="5"/>
        <v>158932</v>
      </c>
      <c r="AH63" s="268">
        <f t="shared" si="5"/>
        <v>0</v>
      </c>
      <c r="AI63" s="268">
        <f t="shared" si="5"/>
        <v>0</v>
      </c>
      <c r="AJ63" s="268">
        <f t="shared" si="5"/>
        <v>145832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2198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63173</v>
      </c>
      <c r="AZ63" s="268">
        <f t="shared" si="5"/>
        <v>0</v>
      </c>
      <c r="BA63" s="268">
        <f t="shared" si="5"/>
        <v>5342</v>
      </c>
      <c r="BB63" s="268">
        <f t="shared" si="5"/>
        <v>25859</v>
      </c>
      <c r="BC63" s="268">
        <f t="shared" si="5"/>
        <v>0</v>
      </c>
      <c r="BD63" s="268">
        <f t="shared" si="5"/>
        <v>0</v>
      </c>
      <c r="BE63" s="268">
        <f t="shared" si="5"/>
        <v>31859</v>
      </c>
      <c r="BF63" s="268">
        <f t="shared" si="5"/>
        <v>41572</v>
      </c>
      <c r="BG63" s="268">
        <f t="shared" si="5"/>
        <v>0</v>
      </c>
      <c r="BH63" s="268">
        <f t="shared" si="5"/>
        <v>11103</v>
      </c>
      <c r="BI63" s="268">
        <f t="shared" si="5"/>
        <v>0</v>
      </c>
      <c r="BJ63" s="268">
        <f t="shared" si="5"/>
        <v>26805</v>
      </c>
      <c r="BK63" s="268">
        <f t="shared" si="5"/>
        <v>0</v>
      </c>
      <c r="BL63" s="268">
        <f t="shared" si="5"/>
        <v>0</v>
      </c>
      <c r="BM63" s="268">
        <f t="shared" si="5"/>
        <v>0</v>
      </c>
      <c r="BN63" s="268">
        <f t="shared" si="5"/>
        <v>24950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17937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62927</v>
      </c>
      <c r="BW63" s="268">
        <f t="shared" si="6"/>
        <v>0</v>
      </c>
      <c r="BX63" s="268">
        <f t="shared" si="6"/>
        <v>0</v>
      </c>
      <c r="BY63" s="268">
        <f t="shared" si="6"/>
        <v>37558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0</v>
      </c>
      <c r="CD63" s="29" t="s">
        <v>233</v>
      </c>
      <c r="CE63" s="32">
        <f t="shared" si="4"/>
        <v>1238526</v>
      </c>
    </row>
    <row r="64" spans="1:83" x14ac:dyDescent="0.35">
      <c r="A64" s="39" t="s">
        <v>249</v>
      </c>
      <c r="B64" s="20"/>
      <c r="C64" s="213"/>
      <c r="D64" s="213"/>
      <c r="E64" s="213">
        <v>25281</v>
      </c>
      <c r="F64" s="213"/>
      <c r="G64" s="213"/>
      <c r="H64" s="213"/>
      <c r="I64" s="213"/>
      <c r="J64" s="213"/>
      <c r="K64" s="213"/>
      <c r="L64" s="213">
        <v>1060177</v>
      </c>
      <c r="M64" s="213"/>
      <c r="N64" s="213"/>
      <c r="O64" s="213"/>
      <c r="P64" s="214"/>
      <c r="Q64" s="214"/>
      <c r="R64" s="214"/>
      <c r="S64" s="228">
        <v>63</v>
      </c>
      <c r="T64" s="228"/>
      <c r="U64" s="227">
        <v>22283</v>
      </c>
      <c r="V64" s="214">
        <v>4050</v>
      </c>
      <c r="W64" s="214"/>
      <c r="X64" s="214"/>
      <c r="Y64" s="214">
        <v>20536</v>
      </c>
      <c r="Z64" s="214"/>
      <c r="AA64" s="214"/>
      <c r="AB64" s="239">
        <v>139157</v>
      </c>
      <c r="AC64" s="214"/>
      <c r="AD64" s="214"/>
      <c r="AE64" s="214">
        <v>126</v>
      </c>
      <c r="AF64" s="214"/>
      <c r="AG64" s="214">
        <v>14083</v>
      </c>
      <c r="AH64" s="214"/>
      <c r="AI64" s="214"/>
      <c r="AJ64" s="214">
        <v>2420</v>
      </c>
      <c r="AK64" s="214"/>
      <c r="AL64" s="214"/>
      <c r="AM64" s="214"/>
      <c r="AN64" s="214"/>
      <c r="AO64" s="214">
        <v>6280</v>
      </c>
      <c r="AP64" s="214"/>
      <c r="AQ64" s="214"/>
      <c r="AR64" s="214"/>
      <c r="AS64" s="214"/>
      <c r="AT64" s="214"/>
      <c r="AU64" s="214"/>
      <c r="AV64" s="228"/>
      <c r="AW64" s="228"/>
      <c r="AX64" s="228"/>
      <c r="AY64" s="214">
        <v>20232</v>
      </c>
      <c r="AZ64" s="214"/>
      <c r="BA64" s="228"/>
      <c r="BB64" s="228">
        <v>58</v>
      </c>
      <c r="BC64" s="228"/>
      <c r="BD64" s="228"/>
      <c r="BE64" s="214">
        <v>3426</v>
      </c>
      <c r="BF64" s="228">
        <v>158</v>
      </c>
      <c r="BG64" s="228"/>
      <c r="BH64" s="228">
        <v>898</v>
      </c>
      <c r="BI64" s="228"/>
      <c r="BJ64" s="228">
        <v>2538</v>
      </c>
      <c r="BK64" s="228"/>
      <c r="BL64" s="228"/>
      <c r="BM64" s="228"/>
      <c r="BN64" s="228">
        <v>222751</v>
      </c>
      <c r="BO64" s="228"/>
      <c r="BP64" s="228"/>
      <c r="BQ64" s="228"/>
      <c r="BR64" s="228">
        <v>16690</v>
      </c>
      <c r="BS64" s="228"/>
      <c r="BT64" s="228"/>
      <c r="BU64" s="228"/>
      <c r="BV64" s="228">
        <v>293626</v>
      </c>
      <c r="BW64" s="228"/>
      <c r="BX64" s="228"/>
      <c r="BY64" s="228">
        <v>93100</v>
      </c>
      <c r="BZ64" s="228"/>
      <c r="CA64" s="228"/>
      <c r="CB64" s="228"/>
      <c r="CC64" s="228"/>
      <c r="CD64" s="29" t="s">
        <v>233</v>
      </c>
      <c r="CE64" s="32">
        <f t="shared" si="4"/>
        <v>1947933</v>
      </c>
    </row>
    <row r="65" spans="1:83" x14ac:dyDescent="0.35">
      <c r="A65" s="39" t="s">
        <v>250</v>
      </c>
      <c r="B65" s="20"/>
      <c r="C65" s="213"/>
      <c r="D65" s="213"/>
      <c r="E65" s="213">
        <v>2819</v>
      </c>
      <c r="F65" s="213"/>
      <c r="G65" s="213"/>
      <c r="H65" s="213"/>
      <c r="I65" s="213"/>
      <c r="J65" s="213"/>
      <c r="K65" s="213"/>
      <c r="L65" s="213">
        <v>118203</v>
      </c>
      <c r="M65" s="213"/>
      <c r="N65" s="213"/>
      <c r="O65" s="213"/>
      <c r="P65" s="214"/>
      <c r="Q65" s="214"/>
      <c r="R65" s="214"/>
      <c r="S65" s="228">
        <v>27244</v>
      </c>
      <c r="T65" s="228"/>
      <c r="U65" s="227">
        <v>184994</v>
      </c>
      <c r="V65" s="214">
        <v>462</v>
      </c>
      <c r="W65" s="214"/>
      <c r="X65" s="214"/>
      <c r="Y65" s="214">
        <v>2341</v>
      </c>
      <c r="Z65" s="214"/>
      <c r="AA65" s="214"/>
      <c r="AB65" s="239">
        <v>76505</v>
      </c>
      <c r="AC65" s="214"/>
      <c r="AD65" s="214"/>
      <c r="AE65" s="214">
        <v>2055</v>
      </c>
      <c r="AF65" s="214"/>
      <c r="AG65" s="214">
        <v>29094</v>
      </c>
      <c r="AH65" s="214"/>
      <c r="AI65" s="214"/>
      <c r="AJ65" s="214">
        <v>36522</v>
      </c>
      <c r="AK65" s="214"/>
      <c r="AL65" s="214"/>
      <c r="AM65" s="214"/>
      <c r="AN65" s="214"/>
      <c r="AO65" s="214">
        <v>700</v>
      </c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76001</v>
      </c>
      <c r="AZ65" s="214"/>
      <c r="BA65" s="228">
        <v>19085</v>
      </c>
      <c r="BB65" s="228">
        <v>1934</v>
      </c>
      <c r="BC65" s="228"/>
      <c r="BD65" s="228"/>
      <c r="BE65" s="214">
        <v>38259</v>
      </c>
      <c r="BF65" s="228">
        <v>14268</v>
      </c>
      <c r="BG65" s="228"/>
      <c r="BH65" s="228">
        <v>26723</v>
      </c>
      <c r="BI65" s="228"/>
      <c r="BJ65" s="228">
        <v>5245</v>
      </c>
      <c r="BK65" s="228"/>
      <c r="BL65" s="228"/>
      <c r="BM65" s="228"/>
      <c r="BN65" s="228">
        <v>15528</v>
      </c>
      <c r="BO65" s="228"/>
      <c r="BP65" s="228"/>
      <c r="BQ65" s="228"/>
      <c r="BR65" s="228">
        <v>448</v>
      </c>
      <c r="BS65" s="228"/>
      <c r="BT65" s="228"/>
      <c r="BU65" s="228"/>
      <c r="BV65" s="228">
        <v>3294</v>
      </c>
      <c r="BW65" s="228"/>
      <c r="BX65" s="228"/>
      <c r="BY65" s="228">
        <v>127962</v>
      </c>
      <c r="BZ65" s="228"/>
      <c r="CA65" s="228"/>
      <c r="CB65" s="228"/>
      <c r="CC65" s="228"/>
      <c r="CD65" s="29" t="s">
        <v>233</v>
      </c>
      <c r="CE65" s="32">
        <f t="shared" si="4"/>
        <v>809686</v>
      </c>
    </row>
    <row r="66" spans="1:83" x14ac:dyDescent="0.35">
      <c r="A66" s="39" t="s">
        <v>251</v>
      </c>
      <c r="B66" s="20"/>
      <c r="C66" s="213"/>
      <c r="D66" s="213"/>
      <c r="E66" s="213">
        <v>24</v>
      </c>
      <c r="F66" s="213"/>
      <c r="G66" s="213"/>
      <c r="H66" s="213"/>
      <c r="I66" s="213"/>
      <c r="J66" s="213"/>
      <c r="K66" s="213"/>
      <c r="L66" s="213">
        <v>1019</v>
      </c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>
        <v>1073</v>
      </c>
      <c r="AH66" s="214"/>
      <c r="AI66" s="214"/>
      <c r="AJ66" s="214"/>
      <c r="AK66" s="214"/>
      <c r="AL66" s="214"/>
      <c r="AM66" s="214"/>
      <c r="AN66" s="214"/>
      <c r="AO66" s="214">
        <v>6</v>
      </c>
      <c r="AP66" s="214"/>
      <c r="AQ66" s="214"/>
      <c r="AR66" s="214"/>
      <c r="AS66" s="214"/>
      <c r="AT66" s="214"/>
      <c r="AU66" s="214"/>
      <c r="AV66" s="228"/>
      <c r="AW66" s="228"/>
      <c r="AX66" s="228"/>
      <c r="AY66" s="214">
        <v>2384</v>
      </c>
      <c r="AZ66" s="214"/>
      <c r="BA66" s="228">
        <v>282</v>
      </c>
      <c r="BB66" s="228"/>
      <c r="BC66" s="228"/>
      <c r="BD66" s="228"/>
      <c r="BE66" s="214">
        <v>116197</v>
      </c>
      <c r="BF66" s="228"/>
      <c r="BG66" s="228"/>
      <c r="BH66" s="228">
        <v>43760</v>
      </c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>
        <v>1837</v>
      </c>
      <c r="BZ66" s="228"/>
      <c r="CA66" s="228"/>
      <c r="CB66" s="228"/>
      <c r="CC66" s="228"/>
      <c r="CD66" s="29" t="s">
        <v>233</v>
      </c>
      <c r="CE66" s="32">
        <f t="shared" si="4"/>
        <v>166582</v>
      </c>
    </row>
    <row r="67" spans="1:83" x14ac:dyDescent="0.35">
      <c r="A67" s="39" t="s">
        <v>252</v>
      </c>
      <c r="B67" s="20"/>
      <c r="C67" s="213"/>
      <c r="D67" s="213"/>
      <c r="E67" s="213">
        <v>490</v>
      </c>
      <c r="F67" s="213"/>
      <c r="G67" s="213"/>
      <c r="H67" s="213"/>
      <c r="I67" s="213"/>
      <c r="J67" s="213"/>
      <c r="K67" s="213"/>
      <c r="L67" s="213">
        <v>20549</v>
      </c>
      <c r="M67" s="213"/>
      <c r="N67" s="213"/>
      <c r="O67" s="213"/>
      <c r="P67" s="214"/>
      <c r="Q67" s="214"/>
      <c r="R67" s="214"/>
      <c r="S67" s="228"/>
      <c r="T67" s="228"/>
      <c r="U67" s="227">
        <v>258318</v>
      </c>
      <c r="V67" s="214">
        <v>2974</v>
      </c>
      <c r="W67" s="214"/>
      <c r="X67" s="214"/>
      <c r="Y67" s="214">
        <v>15077</v>
      </c>
      <c r="Z67" s="214"/>
      <c r="AA67" s="214"/>
      <c r="AB67" s="239">
        <v>9041</v>
      </c>
      <c r="AC67" s="214"/>
      <c r="AD67" s="214"/>
      <c r="AE67" s="214"/>
      <c r="AF67" s="214"/>
      <c r="AG67" s="214">
        <v>39</v>
      </c>
      <c r="AH67" s="214"/>
      <c r="AI67" s="214"/>
      <c r="AJ67" s="214"/>
      <c r="AK67" s="214"/>
      <c r="AL67" s="214"/>
      <c r="AM67" s="214"/>
      <c r="AN67" s="214"/>
      <c r="AO67" s="214">
        <v>122</v>
      </c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1306</v>
      </c>
      <c r="AZ67" s="214"/>
      <c r="BA67" s="228">
        <v>149</v>
      </c>
      <c r="BB67" s="228"/>
      <c r="BC67" s="228"/>
      <c r="BD67" s="228"/>
      <c r="BE67" s="214">
        <v>23401</v>
      </c>
      <c r="BF67" s="228">
        <v>220</v>
      </c>
      <c r="BG67" s="228"/>
      <c r="BH67" s="228">
        <v>107904</v>
      </c>
      <c r="BI67" s="228"/>
      <c r="BJ67" s="228">
        <v>53</v>
      </c>
      <c r="BK67" s="228"/>
      <c r="BL67" s="228"/>
      <c r="BM67" s="228"/>
      <c r="BN67" s="228">
        <v>26359</v>
      </c>
      <c r="BO67" s="228"/>
      <c r="BP67" s="228"/>
      <c r="BQ67" s="228"/>
      <c r="BR67" s="228">
        <v>149</v>
      </c>
      <c r="BS67" s="228"/>
      <c r="BT67" s="228"/>
      <c r="BU67" s="228"/>
      <c r="BV67" s="228">
        <v>70</v>
      </c>
      <c r="BW67" s="228"/>
      <c r="BX67" s="228"/>
      <c r="BY67" s="228">
        <v>77204</v>
      </c>
      <c r="BZ67" s="228"/>
      <c r="CA67" s="228"/>
      <c r="CB67" s="228"/>
      <c r="CC67" s="228"/>
      <c r="CD67" s="29" t="s">
        <v>233</v>
      </c>
      <c r="CE67" s="32">
        <f t="shared" si="4"/>
        <v>543425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2062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86552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2596</v>
      </c>
      <c r="T68" s="32">
        <f t="shared" si="7"/>
        <v>0</v>
      </c>
      <c r="U68" s="32">
        <f t="shared" si="7"/>
        <v>5327</v>
      </c>
      <c r="V68" s="32">
        <f t="shared" si="7"/>
        <v>235</v>
      </c>
      <c r="W68" s="32">
        <f t="shared" si="7"/>
        <v>0</v>
      </c>
      <c r="X68" s="32">
        <f t="shared" si="7"/>
        <v>0</v>
      </c>
      <c r="Y68" s="32">
        <f t="shared" si="7"/>
        <v>1194</v>
      </c>
      <c r="Z68" s="32">
        <f t="shared" si="7"/>
        <v>0</v>
      </c>
      <c r="AA68" s="32">
        <f t="shared" si="7"/>
        <v>0</v>
      </c>
      <c r="AB68" s="32">
        <f t="shared" si="7"/>
        <v>516</v>
      </c>
      <c r="AC68" s="32">
        <f t="shared" si="7"/>
        <v>0</v>
      </c>
      <c r="AD68" s="32">
        <f t="shared" si="7"/>
        <v>0</v>
      </c>
      <c r="AE68" s="32">
        <f t="shared" si="7"/>
        <v>4531</v>
      </c>
      <c r="AF68" s="32">
        <f t="shared" si="7"/>
        <v>0</v>
      </c>
      <c r="AG68" s="32">
        <f t="shared" si="7"/>
        <v>5707</v>
      </c>
      <c r="AH68" s="32">
        <f t="shared" si="7"/>
        <v>0</v>
      </c>
      <c r="AI68" s="32">
        <f t="shared" si="7"/>
        <v>0</v>
      </c>
      <c r="AJ68" s="32">
        <f t="shared" si="7"/>
        <v>9370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516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7742</v>
      </c>
      <c r="AZ68" s="32">
        <f t="shared" si="7"/>
        <v>0</v>
      </c>
      <c r="BA68" s="32">
        <f t="shared" si="7"/>
        <v>6720</v>
      </c>
      <c r="BB68" s="32">
        <f t="shared" si="7"/>
        <v>904</v>
      </c>
      <c r="BC68" s="32">
        <f t="shared" si="7"/>
        <v>0</v>
      </c>
      <c r="BD68" s="32">
        <f t="shared" si="7"/>
        <v>0</v>
      </c>
      <c r="BE68" s="32">
        <f t="shared" si="7"/>
        <v>15854</v>
      </c>
      <c r="BF68" s="32">
        <f t="shared" si="7"/>
        <v>1890</v>
      </c>
      <c r="BG68" s="32">
        <f t="shared" si="7"/>
        <v>0</v>
      </c>
      <c r="BH68" s="32">
        <f t="shared" si="7"/>
        <v>3799</v>
      </c>
      <c r="BI68" s="32">
        <f t="shared" si="7"/>
        <v>0</v>
      </c>
      <c r="BJ68" s="32">
        <f t="shared" si="7"/>
        <v>6231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20575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1908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3220</v>
      </c>
      <c r="BW68" s="32">
        <f t="shared" si="8"/>
        <v>0</v>
      </c>
      <c r="BX68" s="32">
        <f t="shared" si="8"/>
        <v>0</v>
      </c>
      <c r="BY68" s="32">
        <f t="shared" si="8"/>
        <v>1782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189231</v>
      </c>
    </row>
    <row r="69" spans="1:83" x14ac:dyDescent="0.35">
      <c r="A69" s="39" t="s">
        <v>253</v>
      </c>
      <c r="B69" s="32"/>
      <c r="C69" s="213"/>
      <c r="D69" s="213"/>
      <c r="E69" s="213">
        <v>440</v>
      </c>
      <c r="F69" s="213"/>
      <c r="G69" s="213"/>
      <c r="H69" s="213"/>
      <c r="I69" s="213"/>
      <c r="J69" s="213"/>
      <c r="K69" s="213"/>
      <c r="L69" s="213">
        <v>18468</v>
      </c>
      <c r="M69" s="213"/>
      <c r="N69" s="213"/>
      <c r="O69" s="213"/>
      <c r="P69" s="214"/>
      <c r="Q69" s="214"/>
      <c r="R69" s="214"/>
      <c r="S69" s="228"/>
      <c r="T69" s="228"/>
      <c r="U69" s="227">
        <v>3399</v>
      </c>
      <c r="V69" s="214"/>
      <c r="W69" s="214"/>
      <c r="X69" s="214"/>
      <c r="Y69" s="214"/>
      <c r="Z69" s="214"/>
      <c r="AA69" s="214"/>
      <c r="AB69" s="239"/>
      <c r="AC69" s="214"/>
      <c r="AD69" s="214"/>
      <c r="AE69" s="214"/>
      <c r="AF69" s="214"/>
      <c r="AG69" s="214">
        <v>6553</v>
      </c>
      <c r="AH69" s="214"/>
      <c r="AI69" s="214"/>
      <c r="AJ69" s="214">
        <v>3572</v>
      </c>
      <c r="AK69" s="214"/>
      <c r="AL69" s="214"/>
      <c r="AM69" s="214"/>
      <c r="AN69" s="214"/>
      <c r="AO69" s="214">
        <v>109</v>
      </c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4875</v>
      </c>
      <c r="BF69" s="228"/>
      <c r="BG69" s="228"/>
      <c r="BH69" s="228"/>
      <c r="BI69" s="228"/>
      <c r="BJ69" s="228">
        <v>3829</v>
      </c>
      <c r="BK69" s="228"/>
      <c r="BL69" s="228"/>
      <c r="BM69" s="228"/>
      <c r="BN69" s="228">
        <v>6264</v>
      </c>
      <c r="BO69" s="228"/>
      <c r="BP69" s="228"/>
      <c r="BQ69" s="228"/>
      <c r="BR69" s="228"/>
      <c r="BS69" s="228"/>
      <c r="BT69" s="228"/>
      <c r="BU69" s="228"/>
      <c r="BV69" s="228">
        <v>1727</v>
      </c>
      <c r="BW69" s="228"/>
      <c r="BX69" s="228"/>
      <c r="BY69" s="228">
        <v>102147</v>
      </c>
      <c r="BZ69" s="228"/>
      <c r="CA69" s="228"/>
      <c r="CB69" s="228"/>
      <c r="CC69" s="228"/>
      <c r="CD69" s="29" t="s">
        <v>233</v>
      </c>
      <c r="CE69" s="32">
        <f t="shared" si="4"/>
        <v>151383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468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19620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6554</v>
      </c>
      <c r="V70" s="32">
        <f t="shared" si="9"/>
        <v>50</v>
      </c>
      <c r="W70" s="32">
        <f t="shared" si="9"/>
        <v>0</v>
      </c>
      <c r="X70" s="32">
        <f t="shared" si="9"/>
        <v>0</v>
      </c>
      <c r="Y70" s="32">
        <f t="shared" si="9"/>
        <v>251</v>
      </c>
      <c r="Z70" s="32">
        <f t="shared" si="9"/>
        <v>0</v>
      </c>
      <c r="AA70" s="32">
        <f t="shared" si="9"/>
        <v>0</v>
      </c>
      <c r="AB70" s="32">
        <f t="shared" si="9"/>
        <v>141</v>
      </c>
      <c r="AC70" s="32">
        <f t="shared" si="9"/>
        <v>0</v>
      </c>
      <c r="AD70" s="32">
        <f t="shared" si="9"/>
        <v>0</v>
      </c>
      <c r="AE70" s="32">
        <f t="shared" si="9"/>
        <v>1182</v>
      </c>
      <c r="AF70" s="32">
        <f t="shared" si="9"/>
        <v>0</v>
      </c>
      <c r="AG70" s="32">
        <f t="shared" si="9"/>
        <v>7808</v>
      </c>
      <c r="AH70" s="32">
        <f t="shared" si="9"/>
        <v>0</v>
      </c>
      <c r="AI70" s="32">
        <f t="shared" si="9"/>
        <v>0</v>
      </c>
      <c r="AJ70" s="32">
        <f t="shared" si="9"/>
        <v>6784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116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415</v>
      </c>
      <c r="AZ70" s="32">
        <f t="shared" si="9"/>
        <v>0</v>
      </c>
      <c r="BA70" s="32">
        <f t="shared" si="9"/>
        <v>0</v>
      </c>
      <c r="BB70" s="32">
        <f t="shared" si="9"/>
        <v>250</v>
      </c>
      <c r="BC70" s="32">
        <f t="shared" si="9"/>
        <v>0</v>
      </c>
      <c r="BD70" s="32">
        <f t="shared" si="9"/>
        <v>0</v>
      </c>
      <c r="BE70" s="32">
        <f t="shared" si="9"/>
        <v>341</v>
      </c>
      <c r="BF70" s="32">
        <f t="shared" si="9"/>
        <v>15</v>
      </c>
      <c r="BG70" s="32">
        <f t="shared" si="9"/>
        <v>0</v>
      </c>
      <c r="BH70" s="32">
        <f t="shared" si="9"/>
        <v>37140</v>
      </c>
      <c r="BI70" s="32">
        <f t="shared" si="9"/>
        <v>0</v>
      </c>
      <c r="BJ70" s="32">
        <f t="shared" si="9"/>
        <v>30991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71948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9112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549</v>
      </c>
      <c r="BW70" s="32">
        <f t="shared" si="10"/>
        <v>0</v>
      </c>
      <c r="BX70" s="32">
        <f t="shared" si="10"/>
        <v>0</v>
      </c>
      <c r="BY70" s="32">
        <f t="shared" si="10"/>
        <v>2013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209770</v>
      </c>
      <c r="CE70" s="32">
        <f>SUM(CE71:CE85)</f>
        <v>2379708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468</v>
      </c>
      <c r="F84" s="30"/>
      <c r="G84" s="24"/>
      <c r="H84" s="24"/>
      <c r="I84" s="30"/>
      <c r="J84" s="30"/>
      <c r="K84" s="30"/>
      <c r="L84" s="30">
        <v>19620</v>
      </c>
      <c r="M84" s="24"/>
      <c r="N84" s="24"/>
      <c r="O84" s="24"/>
      <c r="P84" s="30"/>
      <c r="Q84" s="30"/>
      <c r="R84" s="31"/>
      <c r="S84" s="30"/>
      <c r="T84" s="24"/>
      <c r="U84" s="30">
        <v>6554</v>
      </c>
      <c r="V84" s="30">
        <v>50</v>
      </c>
      <c r="W84" s="24"/>
      <c r="X84" s="30"/>
      <c r="Y84" s="30">
        <v>251</v>
      </c>
      <c r="Z84" s="30"/>
      <c r="AA84" s="30"/>
      <c r="AB84" s="30">
        <v>141</v>
      </c>
      <c r="AC84" s="30"/>
      <c r="AD84" s="30"/>
      <c r="AE84" s="30">
        <v>1182</v>
      </c>
      <c r="AF84" s="30"/>
      <c r="AG84" s="30">
        <v>7808</v>
      </c>
      <c r="AH84" s="30"/>
      <c r="AI84" s="30"/>
      <c r="AJ84" s="30">
        <v>6784</v>
      </c>
      <c r="AK84" s="30"/>
      <c r="AL84" s="30"/>
      <c r="AM84" s="30"/>
      <c r="AN84" s="30"/>
      <c r="AO84" s="24">
        <v>116</v>
      </c>
      <c r="AP84" s="30"/>
      <c r="AQ84" s="24"/>
      <c r="AR84" s="24"/>
      <c r="AS84" s="24"/>
      <c r="AT84" s="24"/>
      <c r="AU84" s="30"/>
      <c r="AV84" s="30"/>
      <c r="AW84" s="30"/>
      <c r="AX84" s="30"/>
      <c r="AY84" s="30">
        <v>415</v>
      </c>
      <c r="AZ84" s="30"/>
      <c r="BA84" s="30"/>
      <c r="BB84" s="30">
        <v>250</v>
      </c>
      <c r="BC84" s="30"/>
      <c r="BD84" s="30"/>
      <c r="BE84" s="30">
        <v>341</v>
      </c>
      <c r="BF84" s="30">
        <v>15</v>
      </c>
      <c r="BG84" s="30"/>
      <c r="BH84" s="31">
        <v>37140</v>
      </c>
      <c r="BI84" s="30"/>
      <c r="BJ84" s="30">
        <v>30991</v>
      </c>
      <c r="BK84" s="30"/>
      <c r="BL84" s="30"/>
      <c r="BM84" s="30"/>
      <c r="BN84" s="30">
        <v>71948</v>
      </c>
      <c r="BO84" s="30"/>
      <c r="BP84" s="30"/>
      <c r="BQ84" s="30"/>
      <c r="BR84" s="30">
        <v>9112</v>
      </c>
      <c r="BS84" s="30"/>
      <c r="BT84" s="30"/>
      <c r="BU84" s="30"/>
      <c r="BV84" s="30">
        <v>549</v>
      </c>
      <c r="BW84" s="30"/>
      <c r="BX84" s="30"/>
      <c r="BY84" s="30">
        <v>2013</v>
      </c>
      <c r="BZ84" s="30"/>
      <c r="CA84" s="30"/>
      <c r="CB84" s="30"/>
      <c r="CC84" s="30"/>
      <c r="CD84" s="35">
        <v>209770</v>
      </c>
      <c r="CE84" s="32">
        <f t="shared" si="11"/>
        <v>405518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>
        <v>1974190</v>
      </c>
      <c r="CE85" s="32">
        <f t="shared" si="11"/>
        <v>1974190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80707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3384610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95067</v>
      </c>
      <c r="T86" s="32">
        <f t="shared" si="12"/>
        <v>0</v>
      </c>
      <c r="U86" s="32">
        <f t="shared" si="12"/>
        <v>885462</v>
      </c>
      <c r="V86" s="32">
        <f t="shared" si="12"/>
        <v>11153</v>
      </c>
      <c r="W86" s="32">
        <f t="shared" si="12"/>
        <v>0</v>
      </c>
      <c r="X86" s="32">
        <f t="shared" si="12"/>
        <v>0</v>
      </c>
      <c r="Y86" s="32">
        <f t="shared" si="12"/>
        <v>433133</v>
      </c>
      <c r="Z86" s="32">
        <f t="shared" si="12"/>
        <v>0</v>
      </c>
      <c r="AA86" s="32">
        <f t="shared" si="12"/>
        <v>0</v>
      </c>
      <c r="AB86" s="32">
        <f t="shared" si="12"/>
        <v>225360</v>
      </c>
      <c r="AC86" s="32">
        <f t="shared" si="12"/>
        <v>0</v>
      </c>
      <c r="AD86" s="32">
        <f t="shared" si="12"/>
        <v>0</v>
      </c>
      <c r="AE86" s="32">
        <f t="shared" si="12"/>
        <v>264952</v>
      </c>
      <c r="AF86" s="32">
        <f t="shared" si="12"/>
        <v>0</v>
      </c>
      <c r="AG86" s="32">
        <f t="shared" si="12"/>
        <v>946512</v>
      </c>
      <c r="AH86" s="32">
        <f t="shared" si="12"/>
        <v>0</v>
      </c>
      <c r="AI86" s="32">
        <f t="shared" si="12"/>
        <v>0</v>
      </c>
      <c r="AJ86" s="32">
        <f t="shared" si="12"/>
        <v>868111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20051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458723</v>
      </c>
      <c r="AZ86" s="32">
        <f t="shared" si="12"/>
        <v>0</v>
      </c>
      <c r="BA86" s="32">
        <f t="shared" si="12"/>
        <v>55886</v>
      </c>
      <c r="BB86" s="32">
        <f t="shared" si="12"/>
        <v>146675</v>
      </c>
      <c r="BC86" s="32">
        <f t="shared" si="12"/>
        <v>0</v>
      </c>
      <c r="BD86" s="32">
        <f t="shared" si="12"/>
        <v>0</v>
      </c>
      <c r="BE86" s="32">
        <f t="shared" si="12"/>
        <v>379186</v>
      </c>
      <c r="BF86" s="32">
        <f t="shared" si="12"/>
        <v>247296</v>
      </c>
      <c r="BG86" s="32">
        <f t="shared" si="12"/>
        <v>0</v>
      </c>
      <c r="BH86" s="32">
        <f t="shared" si="12"/>
        <v>281853</v>
      </c>
      <c r="BI86" s="32">
        <f t="shared" si="12"/>
        <v>0</v>
      </c>
      <c r="BJ86" s="32">
        <f t="shared" si="12"/>
        <v>197667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501909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127865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651762</v>
      </c>
      <c r="BW86" s="32">
        <f t="shared" si="13"/>
        <v>0</v>
      </c>
      <c r="BX86" s="32">
        <f t="shared" si="13"/>
        <v>0</v>
      </c>
      <c r="BY86" s="32">
        <f t="shared" si="13"/>
        <v>614510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-1764420</v>
      </c>
      <c r="CE86" s="32">
        <f t="shared" si="11"/>
        <v>9114030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1083582</v>
      </c>
    </row>
    <row r="88" spans="1:84" x14ac:dyDescent="0.35">
      <c r="A88" s="26" t="s">
        <v>272</v>
      </c>
      <c r="B88" s="20"/>
      <c r="C88" s="213"/>
      <c r="D88" s="213"/>
      <c r="E88" s="213">
        <v>240532</v>
      </c>
      <c r="F88" s="213"/>
      <c r="G88" s="213"/>
      <c r="H88" s="213"/>
      <c r="I88" s="213"/>
      <c r="J88" s="213"/>
      <c r="K88" s="213"/>
      <c r="L88" s="213">
        <v>1579829</v>
      </c>
      <c r="M88" s="213"/>
      <c r="N88" s="213"/>
      <c r="O88" s="213"/>
      <c r="P88" s="213"/>
      <c r="Q88" s="213"/>
      <c r="R88" s="213"/>
      <c r="S88" s="213">
        <v>23420</v>
      </c>
      <c r="T88" s="213"/>
      <c r="U88" s="213">
        <v>94026</v>
      </c>
      <c r="V88" s="213">
        <v>882</v>
      </c>
      <c r="W88" s="213"/>
      <c r="X88" s="213"/>
      <c r="Y88" s="213">
        <v>26757</v>
      </c>
      <c r="Z88" s="213"/>
      <c r="AA88" s="213"/>
      <c r="AB88" s="213">
        <v>184258</v>
      </c>
      <c r="AC88" s="213"/>
      <c r="AD88" s="213"/>
      <c r="AE88" s="213">
        <v>35540</v>
      </c>
      <c r="AF88" s="213"/>
      <c r="AG88" s="213">
        <v>695</v>
      </c>
      <c r="AH88" s="213"/>
      <c r="AI88" s="213"/>
      <c r="AJ88" s="213"/>
      <c r="AK88" s="213"/>
      <c r="AL88" s="213"/>
      <c r="AM88" s="213"/>
      <c r="AN88" s="213"/>
      <c r="AO88" s="213">
        <v>38413</v>
      </c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2224352</v>
      </c>
    </row>
    <row r="89" spans="1:84" x14ac:dyDescent="0.35">
      <c r="A89" s="26" t="s">
        <v>273</v>
      </c>
      <c r="B89" s="20"/>
      <c r="C89" s="213"/>
      <c r="D89" s="213"/>
      <c r="E89" s="213">
        <v>17244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>
        <v>7484</v>
      </c>
      <c r="T89" s="213"/>
      <c r="U89" s="213">
        <v>1830788</v>
      </c>
      <c r="V89" s="213">
        <v>85812</v>
      </c>
      <c r="W89" s="213"/>
      <c r="X89" s="213"/>
      <c r="Y89" s="213">
        <v>412821</v>
      </c>
      <c r="Z89" s="213"/>
      <c r="AA89" s="213"/>
      <c r="AB89" s="213">
        <v>271595</v>
      </c>
      <c r="AC89" s="213"/>
      <c r="AD89" s="213"/>
      <c r="AE89" s="213">
        <v>371945</v>
      </c>
      <c r="AF89" s="213"/>
      <c r="AG89" s="213">
        <v>1395998</v>
      </c>
      <c r="AH89" s="213"/>
      <c r="AI89" s="213"/>
      <c r="AJ89" s="213">
        <v>541651</v>
      </c>
      <c r="AK89" s="213"/>
      <c r="AL89" s="213"/>
      <c r="AM89" s="213"/>
      <c r="AN89" s="213"/>
      <c r="AO89" s="213">
        <v>365394</v>
      </c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5300732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257776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1579829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30904</v>
      </c>
      <c r="T90" s="32">
        <f t="shared" si="15"/>
        <v>0</v>
      </c>
      <c r="U90" s="32">
        <f t="shared" si="15"/>
        <v>1924814</v>
      </c>
      <c r="V90" s="32">
        <f t="shared" si="15"/>
        <v>86694</v>
      </c>
      <c r="W90" s="32">
        <f t="shared" si="15"/>
        <v>0</v>
      </c>
      <c r="X90" s="32">
        <f t="shared" si="15"/>
        <v>0</v>
      </c>
      <c r="Y90" s="32">
        <f t="shared" si="15"/>
        <v>439578</v>
      </c>
      <c r="Z90" s="32">
        <f t="shared" si="15"/>
        <v>0</v>
      </c>
      <c r="AA90" s="32">
        <f t="shared" si="15"/>
        <v>0</v>
      </c>
      <c r="AB90" s="32">
        <f t="shared" si="15"/>
        <v>455853</v>
      </c>
      <c r="AC90" s="32">
        <f t="shared" si="15"/>
        <v>0</v>
      </c>
      <c r="AD90" s="32">
        <f t="shared" si="15"/>
        <v>0</v>
      </c>
      <c r="AE90" s="32">
        <f t="shared" si="15"/>
        <v>407485</v>
      </c>
      <c r="AF90" s="32">
        <f t="shared" si="15"/>
        <v>0</v>
      </c>
      <c r="AG90" s="32">
        <f t="shared" si="15"/>
        <v>1396693</v>
      </c>
      <c r="AH90" s="32">
        <f t="shared" si="15"/>
        <v>0</v>
      </c>
      <c r="AI90" s="32">
        <f t="shared" si="15"/>
        <v>0</v>
      </c>
      <c r="AJ90" s="32">
        <f t="shared" si="15"/>
        <v>541651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403807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7525084</v>
      </c>
    </row>
    <row r="91" spans="1:84" x14ac:dyDescent="0.35">
      <c r="A91" s="39" t="s">
        <v>275</v>
      </c>
      <c r="B91" s="32"/>
      <c r="C91" s="213"/>
      <c r="D91" s="213"/>
      <c r="E91" s="213">
        <v>228</v>
      </c>
      <c r="F91" s="213"/>
      <c r="G91" s="213"/>
      <c r="H91" s="213"/>
      <c r="I91" s="213"/>
      <c r="J91" s="213"/>
      <c r="K91" s="213"/>
      <c r="L91" s="213">
        <v>9570</v>
      </c>
      <c r="M91" s="213"/>
      <c r="N91" s="213"/>
      <c r="O91" s="213"/>
      <c r="P91" s="213"/>
      <c r="Q91" s="213"/>
      <c r="R91" s="213"/>
      <c r="S91" s="213">
        <v>287</v>
      </c>
      <c r="T91" s="213"/>
      <c r="U91" s="213">
        <v>589</v>
      </c>
      <c r="V91" s="213">
        <v>26</v>
      </c>
      <c r="W91" s="213"/>
      <c r="X91" s="213"/>
      <c r="Y91" s="213">
        <v>132</v>
      </c>
      <c r="Z91" s="213"/>
      <c r="AA91" s="213"/>
      <c r="AB91" s="213">
        <v>57</v>
      </c>
      <c r="AC91" s="213"/>
      <c r="AD91" s="213"/>
      <c r="AE91" s="213">
        <v>501</v>
      </c>
      <c r="AF91" s="213"/>
      <c r="AG91" s="213">
        <v>631</v>
      </c>
      <c r="AH91" s="213"/>
      <c r="AI91" s="213"/>
      <c r="AJ91" s="213">
        <v>1036</v>
      </c>
      <c r="AK91" s="213"/>
      <c r="AL91" s="213"/>
      <c r="AM91" s="213"/>
      <c r="AN91" s="213"/>
      <c r="AO91" s="213">
        <v>57</v>
      </c>
      <c r="AP91" s="213"/>
      <c r="AQ91" s="213"/>
      <c r="AR91" s="213"/>
      <c r="AS91" s="213"/>
      <c r="AT91" s="213"/>
      <c r="AU91" s="213"/>
      <c r="AV91" s="213"/>
      <c r="AW91" s="213"/>
      <c r="AX91" s="213"/>
      <c r="AY91" s="213">
        <v>856</v>
      </c>
      <c r="AZ91" s="213"/>
      <c r="BA91" s="213">
        <v>743</v>
      </c>
      <c r="BB91" s="213">
        <v>100</v>
      </c>
      <c r="BC91" s="213"/>
      <c r="BD91" s="213"/>
      <c r="BE91" s="213">
        <v>1753</v>
      </c>
      <c r="BF91" s="213">
        <v>209</v>
      </c>
      <c r="BG91" s="213"/>
      <c r="BH91" s="213">
        <v>420</v>
      </c>
      <c r="BI91" s="213"/>
      <c r="BJ91" s="213">
        <v>689</v>
      </c>
      <c r="BK91" s="213"/>
      <c r="BL91" s="213"/>
      <c r="BM91" s="213"/>
      <c r="BN91" s="213">
        <v>2275</v>
      </c>
      <c r="BO91" s="213"/>
      <c r="BP91" s="213"/>
      <c r="BQ91" s="213"/>
      <c r="BR91" s="213">
        <v>211</v>
      </c>
      <c r="BS91" s="213"/>
      <c r="BT91" s="213"/>
      <c r="BU91" s="213"/>
      <c r="BV91" s="213">
        <v>356</v>
      </c>
      <c r="BW91" s="213"/>
      <c r="BX91" s="213"/>
      <c r="BY91" s="213">
        <v>197</v>
      </c>
      <c r="BZ91" s="213"/>
      <c r="CA91" s="213"/>
      <c r="CB91" s="213"/>
      <c r="CC91" s="213"/>
      <c r="CD91" s="233" t="s">
        <v>233</v>
      </c>
      <c r="CE91" s="32">
        <f t="shared" si="14"/>
        <v>20923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>
        <v>445</v>
      </c>
      <c r="F92" s="213"/>
      <c r="G92" s="213"/>
      <c r="H92" s="213"/>
      <c r="I92" s="213"/>
      <c r="J92" s="213"/>
      <c r="K92" s="213"/>
      <c r="L92" s="213">
        <v>18682</v>
      </c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>
        <v>111</v>
      </c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19238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>
        <v>228</v>
      </c>
      <c r="F93" s="213"/>
      <c r="G93" s="213"/>
      <c r="H93" s="213"/>
      <c r="I93" s="213"/>
      <c r="J93" s="213"/>
      <c r="K93" s="213"/>
      <c r="L93" s="213">
        <v>9570</v>
      </c>
      <c r="M93" s="213"/>
      <c r="N93" s="213"/>
      <c r="O93" s="213"/>
      <c r="P93" s="213"/>
      <c r="Q93" s="213"/>
      <c r="R93" s="213"/>
      <c r="S93" s="213">
        <v>287</v>
      </c>
      <c r="T93" s="213"/>
      <c r="U93" s="213">
        <v>589</v>
      </c>
      <c r="V93" s="213">
        <v>26</v>
      </c>
      <c r="W93" s="213"/>
      <c r="X93" s="213"/>
      <c r="Y93" s="213">
        <v>132</v>
      </c>
      <c r="Z93" s="213"/>
      <c r="AA93" s="213"/>
      <c r="AB93" s="213">
        <v>57</v>
      </c>
      <c r="AC93" s="213"/>
      <c r="AD93" s="213"/>
      <c r="AE93" s="213">
        <v>501</v>
      </c>
      <c r="AF93" s="213"/>
      <c r="AG93" s="213">
        <v>631</v>
      </c>
      <c r="AH93" s="213"/>
      <c r="AI93" s="213"/>
      <c r="AJ93" s="213">
        <v>1036</v>
      </c>
      <c r="AK93" s="213"/>
      <c r="AL93" s="213"/>
      <c r="AM93" s="213"/>
      <c r="AN93" s="213"/>
      <c r="AO93" s="213">
        <v>57</v>
      </c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>
        <v>743</v>
      </c>
      <c r="BB93" s="213">
        <v>100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420</v>
      </c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356</v>
      </c>
      <c r="BW93" s="213"/>
      <c r="BX93" s="213"/>
      <c r="BY93" s="213">
        <v>197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14930</v>
      </c>
      <c r="CF93" s="20"/>
    </row>
    <row r="94" spans="1:84" x14ac:dyDescent="0.35">
      <c r="A94" s="26" t="s">
        <v>278</v>
      </c>
      <c r="B94" s="20"/>
      <c r="C94" s="213"/>
      <c r="D94" s="213"/>
      <c r="E94" s="213">
        <v>157</v>
      </c>
      <c r="F94" s="213"/>
      <c r="G94" s="213"/>
      <c r="H94" s="213"/>
      <c r="I94" s="213"/>
      <c r="J94" s="213"/>
      <c r="K94" s="213"/>
      <c r="L94" s="213">
        <v>6584</v>
      </c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>
        <v>39</v>
      </c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6780</v>
      </c>
      <c r="CF94" s="32">
        <f>BA60</f>
        <v>0</v>
      </c>
    </row>
    <row r="95" spans="1:84" x14ac:dyDescent="0.35">
      <c r="A95" s="26" t="s">
        <v>279</v>
      </c>
      <c r="B95" s="20"/>
      <c r="C95" s="242"/>
      <c r="D95" s="242"/>
      <c r="E95" s="242">
        <v>0.54</v>
      </c>
      <c r="F95" s="242"/>
      <c r="G95" s="242"/>
      <c r="H95" s="242"/>
      <c r="I95" s="242"/>
      <c r="J95" s="242"/>
      <c r="K95" s="242"/>
      <c r="L95" s="242">
        <v>22.74</v>
      </c>
      <c r="M95" s="242"/>
      <c r="N95" s="242"/>
      <c r="O95" s="242"/>
      <c r="P95" s="243"/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0</v>
      </c>
      <c r="AH95" s="243"/>
      <c r="AI95" s="243"/>
      <c r="AJ95" s="243">
        <v>2.73</v>
      </c>
      <c r="AK95" s="243"/>
      <c r="AL95" s="243"/>
      <c r="AM95" s="243"/>
      <c r="AN95" s="243"/>
      <c r="AO95" s="243">
        <v>0.13</v>
      </c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26.139999999999997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99347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7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9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9"/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5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42</v>
      </c>
      <c r="D128" s="220">
        <v>157</v>
      </c>
      <c r="E128" s="20"/>
    </row>
    <row r="129" spans="1:5" x14ac:dyDescent="0.35">
      <c r="A129" s="20" t="s">
        <v>311</v>
      </c>
      <c r="B129" s="46" t="s">
        <v>284</v>
      </c>
      <c r="C129" s="216">
        <v>330</v>
      </c>
      <c r="D129" s="220">
        <v>6584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25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29</v>
      </c>
      <c r="C155" s="50">
        <v>2</v>
      </c>
      <c r="D155" s="50">
        <v>11</v>
      </c>
      <c r="E155" s="32">
        <f>SUM(B155:D155)</f>
        <v>42</v>
      </c>
    </row>
    <row r="156" spans="1:6" x14ac:dyDescent="0.35">
      <c r="A156" s="20" t="s">
        <v>227</v>
      </c>
      <c r="B156" s="50">
        <v>81</v>
      </c>
      <c r="C156" s="50">
        <v>36</v>
      </c>
      <c r="D156" s="50">
        <v>40</v>
      </c>
      <c r="E156" s="32">
        <f>SUM(B156:D156)</f>
        <v>157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206347</v>
      </c>
      <c r="C158" s="50">
        <v>7628</v>
      </c>
      <c r="D158" s="50">
        <v>148865</v>
      </c>
      <c r="E158" s="32">
        <f>SUM(B158:D158)</f>
        <v>362840</v>
      </c>
      <c r="F158" s="18"/>
    </row>
    <row r="159" spans="1:6" x14ac:dyDescent="0.35">
      <c r="A159" s="20" t="s">
        <v>273</v>
      </c>
      <c r="B159" s="50">
        <v>2498173</v>
      </c>
      <c r="C159" s="50">
        <v>36803</v>
      </c>
      <c r="D159" s="50">
        <v>2765756</v>
      </c>
      <c r="E159" s="32">
        <f>SUM(B159:D159)</f>
        <v>5300732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59</v>
      </c>
      <c r="C161" s="50">
        <v>125</v>
      </c>
      <c r="D161" s="50">
        <v>146</v>
      </c>
      <c r="E161" s="32">
        <f>SUM(B161:D161)</f>
        <v>330</v>
      </c>
    </row>
    <row r="162" spans="1:5" x14ac:dyDescent="0.35">
      <c r="A162" s="20" t="s">
        <v>227</v>
      </c>
      <c r="B162" s="50">
        <v>311</v>
      </c>
      <c r="C162" s="50">
        <v>3157</v>
      </c>
      <c r="D162" s="50">
        <v>3116</v>
      </c>
      <c r="E162" s="32">
        <f>SUM(B162:D162)</f>
        <v>6584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394962</v>
      </c>
      <c r="C164" s="50">
        <v>727440</v>
      </c>
      <c r="D164" s="50">
        <v>739109</v>
      </c>
      <c r="E164" s="32">
        <f>SUM(B164:D164)</f>
        <v>1861511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974814</v>
      </c>
      <c r="C174" s="50">
        <v>303953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379668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20501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111967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641438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5633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39020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40297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1238524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151383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151383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13616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119210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132826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22481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42517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64998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11946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11946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83983</v>
      </c>
      <c r="C212" s="216"/>
      <c r="D212" s="220"/>
      <c r="E212" s="32">
        <f t="shared" ref="E212:E220" si="16">SUM(B212:C212)-D212</f>
        <v>83983</v>
      </c>
    </row>
    <row r="213" spans="1:5" x14ac:dyDescent="0.35">
      <c r="A213" s="20" t="s">
        <v>367</v>
      </c>
      <c r="B213" s="220">
        <v>234472</v>
      </c>
      <c r="C213" s="216"/>
      <c r="D213" s="220"/>
      <c r="E213" s="32">
        <f t="shared" si="16"/>
        <v>234472</v>
      </c>
    </row>
    <row r="214" spans="1:5" x14ac:dyDescent="0.35">
      <c r="A214" s="20" t="s">
        <v>368</v>
      </c>
      <c r="B214" s="220">
        <v>1462273</v>
      </c>
      <c r="C214" s="216">
        <v>49261</v>
      </c>
      <c r="D214" s="220"/>
      <c r="E214" s="32">
        <f t="shared" si="16"/>
        <v>1511534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964729</v>
      </c>
      <c r="C216" s="216">
        <v>137248</v>
      </c>
      <c r="D216" s="220"/>
      <c r="E216" s="32">
        <f t="shared" si="16"/>
        <v>1101977</v>
      </c>
    </row>
    <row r="217" spans="1:5" x14ac:dyDescent="0.35">
      <c r="A217" s="20" t="s">
        <v>371</v>
      </c>
      <c r="B217" s="220">
        <v>2564352</v>
      </c>
      <c r="C217" s="216">
        <v>668045</v>
      </c>
      <c r="D217" s="220"/>
      <c r="E217" s="32">
        <f t="shared" si="16"/>
        <v>3232397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179174</v>
      </c>
      <c r="C220" s="216">
        <v>9608</v>
      </c>
      <c r="D220" s="220"/>
      <c r="E220" s="32">
        <f t="shared" si="16"/>
        <v>188782</v>
      </c>
    </row>
    <row r="221" spans="1:5" x14ac:dyDescent="0.35">
      <c r="A221" s="20" t="s">
        <v>215</v>
      </c>
      <c r="B221" s="32">
        <f>SUM(B212:B220)</f>
        <v>5488983</v>
      </c>
      <c r="C221" s="265">
        <f>SUM(C212:C220)</f>
        <v>864162</v>
      </c>
      <c r="D221" s="32">
        <f>SUM(D212:D220)</f>
        <v>0</v>
      </c>
      <c r="E221" s="32">
        <f>SUM(E212:E220)</f>
        <v>6353145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234472</v>
      </c>
      <c r="C226" s="216"/>
      <c r="D226" s="220"/>
      <c r="E226" s="32">
        <f t="shared" ref="E226:E233" si="17">SUM(B226:C226)-D226</f>
        <v>234472</v>
      </c>
    </row>
    <row r="227" spans="1:5" x14ac:dyDescent="0.35">
      <c r="A227" s="20" t="s">
        <v>368</v>
      </c>
      <c r="B227" s="220">
        <v>1276430</v>
      </c>
      <c r="C227" s="216">
        <v>27742</v>
      </c>
      <c r="D227" s="220"/>
      <c r="E227" s="32">
        <f t="shared" si="17"/>
        <v>1304172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913325</v>
      </c>
      <c r="C229" s="216">
        <v>25205</v>
      </c>
      <c r="D229" s="220"/>
      <c r="E229" s="32">
        <f t="shared" si="17"/>
        <v>938530</v>
      </c>
    </row>
    <row r="230" spans="1:5" x14ac:dyDescent="0.35">
      <c r="A230" s="20" t="s">
        <v>371</v>
      </c>
      <c r="B230" s="220">
        <v>2190374</v>
      </c>
      <c r="C230" s="216">
        <v>136282</v>
      </c>
      <c r="D230" s="220"/>
      <c r="E230" s="32">
        <f t="shared" si="17"/>
        <v>2326656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4614601</v>
      </c>
      <c r="C234" s="265">
        <f>SUM(C225:C233)</f>
        <v>189229</v>
      </c>
      <c r="D234" s="32">
        <f>SUM(D225:D233)</f>
        <v>0</v>
      </c>
      <c r="E234" s="32">
        <f>SUM(E225:E233)</f>
        <v>4803830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7" t="s">
        <v>377</v>
      </c>
      <c r="C237" s="347"/>
      <c r="D237" s="38"/>
      <c r="E237" s="38"/>
    </row>
    <row r="238" spans="1:5" x14ac:dyDescent="0.35">
      <c r="A238" s="56" t="s">
        <v>377</v>
      </c>
      <c r="B238" s="38"/>
      <c r="C238" s="216">
        <v>240472</v>
      </c>
      <c r="D238" s="40">
        <f>C238</f>
        <v>240472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-4150236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35064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399710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-3715462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199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25537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60426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85963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-3389027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5878801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1502760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-881211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225000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309016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116674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34060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8947522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71157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71157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83983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234472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1511534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1101977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3232397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188782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6353145</v>
      </c>
      <c r="E292" s="20"/>
    </row>
    <row r="293" spans="1:5" x14ac:dyDescent="0.35">
      <c r="A293" s="20" t="s">
        <v>416</v>
      </c>
      <c r="B293" s="46" t="s">
        <v>284</v>
      </c>
      <c r="C293" s="47">
        <v>4803830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1549315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10567994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301731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285324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620157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31599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1238811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95694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95694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31599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64095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9265088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10567994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10567994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2224352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5300732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7525084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240472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-3715462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85963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-3389027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10914111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1974190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1974190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1083582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3057772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13971883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5635936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1238524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1947933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809686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166582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543425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189229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151383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132826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64998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11946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195748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195748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11088216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2883667</v>
      </c>
      <c r="E418" s="32"/>
    </row>
    <row r="419" spans="1:13" x14ac:dyDescent="0.35">
      <c r="A419" s="32" t="s">
        <v>508</v>
      </c>
      <c r="B419" s="20"/>
      <c r="C419" s="236">
        <v>565340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565340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3449007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3449007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19170</v>
      </c>
      <c r="E613" s="257">
        <f>SUM(C625:D648)+SUM(C669:D714)</f>
        <v>8628634.155242566</v>
      </c>
      <c r="F613" s="257">
        <f>CE65-(AX65+BD65+BE65+BG65+BJ65+BN65+BP65+BQ65+CB65+CC65+CD65)</f>
        <v>750654</v>
      </c>
      <c r="G613" s="255">
        <f>CE92-(AX92+AY92+BD92+BE92+BG92+BJ92+BN92+BP92+BQ92+CB92+CC92+CD92)</f>
        <v>19238</v>
      </c>
      <c r="H613" s="260">
        <f>CE61-(AX61+AY61+AZ61+BD61+BE61+BG61+BJ61+BN61+BO61+BP61+BQ61+BR61+CB61+CC61+CD61)</f>
        <v>61.050000000000011</v>
      </c>
      <c r="I613" s="255">
        <f>CE93-(AX93+AY93+AZ93+BD93+BE93+BF93+BG93+BJ93+BN93+BO93+BP93+BQ93+BR93+CB93+CC93+CD93)</f>
        <v>14930</v>
      </c>
      <c r="J613" s="255">
        <f>CE94-(AX94+AY94+AZ94+BA94+BD94+BE94+BF94+BG94+BJ94+BN94+BO94+BP94+BQ94+BR94+CB94+CC94+CD94)</f>
        <v>6780</v>
      </c>
      <c r="K613" s="255">
        <f>CE90-(AW90+AX90+AY90+AZ90+BA90+BB90+BC90+BD90+BE90+BF90+BG90+BH90+BI90+BJ90+BK90+BL90+BM90+BN90+BO90+BP90+BQ90+BR90+BS90+BT90+BU90+BV90+BW90+BX90+CB90+CC90+CD90)</f>
        <v>7525084</v>
      </c>
      <c r="L613" s="261">
        <f>CE95-(AW95+AX95+AY95+AZ95+BA95+BB95+BC95+BD95+BE95+BF95+BG95+BH95+BI95+BJ95+BK95+BL95+BM95+BN95+BO95+BP95+BQ95+BR95+BS95+BT95+BU95+BV95+BW95+BX95+BY95+BZ95+CA95+CB95+CC95+CD95)</f>
        <v>26.139999999999997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379186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-1764420</v>
      </c>
      <c r="D616" s="255">
        <f>SUM(C615:C616)</f>
        <v>-1385234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197667</v>
      </c>
      <c r="D618" s="255">
        <f>(D616/D613)*BJ91</f>
        <v>-49787.492227438699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501909</v>
      </c>
      <c r="D620" s="255">
        <f>(D616/D613)*BN91</f>
        <v>-164392.66301512779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0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485395.84475743352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0</v>
      </c>
      <c r="D625" s="255">
        <f>(D616/D613)*BD91</f>
        <v>0</v>
      </c>
      <c r="E625" s="257">
        <f>(E624/E613)*SUM(C625:D625)</f>
        <v>0</v>
      </c>
      <c r="F625" s="257">
        <f>SUM(C625:E625)</f>
        <v>0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458723</v>
      </c>
      <c r="D626" s="255">
        <f>(D616/D613)*AY91</f>
        <v>-61854.997600417315</v>
      </c>
      <c r="E626" s="257">
        <f>(E624/E613)*SUM(C626:D626)</f>
        <v>22325.442916698234</v>
      </c>
      <c r="F626" s="257">
        <f>(F625/F613)*AY65</f>
        <v>0</v>
      </c>
      <c r="G626" s="255">
        <f>SUM(C626:F626)</f>
        <v>419193.44531628094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127865</v>
      </c>
      <c r="D627" s="255">
        <f>(D616/D613)*BR91</f>
        <v>-15246.967866458006</v>
      </c>
      <c r="E627" s="257">
        <f>(E624/E613)*SUM(C627:D627)</f>
        <v>6335.2233805355609</v>
      </c>
      <c r="F627" s="257">
        <f>(F625/F613)*BR65</f>
        <v>0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0</v>
      </c>
      <c r="H629" s="257">
        <f>SUM(C627:G629)</f>
        <v>118953.25551407757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247296</v>
      </c>
      <c r="D630" s="255">
        <f>(D616/D613)*BF91</f>
        <v>-15102.446844027125</v>
      </c>
      <c r="E630" s="257">
        <f>(E624/E613)*SUM(C630:D630)</f>
        <v>13061.833872385929</v>
      </c>
      <c r="F630" s="257">
        <f>(F625/F613)*BF65</f>
        <v>0</v>
      </c>
      <c r="G630" s="255">
        <f>(G626/G613)*BF92</f>
        <v>0</v>
      </c>
      <c r="H630" s="257">
        <f>(H629/H613)*BF61</f>
        <v>9508.4666160310953</v>
      </c>
      <c r="I630" s="255">
        <f>SUM(C630:H630)</f>
        <v>254763.85364438992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55886</v>
      </c>
      <c r="D631" s="255">
        <f>(D616/D613)*BA91</f>
        <v>-53689.559833072504</v>
      </c>
      <c r="E631" s="257">
        <f>(E624/E613)*SUM(C631:D631)</f>
        <v>123.5587128974712</v>
      </c>
      <c r="F631" s="257">
        <f>(F625/F613)*BA65</f>
        <v>0</v>
      </c>
      <c r="G631" s="255">
        <f>(G626/G613)*BA92</f>
        <v>0</v>
      </c>
      <c r="H631" s="257">
        <f>(H629/H613)*BA61</f>
        <v>1188.5583270038869</v>
      </c>
      <c r="I631" s="255">
        <f>(I630/I613)*BA93</f>
        <v>12678.469072858788</v>
      </c>
      <c r="J631" s="255">
        <f>SUM(C631:I631)</f>
        <v>16187.026279687641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146675</v>
      </c>
      <c r="D633" s="255">
        <f>(D616/D613)*BB91</f>
        <v>-7226.0511215440783</v>
      </c>
      <c r="E633" s="257">
        <f>(E624/E613)*SUM(C633:D633)</f>
        <v>7844.5718202420921</v>
      </c>
      <c r="F633" s="257">
        <f>(F625/F613)*BB65</f>
        <v>0</v>
      </c>
      <c r="G633" s="255">
        <f>(G626/G613)*BB92</f>
        <v>0</v>
      </c>
      <c r="H633" s="257">
        <f>(H629/H613)*BB61</f>
        <v>3507.2212927983551</v>
      </c>
      <c r="I633" s="255">
        <f>(I630/I613)*BB93</f>
        <v>1706.3888388773605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0</v>
      </c>
      <c r="D636" s="255">
        <f>(D616/D613)*BK91</f>
        <v>0</v>
      </c>
      <c r="E636" s="257">
        <f>(E624/E613)*SUM(C636:D636)</f>
        <v>0</v>
      </c>
      <c r="F636" s="257">
        <f>(F625/F613)*BK65</f>
        <v>0</v>
      </c>
      <c r="G636" s="255">
        <f>(G626/G613)*BK92</f>
        <v>0</v>
      </c>
      <c r="H636" s="257">
        <f>(H629/H613)*BK61</f>
        <v>0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281853</v>
      </c>
      <c r="D637" s="255">
        <f>(D616/D613)*BH91</f>
        <v>-30349.414710485129</v>
      </c>
      <c r="E637" s="257">
        <f>(E624/E613)*SUM(C637:D637)</f>
        <v>14148.101894777279</v>
      </c>
      <c r="F637" s="257">
        <f>(F625/F613)*BH65</f>
        <v>0</v>
      </c>
      <c r="G637" s="255">
        <f>(G626/G613)*BH92</f>
        <v>0</v>
      </c>
      <c r="H637" s="257">
        <f>(H629/H613)*BH61</f>
        <v>1734.126083661409</v>
      </c>
      <c r="I637" s="255">
        <f>(I630/I613)*BH93</f>
        <v>7166.8331232849141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0</v>
      </c>
      <c r="D638" s="255">
        <f>(D616/D613)*BL91</f>
        <v>0</v>
      </c>
      <c r="E638" s="257">
        <f>(E624/E613)*SUM(C638:D638)</f>
        <v>0</v>
      </c>
      <c r="F638" s="257">
        <f>(F625/F613)*BL65</f>
        <v>0</v>
      </c>
      <c r="G638" s="255">
        <f>(G626/G613)*BL92</f>
        <v>0</v>
      </c>
      <c r="H638" s="257">
        <f>(H629/H613)*BL61</f>
        <v>0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651762</v>
      </c>
      <c r="D643" s="255">
        <f>(D616/D613)*BV91</f>
        <v>-25724.74199269692</v>
      </c>
      <c r="E643" s="257">
        <f>(E624/E613)*SUM(C643:D643)</f>
        <v>35217.147723832284</v>
      </c>
      <c r="F643" s="257">
        <f>(F625/F613)*BV65</f>
        <v>0</v>
      </c>
      <c r="G643" s="255">
        <f>(G626/G613)*BV92</f>
        <v>0</v>
      </c>
      <c r="H643" s="257">
        <f>(H629/H613)*BV61</f>
        <v>9859.1887453109302</v>
      </c>
      <c r="I643" s="255">
        <f>(I630/I613)*BV93</f>
        <v>6074.7442664034033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0</v>
      </c>
      <c r="D645" s="255">
        <f>(D616/D613)*BX91</f>
        <v>0</v>
      </c>
      <c r="E645" s="257">
        <f>(E624/E613)*SUM(C645:D645)</f>
        <v>0</v>
      </c>
      <c r="F645" s="257">
        <f>(F625/F613)*BX65</f>
        <v>0</v>
      </c>
      <c r="G645" s="255">
        <f>(G626/G613)*BX92</f>
        <v>0</v>
      </c>
      <c r="H645" s="257">
        <f>(H629/H613)*BX61</f>
        <v>0</v>
      </c>
      <c r="I645" s="255">
        <f>(I630/I613)*BX93</f>
        <v>0</v>
      </c>
      <c r="J645" s="255">
        <f>(J631/J613)*BX94</f>
        <v>0</v>
      </c>
      <c r="K645" s="257">
        <f>SUM(C632:J645)</f>
        <v>1104248.115964462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614510</v>
      </c>
      <c r="D646" s="255">
        <f>(D616/D613)*BY91</f>
        <v>-14235.320709441836</v>
      </c>
      <c r="E646" s="257">
        <f>(E624/E613)*SUM(C646:D646)</f>
        <v>33767.897653153777</v>
      </c>
      <c r="F646" s="257">
        <f>(F625/F613)*BY65</f>
        <v>0</v>
      </c>
      <c r="G646" s="255">
        <f>(G626/G613)*BY92</f>
        <v>0</v>
      </c>
      <c r="H646" s="257">
        <f>(H629/H613)*BY61</f>
        <v>1948.456273776864</v>
      </c>
      <c r="I646" s="255">
        <f>(I630/I613)*BY93</f>
        <v>3361.5860125884005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639352.61923007714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1898912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80707</v>
      </c>
      <c r="D671" s="255">
        <f>(D616/D613)*E91</f>
        <v>-16475.396557120501</v>
      </c>
      <c r="E671" s="257">
        <f>(E624/E613)*SUM(C671:D671)</f>
        <v>3613.2895255894073</v>
      </c>
      <c r="F671" s="257">
        <f>(F625/F613)*E65</f>
        <v>0</v>
      </c>
      <c r="G671" s="255">
        <f>(G626/G613)*E92</f>
        <v>9696.4904442117167</v>
      </c>
      <c r="H671" s="257">
        <f>(H629/H613)*E61</f>
        <v>1130.104638790581</v>
      </c>
      <c r="I671" s="255">
        <f>(I630/I613)*E93</f>
        <v>3890.5665526403823</v>
      </c>
      <c r="J671" s="255">
        <f>(J631/J613)*E94</f>
        <v>374.83231945589381</v>
      </c>
      <c r="K671" s="255">
        <f>(K645/K613)*E90</f>
        <v>37826.642512011189</v>
      </c>
      <c r="L671" s="255">
        <f>(L648/L613)*E95</f>
        <v>13207.743473000832</v>
      </c>
      <c r="M671" s="231">
        <f t="shared" si="18"/>
        <v>53264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8"/>
        <v>0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3384610</v>
      </c>
      <c r="D678" s="255">
        <f>(D616/D613)*L91</f>
        <v>-691533.09233176836</v>
      </c>
      <c r="E678" s="257">
        <f>(E624/E613)*SUM(C678:D678)</f>
        <v>151496.55404037813</v>
      </c>
      <c r="F678" s="257">
        <f>(F625/F613)*L65</f>
        <v>0</v>
      </c>
      <c r="G678" s="255">
        <f>(G626/G613)*L92</f>
        <v>407078.27972755797</v>
      </c>
      <c r="H678" s="257">
        <f>(H629/H613)*L61</f>
        <v>47172.126388137876</v>
      </c>
      <c r="I678" s="255">
        <f>(I630/I613)*L93</f>
        <v>163301.41188056342</v>
      </c>
      <c r="J678" s="255">
        <f>(J631/J613)*L94</f>
        <v>15719.082747118502</v>
      </c>
      <c r="K678" s="255">
        <f>(K645/K613)*L90</f>
        <v>231827.73731110778</v>
      </c>
      <c r="L678" s="255">
        <f>(L648/L613)*L95</f>
        <v>556192.75291859044</v>
      </c>
      <c r="M678" s="231">
        <f t="shared" si="18"/>
        <v>881255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8"/>
        <v>0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0</v>
      </c>
      <c r="D682" s="255">
        <f>(D616/D613)*P91</f>
        <v>0</v>
      </c>
      <c r="E682" s="257">
        <f>(E624/E613)*SUM(C682:D682)</f>
        <v>0</v>
      </c>
      <c r="F682" s="257">
        <f>(F625/F613)*P65</f>
        <v>0</v>
      </c>
      <c r="G682" s="255">
        <f>(G626/G613)*P92</f>
        <v>0</v>
      </c>
      <c r="H682" s="257">
        <f>(H629/H613)*P61</f>
        <v>0</v>
      </c>
      <c r="I682" s="255">
        <f>(I630/I613)*P93</f>
        <v>0</v>
      </c>
      <c r="J682" s="255">
        <f>(J631/J613)*P94</f>
        <v>0</v>
      </c>
      <c r="K682" s="255">
        <f>(K645/K613)*P90</f>
        <v>0</v>
      </c>
      <c r="L682" s="255">
        <f>(L648/L613)*P95</f>
        <v>0</v>
      </c>
      <c r="M682" s="231">
        <f t="shared" si="18"/>
        <v>0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0</v>
      </c>
      <c r="L683" s="255">
        <f>(L648/L613)*Q95</f>
        <v>0</v>
      </c>
      <c r="M683" s="231">
        <f t="shared" si="18"/>
        <v>0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0</v>
      </c>
      <c r="D684" s="255">
        <f>(D616/D613)*R91</f>
        <v>0</v>
      </c>
      <c r="E684" s="257">
        <f>(E624/E613)*SUM(C684:D684)</f>
        <v>0</v>
      </c>
      <c r="F684" s="257">
        <f>(F625/F613)*R65</f>
        <v>0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0</v>
      </c>
      <c r="L684" s="255">
        <f>(L648/L613)*R95</f>
        <v>0</v>
      </c>
      <c r="M684" s="231">
        <f t="shared" si="18"/>
        <v>0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95067</v>
      </c>
      <c r="D685" s="255">
        <f>(D616/D613)*S91</f>
        <v>-20738.766718831506</v>
      </c>
      <c r="E685" s="257">
        <f>(E624/E613)*SUM(C685:D685)</f>
        <v>4181.2661116151039</v>
      </c>
      <c r="F685" s="257">
        <f>(F625/F613)*S65</f>
        <v>0</v>
      </c>
      <c r="G685" s="255">
        <f>(G626/G613)*S92</f>
        <v>0</v>
      </c>
      <c r="H685" s="257">
        <f>(H629/H613)*S61</f>
        <v>2026.3945247279387</v>
      </c>
      <c r="I685" s="255">
        <f>(I630/I613)*S93</f>
        <v>4897.3359675780248</v>
      </c>
      <c r="J685" s="255">
        <f>(J631/J613)*S94</f>
        <v>0</v>
      </c>
      <c r="K685" s="255">
        <f>(K645/K613)*S90</f>
        <v>4534.923965734567</v>
      </c>
      <c r="L685" s="255">
        <f>(L648/L613)*S95</f>
        <v>0</v>
      </c>
      <c r="M685" s="231">
        <f t="shared" si="18"/>
        <v>-5099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885462</v>
      </c>
      <c r="D687" s="255">
        <f>(D616/D613)*U91</f>
        <v>-42561.441105894621</v>
      </c>
      <c r="E687" s="257">
        <f>(E624/E613)*SUM(C687:D687)</f>
        <v>47416.59241426205</v>
      </c>
      <c r="F687" s="257">
        <f>(F625/F613)*U65</f>
        <v>0</v>
      </c>
      <c r="G687" s="255">
        <f>(G626/G613)*U92</f>
        <v>0</v>
      </c>
      <c r="H687" s="257">
        <f>(H629/H613)*U61</f>
        <v>10560.633003870602</v>
      </c>
      <c r="I687" s="255">
        <f>(I630/I613)*U93</f>
        <v>10050.630260987653</v>
      </c>
      <c r="J687" s="255">
        <f>(J631/J613)*U94</f>
        <v>0</v>
      </c>
      <c r="K687" s="255">
        <f>(K645/K613)*U90</f>
        <v>282451.62885650451</v>
      </c>
      <c r="L687" s="255">
        <f>(L648/L613)*U95</f>
        <v>0</v>
      </c>
      <c r="M687" s="231">
        <f t="shared" si="18"/>
        <v>307918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11153</v>
      </c>
      <c r="D688" s="255">
        <f>(D616/D613)*V91</f>
        <v>-1878.7732916014604</v>
      </c>
      <c r="E688" s="257">
        <f>(E624/E613)*SUM(C688:D688)</f>
        <v>521.71305754804143</v>
      </c>
      <c r="F688" s="257">
        <f>(F625/F613)*V65</f>
        <v>0</v>
      </c>
      <c r="G688" s="255">
        <f>(G626/G613)*V92</f>
        <v>0</v>
      </c>
      <c r="H688" s="257">
        <f>(H629/H613)*V61</f>
        <v>77.938250951074565</v>
      </c>
      <c r="I688" s="255">
        <f>(I630/I613)*V93</f>
        <v>443.66109810811372</v>
      </c>
      <c r="J688" s="255">
        <f>(J631/J613)*V94</f>
        <v>0</v>
      </c>
      <c r="K688" s="255">
        <f>(K645/K613)*V90</f>
        <v>12721.676750109777</v>
      </c>
      <c r="L688" s="255">
        <f>(L648/L613)*V95</f>
        <v>0</v>
      </c>
      <c r="M688" s="231">
        <f t="shared" si="18"/>
        <v>11886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0</v>
      </c>
      <c r="L689" s="255">
        <f>(L648/L613)*W95</f>
        <v>0</v>
      </c>
      <c r="M689" s="231">
        <f t="shared" si="18"/>
        <v>0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0</v>
      </c>
      <c r="D690" s="255">
        <f>(D616/D613)*X91</f>
        <v>0</v>
      </c>
      <c r="E690" s="257">
        <f>(E624/E613)*SUM(C690:D690)</f>
        <v>0</v>
      </c>
      <c r="F690" s="257">
        <f>(F625/F613)*X65</f>
        <v>0</v>
      </c>
      <c r="G690" s="255">
        <f>(G626/G613)*X92</f>
        <v>0</v>
      </c>
      <c r="H690" s="257">
        <f>(H629/H613)*X61</f>
        <v>0</v>
      </c>
      <c r="I690" s="255">
        <f>(I630/I613)*X93</f>
        <v>0</v>
      </c>
      <c r="J690" s="255">
        <f>(J631/J613)*X94</f>
        <v>0</v>
      </c>
      <c r="K690" s="255">
        <f>(K645/K613)*X90</f>
        <v>0</v>
      </c>
      <c r="L690" s="255">
        <f>(L648/L613)*X95</f>
        <v>0</v>
      </c>
      <c r="M690" s="231">
        <f t="shared" si="18"/>
        <v>0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433133</v>
      </c>
      <c r="D691" s="255">
        <f>(D616/D613)*Y91</f>
        <v>-9538.387480438183</v>
      </c>
      <c r="E691" s="257">
        <f>(E624/E613)*SUM(C691:D691)</f>
        <v>23828.923683559551</v>
      </c>
      <c r="F691" s="257">
        <f>(F625/F613)*Y65</f>
        <v>0</v>
      </c>
      <c r="G691" s="255">
        <f>(G626/G613)*Y92</f>
        <v>0</v>
      </c>
      <c r="H691" s="257">
        <f>(H629/H613)*Y61</f>
        <v>8845.9914829469635</v>
      </c>
      <c r="I691" s="255">
        <f>(I630/I613)*Y93</f>
        <v>2252.4332673181161</v>
      </c>
      <c r="J691" s="255">
        <f>(J631/J613)*Y94</f>
        <v>0</v>
      </c>
      <c r="K691" s="255">
        <f>(K645/K613)*Y90</f>
        <v>64504.685704428855</v>
      </c>
      <c r="L691" s="255">
        <f>(L648/L613)*Y95</f>
        <v>0</v>
      </c>
      <c r="M691" s="231">
        <f t="shared" si="18"/>
        <v>89894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8"/>
        <v>0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225360</v>
      </c>
      <c r="D694" s="255">
        <f>(D616/D613)*AB91</f>
        <v>-4118.8491392801252</v>
      </c>
      <c r="E694" s="257">
        <f>(E624/E613)*SUM(C694:D694)</f>
        <v>12445.71659720889</v>
      </c>
      <c r="F694" s="257">
        <f>(F625/F613)*AB65</f>
        <v>0</v>
      </c>
      <c r="G694" s="255">
        <f>(G626/G613)*AB92</f>
        <v>0</v>
      </c>
      <c r="H694" s="257">
        <f>(H629/H613)*AB61</f>
        <v>0</v>
      </c>
      <c r="I694" s="255">
        <f>(I630/I613)*AB93</f>
        <v>972.64163816009557</v>
      </c>
      <c r="J694" s="255">
        <f>(J631/J613)*AB94</f>
        <v>0</v>
      </c>
      <c r="K694" s="255">
        <f>(K645/K613)*AB90</f>
        <v>66892.916598239695</v>
      </c>
      <c r="L694" s="255">
        <f>(L648/L613)*AB95</f>
        <v>0</v>
      </c>
      <c r="M694" s="231">
        <f t="shared" si="18"/>
        <v>76192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0</v>
      </c>
      <c r="D695" s="255">
        <f>(D616/D613)*AC91</f>
        <v>0</v>
      </c>
      <c r="E695" s="257">
        <f>(E624/E613)*SUM(C695:D695)</f>
        <v>0</v>
      </c>
      <c r="F695" s="257">
        <f>(F625/F613)*AC65</f>
        <v>0</v>
      </c>
      <c r="G695" s="255">
        <f>(G626/G613)*AC92</f>
        <v>0</v>
      </c>
      <c r="H695" s="257">
        <f>(H629/H613)*AC61</f>
        <v>0</v>
      </c>
      <c r="I695" s="255">
        <f>(I630/I613)*AC93</f>
        <v>0</v>
      </c>
      <c r="J695" s="255">
        <f>(J631/J613)*AC94</f>
        <v>0</v>
      </c>
      <c r="K695" s="255">
        <f>(K645/K613)*AC90</f>
        <v>0</v>
      </c>
      <c r="L695" s="255">
        <f>(L648/L613)*AC95</f>
        <v>0</v>
      </c>
      <c r="M695" s="231">
        <f t="shared" si="18"/>
        <v>0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264952</v>
      </c>
      <c r="D697" s="255">
        <f>(D616/D613)*AE91</f>
        <v>-36202.516118935833</v>
      </c>
      <c r="E697" s="257">
        <f>(E624/E613)*SUM(C697:D697)</f>
        <v>12868.090936363809</v>
      </c>
      <c r="F697" s="257">
        <f>(F625/F613)*AE65</f>
        <v>0</v>
      </c>
      <c r="G697" s="255">
        <f>(G626/G613)*AE92</f>
        <v>0</v>
      </c>
      <c r="H697" s="257">
        <f>(H629/H613)*AE61</f>
        <v>3857.9434220781909</v>
      </c>
      <c r="I697" s="255">
        <f>(I630/I613)*AE93</f>
        <v>8549.0080827755773</v>
      </c>
      <c r="J697" s="255">
        <f>(J631/J613)*AE94</f>
        <v>0</v>
      </c>
      <c r="K697" s="255">
        <f>(K645/K613)*AE90</f>
        <v>59795.285146820803</v>
      </c>
      <c r="L697" s="255">
        <f>(L648/L613)*AE95</f>
        <v>0</v>
      </c>
      <c r="M697" s="231">
        <f t="shared" si="18"/>
        <v>48868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946512</v>
      </c>
      <c r="D699" s="255">
        <f>(D616/D613)*AG91</f>
        <v>-45596.382576943135</v>
      </c>
      <c r="E699" s="257">
        <f>(E624/E613)*SUM(C699:D699)</f>
        <v>50680.175947491676</v>
      </c>
      <c r="F699" s="257">
        <f>(F625/F613)*AG65</f>
        <v>0</v>
      </c>
      <c r="G699" s="255">
        <f>(G626/G613)*AG92</f>
        <v>0</v>
      </c>
      <c r="H699" s="257">
        <f>(H629/H613)*AG61</f>
        <v>5338.770190148608</v>
      </c>
      <c r="I699" s="255">
        <f>(I630/I613)*AG93</f>
        <v>10767.313573316145</v>
      </c>
      <c r="J699" s="255">
        <f>(J631/J613)*AG94</f>
        <v>0</v>
      </c>
      <c r="K699" s="255">
        <f>(K645/K613)*AG90</f>
        <v>204953.93989366133</v>
      </c>
      <c r="L699" s="255">
        <f>(L648/L613)*AG95</f>
        <v>0</v>
      </c>
      <c r="M699" s="231">
        <f t="shared" si="18"/>
        <v>226144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868111</v>
      </c>
      <c r="D702" s="255">
        <f>(D616/D613)*AJ91</f>
        <v>-74861.889619196649</v>
      </c>
      <c r="E702" s="257">
        <f>(E624/E613)*SUM(C702:D702)</f>
        <v>44623.496037600693</v>
      </c>
      <c r="F702" s="257">
        <f>(F625/F613)*AJ65</f>
        <v>0</v>
      </c>
      <c r="G702" s="255">
        <f>(G626/G613)*AJ92</f>
        <v>0</v>
      </c>
      <c r="H702" s="257">
        <f>(H629/H613)*AJ61</f>
        <v>11924.552395514407</v>
      </c>
      <c r="I702" s="255">
        <f>(I630/I613)*AJ93</f>
        <v>17678.188370769454</v>
      </c>
      <c r="J702" s="255">
        <f>(J631/J613)*AJ94</f>
        <v>0</v>
      </c>
      <c r="K702" s="255">
        <f>(K645/K613)*AJ90</f>
        <v>79483.112249679456</v>
      </c>
      <c r="L702" s="255">
        <f>(L648/L613)*AJ95</f>
        <v>66772.480891281972</v>
      </c>
      <c r="M702" s="231">
        <f t="shared" si="18"/>
        <v>145620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8"/>
        <v>0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8"/>
        <v>0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20051</v>
      </c>
      <c r="D707" s="255">
        <f>(D616/D613)*AO91</f>
        <v>-4118.8491392801252</v>
      </c>
      <c r="E707" s="257">
        <f>(E624/E613)*SUM(C707:D707)</f>
        <v>896.24843129353826</v>
      </c>
      <c r="F707" s="257">
        <f>(F625/F613)*AO65</f>
        <v>0</v>
      </c>
      <c r="G707" s="255">
        <f>(G626/G613)*AO92</f>
        <v>2418.6751445112372</v>
      </c>
      <c r="H707" s="257">
        <f>(H629/H613)*AO61</f>
        <v>272.78387832876098</v>
      </c>
      <c r="I707" s="255">
        <f>(I630/I613)*AO93</f>
        <v>972.64163816009557</v>
      </c>
      <c r="J707" s="255">
        <f>(J631/J613)*AO94</f>
        <v>93.111213113247501</v>
      </c>
      <c r="K707" s="255">
        <f>(K645/K613)*AO90</f>
        <v>59255.566976164191</v>
      </c>
      <c r="L707" s="255">
        <f>(L648/L613)*AO95</f>
        <v>3179.6419472039038</v>
      </c>
      <c r="M707" s="231">
        <f t="shared" si="18"/>
        <v>62970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0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0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9114030</v>
      </c>
      <c r="D716" s="231">
        <f>SUM(D617:D648)+SUM(D669:D714)</f>
        <v>-1385234</v>
      </c>
      <c r="E716" s="231">
        <f>SUM(E625:E648)+SUM(E669:E714)</f>
        <v>485395.84475743352</v>
      </c>
      <c r="F716" s="231">
        <f>SUM(F626:F649)+SUM(F669:F714)</f>
        <v>0</v>
      </c>
      <c r="G716" s="231">
        <f>SUM(G627:G648)+SUM(G669:G714)</f>
        <v>419193.44531628088</v>
      </c>
      <c r="H716" s="231">
        <f>SUM(H630:H648)+SUM(H669:H714)</f>
        <v>118953.25551407755</v>
      </c>
      <c r="I716" s="231">
        <f>SUM(I631:I648)+SUM(I669:I714)</f>
        <v>254763.85364438995</v>
      </c>
      <c r="J716" s="231">
        <f>SUM(J632:J648)+SUM(J669:J714)</f>
        <v>16187.026279687643</v>
      </c>
      <c r="K716" s="231">
        <f>SUM(K669:K714)</f>
        <v>1104248.115964462</v>
      </c>
      <c r="L716" s="231">
        <f>SUM(L669:L714)</f>
        <v>639352.61923007714</v>
      </c>
      <c r="M716" s="231">
        <f>SUM(M669:M714)</f>
        <v>1898912</v>
      </c>
      <c r="N716" s="249" t="s">
        <v>669</v>
      </c>
    </row>
    <row r="717" spans="1:14" s="231" customFormat="1" ht="12.65" customHeight="1" x14ac:dyDescent="0.3">
      <c r="C717" s="252">
        <f>CE86</f>
        <v>9114030</v>
      </c>
      <c r="D717" s="231">
        <f>D616</f>
        <v>-1385234</v>
      </c>
      <c r="E717" s="231">
        <f>E624</f>
        <v>485395.84475743352</v>
      </c>
      <c r="F717" s="231">
        <f>F625</f>
        <v>0</v>
      </c>
      <c r="G717" s="231">
        <f>G626</f>
        <v>419193.44531628094</v>
      </c>
      <c r="H717" s="231">
        <f>H629</f>
        <v>118953.25551407757</v>
      </c>
      <c r="I717" s="231">
        <f>I630</f>
        <v>254763.85364438992</v>
      </c>
      <c r="J717" s="231">
        <f>J631</f>
        <v>16187.026279687641</v>
      </c>
      <c r="K717" s="231">
        <f>K645</f>
        <v>1104248.115964462</v>
      </c>
      <c r="L717" s="231">
        <f>L648</f>
        <v>639352.61923007714</v>
      </c>
      <c r="M717" s="231">
        <f>C649</f>
        <v>1898912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L2" sqref="L2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082</v>
      </c>
      <c r="C2" s="12" t="str">
        <f>SUBSTITUTE(LEFT(data!C98,49),",","")</f>
        <v>Garfield County Public Hospital District</v>
      </c>
      <c r="D2" s="12" t="str">
        <f>LEFT(data!C99,49)</f>
        <v>66 N. Sixth Street</v>
      </c>
      <c r="E2" s="12" t="str">
        <f>RIGHT(data!C100,100)</f>
        <v>Pomeroy, 99347</v>
      </c>
      <c r="F2" s="12" t="str">
        <f>RIGHT(data!C101,100)</f>
        <v>WA</v>
      </c>
      <c r="G2" s="12" t="str">
        <f>RIGHT(data!C102,100)</f>
        <v>99347</v>
      </c>
      <c r="H2" s="12" t="str">
        <f>RIGHT(data!C103,100)</f>
        <v>Garfield County</v>
      </c>
      <c r="I2" s="12" t="str">
        <f>LEFT(data!C104,49)</f>
        <v>Mat Slaybaugh &amp; Jayd Keener</v>
      </c>
      <c r="J2" s="12" t="str">
        <f>LEFT(data!C105,49)</f>
        <v>Stephanie Miller</v>
      </c>
      <c r="K2" s="12" t="str">
        <f>LEFT(data!C107,49)</f>
        <v>509-843-1591</v>
      </c>
      <c r="L2" s="12" t="str">
        <f>LEFT(data!C108,49)</f>
        <v/>
      </c>
      <c r="M2" s="12" t="str">
        <f>LEFT(data!C109,49)</f>
        <v>Jeannette Ring</v>
      </c>
      <c r="N2" s="12" t="str">
        <f>LEFT(data!C110,49)</f>
        <v>jring@dzacpa.com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082</v>
      </c>
      <c r="B2" s="224" t="str">
        <f>RIGHT(data!C96,4)</f>
        <v>2022</v>
      </c>
      <c r="C2" s="16" t="s">
        <v>1123</v>
      </c>
      <c r="D2" s="223">
        <f>ROUND(data!C181,0)</f>
        <v>375973</v>
      </c>
      <c r="E2" s="223">
        <f>ROUND(data!C182,0)</f>
        <v>20555</v>
      </c>
      <c r="F2" s="223">
        <f>ROUND(data!C183,0)</f>
        <v>99029</v>
      </c>
      <c r="G2" s="223">
        <f>ROUND(data!C184,0)</f>
        <v>684189</v>
      </c>
      <c r="H2" s="223">
        <f>ROUND(data!C185,0)</f>
        <v>10803</v>
      </c>
      <c r="I2" s="223">
        <f>ROUND(data!C186,0)</f>
        <v>59230</v>
      </c>
      <c r="J2" s="223">
        <f>ROUND(data!C187+data!C188,0)</f>
        <v>1895698</v>
      </c>
      <c r="K2" s="223">
        <f>ROUND(data!C191,0)</f>
        <v>0</v>
      </c>
      <c r="L2" s="223">
        <f>ROUND(data!C192,0)</f>
        <v>31202</v>
      </c>
      <c r="M2" s="223">
        <f>ROUND(data!C195,0)</f>
        <v>21334</v>
      </c>
      <c r="N2" s="223">
        <f>ROUND(data!C196,0)</f>
        <v>116022</v>
      </c>
      <c r="O2" s="223">
        <f>ROUND(data!C199,0)</f>
        <v>12612</v>
      </c>
      <c r="P2" s="223">
        <f>ROUND(data!C200,0)</f>
        <v>30939</v>
      </c>
      <c r="Q2" s="223">
        <f>ROUND(data!C201,0)</f>
        <v>0</v>
      </c>
      <c r="R2" s="223">
        <f>ROUND(data!C204,0)</f>
        <v>0</v>
      </c>
      <c r="S2" s="223">
        <f>ROUND(data!C205,0)</f>
        <v>4918</v>
      </c>
      <c r="T2" s="223">
        <f>ROUND(data!B211,0)</f>
        <v>83983</v>
      </c>
      <c r="U2" s="223">
        <f>ROUND(data!C211,0)</f>
        <v>0</v>
      </c>
      <c r="V2" s="223">
        <f>ROUND(data!D211,0)</f>
        <v>0</v>
      </c>
      <c r="W2" s="223">
        <f>ROUND(data!B212,0)</f>
        <v>234472</v>
      </c>
      <c r="X2" s="223">
        <f>ROUND(data!C212,0)</f>
        <v>0</v>
      </c>
      <c r="Y2" s="223">
        <f>ROUND(data!D212,0)</f>
        <v>0</v>
      </c>
      <c r="Z2" s="223">
        <f>ROUND(data!B213,0)</f>
        <v>1511534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1101977</v>
      </c>
      <c r="AG2" s="223">
        <f>ROUND(data!C215,0)</f>
        <v>24342</v>
      </c>
      <c r="AH2" s="223">
        <f>ROUND(data!D215,0)</f>
        <v>0</v>
      </c>
      <c r="AI2" s="223">
        <f>ROUND(data!B216,0)</f>
        <v>3232397</v>
      </c>
      <c r="AJ2" s="223">
        <f>ROUND(data!C216,0)</f>
        <v>51785</v>
      </c>
      <c r="AK2" s="223">
        <f>ROUND(data!D216,0)</f>
        <v>-125798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46347</v>
      </c>
      <c r="AQ2" s="223">
        <f>ROUND(data!D218,0)</f>
        <v>125798</v>
      </c>
      <c r="AR2" s="223">
        <f>ROUND(data!B219,0)</f>
        <v>188782</v>
      </c>
      <c r="AS2" s="223">
        <f>ROUND(data!C219,0)</f>
        <v>115904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234472</v>
      </c>
      <c r="AY2" s="223">
        <f>ROUND(data!C225,0)</f>
        <v>0</v>
      </c>
      <c r="AZ2" s="223">
        <f>ROUND(data!D225,0)</f>
        <v>0</v>
      </c>
      <c r="BA2" s="223">
        <f>ROUND(data!B226,0)</f>
        <v>1304172</v>
      </c>
      <c r="BB2" s="223">
        <f>ROUND(data!C226,0)</f>
        <v>29262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938530</v>
      </c>
      <c r="BH2" s="223">
        <f>ROUND(data!C228,0)</f>
        <v>24413</v>
      </c>
      <c r="BI2" s="223">
        <f>ROUND(data!D228,0)</f>
        <v>0</v>
      </c>
      <c r="BJ2" s="223">
        <f>ROUND(data!B229,0)</f>
        <v>2326656</v>
      </c>
      <c r="BK2" s="223">
        <f>ROUND(data!C229,0)</f>
        <v>183369</v>
      </c>
      <c r="BL2" s="223">
        <f>ROUND(data!D229,0)</f>
        <v>50319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11833</v>
      </c>
      <c r="BR2" s="223">
        <f>ROUND(data!D231,0)</f>
        <v>-50319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-4567325</v>
      </c>
      <c r="BW2" s="223">
        <f>ROUND(data!C240,0)</f>
        <v>192268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1421754</v>
      </c>
      <c r="CB2" s="223">
        <f>ROUND(data!C247,0)</f>
        <v>52</v>
      </c>
      <c r="CC2" s="223">
        <f>ROUND(data!C249,0)</f>
        <v>17738</v>
      </c>
      <c r="CD2" s="223">
        <f>ROUND(data!C250,0)</f>
        <v>45085</v>
      </c>
      <c r="CE2" s="223">
        <f>ROUND(data!C254+data!C255,0)</f>
        <v>0</v>
      </c>
      <c r="CF2" s="223">
        <f>data!D237</f>
        <v>250249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082</v>
      </c>
      <c r="B2" s="16" t="str">
        <f>RIGHT(data!C96,4)</f>
        <v>2022</v>
      </c>
      <c r="C2" s="16" t="s">
        <v>1123</v>
      </c>
      <c r="D2" s="222">
        <f>ROUND(data!C127,0)</f>
        <v>49</v>
      </c>
      <c r="E2" s="222">
        <f>ROUND(data!C128,0)</f>
        <v>410</v>
      </c>
      <c r="F2" s="222">
        <f>ROUND(data!C129,0)</f>
        <v>0</v>
      </c>
      <c r="G2" s="222">
        <f>ROUND(data!C130,0)</f>
        <v>0</v>
      </c>
      <c r="H2" s="222">
        <f>ROUND(data!D127,0)</f>
        <v>129</v>
      </c>
      <c r="I2" s="222">
        <f>ROUND(data!D128,0)</f>
        <v>6330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25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41</v>
      </c>
      <c r="Z2" s="222">
        <f>ROUND(data!B155,0)</f>
        <v>112</v>
      </c>
      <c r="AA2" s="222">
        <f>ROUND(data!B156,0)</f>
        <v>0</v>
      </c>
      <c r="AB2" s="222">
        <f>ROUND(data!B157,0)</f>
        <v>437510</v>
      </c>
      <c r="AC2" s="222">
        <f>ROUND(data!B158,0)</f>
        <v>3077701</v>
      </c>
      <c r="AD2" s="222">
        <f>ROUND(data!C154,0)</f>
        <v>0</v>
      </c>
      <c r="AE2" s="222">
        <f>ROUND(data!C155,0)</f>
        <v>2</v>
      </c>
      <c r="AF2" s="222">
        <f>ROUND(data!C156,0)</f>
        <v>0</v>
      </c>
      <c r="AG2" s="222">
        <f>ROUND(data!C157,0)</f>
        <v>10123</v>
      </c>
      <c r="AH2" s="222">
        <f>ROUND(data!C158,0)</f>
        <v>27895</v>
      </c>
      <c r="AI2" s="222">
        <f>ROUND(data!D154,0)</f>
        <v>8</v>
      </c>
      <c r="AJ2" s="222">
        <f>ROUND(data!D155,0)</f>
        <v>15</v>
      </c>
      <c r="AK2" s="222">
        <f>ROUND(data!D156,0)</f>
        <v>0</v>
      </c>
      <c r="AL2" s="222">
        <f>ROUND(data!D157,0)</f>
        <v>60650</v>
      </c>
      <c r="AM2" s="222">
        <f>ROUND(data!D158,0)</f>
        <v>3086845</v>
      </c>
      <c r="AN2" s="222">
        <f>ROUND(data!B160,0)</f>
        <v>83</v>
      </c>
      <c r="AO2" s="222">
        <f>ROUND(data!B161,0)</f>
        <v>552</v>
      </c>
      <c r="AP2" s="222">
        <f>ROUND(data!B162,0)</f>
        <v>0</v>
      </c>
      <c r="AQ2" s="222">
        <f>ROUND(data!B163,0)</f>
        <v>485237</v>
      </c>
      <c r="AR2" s="222">
        <f>ROUND(data!B164,0)</f>
        <v>0</v>
      </c>
      <c r="AS2" s="222">
        <f>ROUND(data!C160,0)</f>
        <v>128</v>
      </c>
      <c r="AT2" s="222">
        <f>ROUND(data!C161,0)</f>
        <v>2423</v>
      </c>
      <c r="AU2" s="222">
        <f>ROUND(data!C162,0)</f>
        <v>0</v>
      </c>
      <c r="AV2" s="222">
        <f>ROUND(data!C163,0)</f>
        <v>591043</v>
      </c>
      <c r="AW2" s="222">
        <f>ROUND(data!C164,0)</f>
        <v>0</v>
      </c>
      <c r="AX2" s="222">
        <f>ROUND(data!D160,0)</f>
        <v>199</v>
      </c>
      <c r="AY2" s="222">
        <f>ROUND(data!D161,0)</f>
        <v>3355</v>
      </c>
      <c r="AZ2" s="222">
        <f>ROUND(data!D162,0)</f>
        <v>0</v>
      </c>
      <c r="BA2" s="222">
        <f>ROUND(data!D163,0)</f>
        <v>830412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1219832</v>
      </c>
      <c r="BS2" s="222">
        <f>ROUND(data!C173,0)</f>
        <v>333784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082</v>
      </c>
      <c r="B2" s="224" t="str">
        <f>RIGHT(data!C96,4)</f>
        <v>2022</v>
      </c>
      <c r="C2" s="16" t="s">
        <v>1123</v>
      </c>
      <c r="D2" s="222">
        <f>ROUND(data!C266,0)</f>
        <v>5435730</v>
      </c>
      <c r="E2" s="222">
        <f>ROUND(data!C267,0)</f>
        <v>0</v>
      </c>
      <c r="F2" s="222">
        <f>ROUND(data!C268,0)</f>
        <v>1443846</v>
      </c>
      <c r="G2" s="222">
        <f>ROUND(data!C269,0)</f>
        <v>-1724841</v>
      </c>
      <c r="H2" s="222">
        <f>ROUND(data!C270,0)</f>
        <v>0</v>
      </c>
      <c r="I2" s="222">
        <f>ROUND(data!C271,0)</f>
        <v>32049</v>
      </c>
      <c r="J2" s="222">
        <f>ROUND(data!C272,0)</f>
        <v>0</v>
      </c>
      <c r="K2" s="222">
        <f>ROUND(data!C273,0)</f>
        <v>110027</v>
      </c>
      <c r="L2" s="222">
        <f>ROUND(data!C274,0)</f>
        <v>27702</v>
      </c>
      <c r="M2" s="222">
        <f>ROUND(data!C275,0)</f>
        <v>0</v>
      </c>
      <c r="N2" s="222">
        <f>ROUND(data!C278,0)</f>
        <v>62472</v>
      </c>
      <c r="O2" s="222">
        <f>ROUND(data!C279,0)</f>
        <v>0</v>
      </c>
      <c r="P2" s="222">
        <f>ROUND(data!C280,0)</f>
        <v>0</v>
      </c>
      <c r="Q2" s="222">
        <f>ROUND(data!C283,0)</f>
        <v>83983</v>
      </c>
      <c r="R2" s="222">
        <f>ROUND(data!C284,0)</f>
        <v>234472</v>
      </c>
      <c r="S2" s="222">
        <f>ROUND(data!C285,0)</f>
        <v>1511534</v>
      </c>
      <c r="T2" s="222">
        <f>ROUND(data!C287,0)</f>
        <v>1126319</v>
      </c>
      <c r="U2" s="222" t="e">
        <f>ROUND(data!#REF!,0)</f>
        <v>#REF!</v>
      </c>
      <c r="V2" s="222">
        <f>ROUND(data!C288,0)</f>
        <v>3158384</v>
      </c>
      <c r="W2" s="222">
        <f>ROUND(data!C289,0)</f>
        <v>172145</v>
      </c>
      <c r="X2" s="222">
        <f>ROUND(data!C290,0)</f>
        <v>304686</v>
      </c>
      <c r="Y2" s="222">
        <f>ROUND(data!C291,0)</f>
        <v>0</v>
      </c>
      <c r="Z2" s="222">
        <f>ROUND(data!C292,0)</f>
        <v>5052707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490870</v>
      </c>
      <c r="AK2" s="222">
        <f>ROUND(data!C316,0)</f>
        <v>260674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821000</v>
      </c>
      <c r="AR2" s="222">
        <f>ROUND(data!C323,0)</f>
        <v>44455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99289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1871415</v>
      </c>
      <c r="BD2" s="222">
        <f>ROUND(data!C339,0)</f>
        <v>0</v>
      </c>
      <c r="BE2" s="222">
        <f>ROUND(data!C343,0)</f>
        <v>6832235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74.180000000000007</v>
      </c>
      <c r="BL2" s="222">
        <f>ROUND(data!C358,0)</f>
        <v>2430324</v>
      </c>
      <c r="BM2" s="222">
        <f>ROUND(data!C359,0)</f>
        <v>6177094</v>
      </c>
      <c r="BN2" s="222">
        <f>ROUND(data!C363,0)</f>
        <v>-2953303</v>
      </c>
      <c r="BO2" s="222">
        <f>ROUND(data!C364,0)</f>
        <v>62823</v>
      </c>
      <c r="BP2" s="222">
        <f>ROUND(data!C365,0)</f>
        <v>0</v>
      </c>
      <c r="BQ2" s="222">
        <f>ROUND(data!D381,0)</f>
        <v>333121</v>
      </c>
      <c r="BR2" s="222">
        <f>ROUND(data!C370,0)</f>
        <v>0</v>
      </c>
      <c r="BS2" s="222">
        <f>ROUND(data!C371,0)</f>
        <v>233245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99876</v>
      </c>
      <c r="CC2" s="222">
        <f>ROUND(data!C382,0)</f>
        <v>0</v>
      </c>
      <c r="CD2" s="222">
        <f>ROUND(data!C389,0)</f>
        <v>5643097</v>
      </c>
      <c r="CE2" s="222">
        <f>ROUND(data!C390,0)</f>
        <v>3145477</v>
      </c>
      <c r="CF2" s="222">
        <f>ROUND(data!C391,0)</f>
        <v>2852618</v>
      </c>
      <c r="CG2" s="222">
        <f>ROUND(data!C392,0)</f>
        <v>829457</v>
      </c>
      <c r="CH2" s="222">
        <f>ROUND(data!C393,0)</f>
        <v>181692</v>
      </c>
      <c r="CI2" s="222">
        <f>ROUND(data!C394,0)</f>
        <v>769980</v>
      </c>
      <c r="CJ2" s="222">
        <f>ROUND(data!C395,0)</f>
        <v>248877</v>
      </c>
      <c r="CK2" s="222">
        <f>ROUND(data!C396,0)</f>
        <v>31202</v>
      </c>
      <c r="CL2" s="222">
        <f>ROUND(data!C397,0)</f>
        <v>137356</v>
      </c>
      <c r="CM2" s="222">
        <f>ROUND(data!C398,0)</f>
        <v>43551</v>
      </c>
      <c r="CN2" s="222">
        <f>ROUND(data!C399,0)</f>
        <v>4918</v>
      </c>
      <c r="CO2" s="222">
        <f>ROUND(data!C362,0)</f>
        <v>250249</v>
      </c>
      <c r="CP2" s="222">
        <f>ROUND(data!D415,0)</f>
        <v>433073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81817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351256</v>
      </c>
      <c r="DE2" s="65">
        <f>ROUND(data!C419,0)</f>
        <v>0</v>
      </c>
      <c r="DF2" s="222">
        <f>ROUND(data!D420,0)</f>
        <v>307677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082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082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082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129</v>
      </c>
      <c r="F4" s="212">
        <f>ROUND(data!E60,2)</f>
        <v>0.5</v>
      </c>
      <c r="G4" s="222">
        <f>ROUND(data!E61,0)</f>
        <v>35533</v>
      </c>
      <c r="H4" s="222">
        <f>ROUND(data!E62,0)</f>
        <v>19806</v>
      </c>
      <c r="I4" s="222">
        <f>ROUND(data!E63,0)</f>
        <v>39044</v>
      </c>
      <c r="J4" s="222">
        <f>ROUND(data!E64,0)</f>
        <v>3286</v>
      </c>
      <c r="K4" s="222">
        <f>ROUND(data!E65,0)</f>
        <v>99</v>
      </c>
      <c r="L4" s="222">
        <f>ROUND(data!E66,0)</f>
        <v>872</v>
      </c>
      <c r="M4" s="66">
        <f>ROUND(data!E67,0)</f>
        <v>2355</v>
      </c>
      <c r="N4" s="222">
        <f>ROUND(data!E68,0)</f>
        <v>324</v>
      </c>
      <c r="O4" s="222">
        <f>ROUND(data!E69,0)</f>
        <v>937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 t="e">
        <f>ROUND(data!#REF!,0)</f>
        <v>#REF!</v>
      </c>
      <c r="AD4" s="222">
        <f>ROUND(data!E83,0)</f>
        <v>937</v>
      </c>
      <c r="AE4" s="222">
        <f>ROUND(data!E89,0)</f>
        <v>292491</v>
      </c>
      <c r="AF4" s="222">
        <f>ROUND(data!E87,0)</f>
        <v>279104</v>
      </c>
      <c r="AG4" s="222">
        <f>IF(data!E90&gt;0,ROUND(data!E90,0),0)</f>
        <v>198</v>
      </c>
      <c r="AH4" s="222">
        <f>IF(data!E91&gt;0,ROUND(data!E91,0),0)</f>
        <v>341</v>
      </c>
      <c r="AI4" s="222">
        <f>IF(data!E92&gt;0,ROUND(data!E92,0),0)</f>
        <v>198</v>
      </c>
      <c r="AJ4" s="222">
        <f>IF(data!E93&gt;0,ROUND(data!E93,0),0)</f>
        <v>129</v>
      </c>
      <c r="AK4" s="212">
        <f>IF(data!E94&gt;0,ROUND(data!E94,2),0)</f>
        <v>0.46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082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082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082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082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082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082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082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6330</v>
      </c>
      <c r="F11" s="212">
        <f>ROUND(data!L60,2)</f>
        <v>24.61</v>
      </c>
      <c r="G11" s="222">
        <f>ROUND(data!L61,0)</f>
        <v>1743587</v>
      </c>
      <c r="H11" s="222">
        <f>ROUND(data!L62,0)</f>
        <v>971880</v>
      </c>
      <c r="I11" s="222">
        <f>ROUND(data!L63,0)</f>
        <v>1915869</v>
      </c>
      <c r="J11" s="222">
        <f>ROUND(data!L64,0)</f>
        <v>161256</v>
      </c>
      <c r="K11" s="222">
        <f>ROUND(data!L65,0)</f>
        <v>4842</v>
      </c>
      <c r="L11" s="222">
        <f>ROUND(data!L66,0)</f>
        <v>42773</v>
      </c>
      <c r="M11" s="66">
        <f>ROUND(data!L67,0)</f>
        <v>115607</v>
      </c>
      <c r="N11" s="222">
        <f>ROUND(data!L68,0)</f>
        <v>15891</v>
      </c>
      <c r="O11" s="222">
        <f>ROUND(data!L69,0)</f>
        <v>45978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 t="e">
        <f>ROUND(data!#REF!,0)</f>
        <v>#REF!</v>
      </c>
      <c r="AD11" s="222">
        <f>ROUND(data!L83,0)</f>
        <v>45978</v>
      </c>
      <c r="AE11" s="222">
        <f>ROUND(data!L89,0)</f>
        <v>1558674</v>
      </c>
      <c r="AF11" s="222">
        <f>ROUND(data!L87,0)</f>
        <v>1558674</v>
      </c>
      <c r="AG11" s="222">
        <f>IF(data!L90&gt;0,ROUND(data!L90,0),0)</f>
        <v>9719</v>
      </c>
      <c r="AH11" s="222">
        <f>IF(data!L91&gt;0,ROUND(data!L91,0),0)</f>
        <v>16738</v>
      </c>
      <c r="AI11" s="222">
        <f>IF(data!L92&gt;0,ROUND(data!L92,0),0)</f>
        <v>9719</v>
      </c>
      <c r="AJ11" s="222">
        <f>IF(data!L93&gt;0,ROUND(data!L93,0),0)</f>
        <v>6330</v>
      </c>
      <c r="AK11" s="212">
        <f>IF(data!L94&gt;0,ROUND(data!L94,2),0)</f>
        <v>22.58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082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082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082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082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082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082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082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1.02</v>
      </c>
      <c r="G18" s="222">
        <f>ROUND(data!S61,0)</f>
        <v>47380</v>
      </c>
      <c r="H18" s="222">
        <f>ROUND(data!S62,0)</f>
        <v>26410</v>
      </c>
      <c r="I18" s="222">
        <f>ROUND(data!S63,0)</f>
        <v>63</v>
      </c>
      <c r="J18" s="222">
        <f>ROUND(data!S64,0)</f>
        <v>8757</v>
      </c>
      <c r="K18" s="222">
        <f>ROUND(data!S65,0)</f>
        <v>0</v>
      </c>
      <c r="L18" s="222">
        <f>ROUND(data!S66,0)</f>
        <v>0</v>
      </c>
      <c r="M18" s="66">
        <f>ROUND(data!S67,0)</f>
        <v>3414</v>
      </c>
      <c r="N18" s="222">
        <f>ROUND(data!S68,0)</f>
        <v>0</v>
      </c>
      <c r="O18" s="222">
        <f>ROUND(data!S69,0)</f>
        <v>38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38</v>
      </c>
      <c r="AD18" s="222">
        <f>ROUND(data!S84,0)</f>
        <v>0</v>
      </c>
      <c r="AE18" s="222">
        <f>ROUND(data!S89,0)</f>
        <v>16331</v>
      </c>
      <c r="AF18" s="222">
        <f>ROUND(data!S87,0)</f>
        <v>4186</v>
      </c>
      <c r="AG18" s="222">
        <f>IF(data!S90&gt;0,ROUND(data!S90,0),0)</f>
        <v>287</v>
      </c>
      <c r="AH18" s="222">
        <f>IF(data!S91&gt;0,ROUND(data!S91,0),0)</f>
        <v>0</v>
      </c>
      <c r="AI18" s="222">
        <f>IF(data!S92&gt;0,ROUND(data!S92,0),0)</f>
        <v>287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082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082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4856</v>
      </c>
      <c r="F20" s="212">
        <f>ROUND(data!U60,2)</f>
        <v>6.13</v>
      </c>
      <c r="G20" s="222">
        <f>ROUND(data!U61,0)</f>
        <v>318804</v>
      </c>
      <c r="H20" s="222">
        <f>ROUND(data!U62,0)</f>
        <v>177702</v>
      </c>
      <c r="I20" s="222">
        <f>ROUND(data!U63,0)</f>
        <v>20370</v>
      </c>
      <c r="J20" s="222">
        <f>ROUND(data!U64,0)</f>
        <v>195092</v>
      </c>
      <c r="K20" s="222">
        <f>ROUND(data!U65,0)</f>
        <v>0</v>
      </c>
      <c r="L20" s="222">
        <f>ROUND(data!U66,0)</f>
        <v>520780</v>
      </c>
      <c r="M20" s="66">
        <f>ROUND(data!U67,0)</f>
        <v>7006</v>
      </c>
      <c r="N20" s="222">
        <f>ROUND(data!U68,0)</f>
        <v>0</v>
      </c>
      <c r="O20" s="222">
        <f>ROUND(data!U69,0)</f>
        <v>6062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6062</v>
      </c>
      <c r="AD20" s="222">
        <f>ROUND(data!U84,0)</f>
        <v>0</v>
      </c>
      <c r="AE20" s="222">
        <f>ROUND(data!U89,0)</f>
        <v>2238878</v>
      </c>
      <c r="AF20" s="222">
        <f>ROUND(data!U87,0)</f>
        <v>180559</v>
      </c>
      <c r="AG20" s="222">
        <f>IF(data!U90&gt;0,ROUND(data!U90,0),0)</f>
        <v>589</v>
      </c>
      <c r="AH20" s="222">
        <f>IF(data!U91&gt;0,ROUND(data!U91,0),0)</f>
        <v>0</v>
      </c>
      <c r="AI20" s="222">
        <f>IF(data!U92&gt;0,ROUND(data!U92,0),0)</f>
        <v>589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082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258</v>
      </c>
      <c r="F21" s="212">
        <f>ROUND(data!V60,2)</f>
        <v>0.04</v>
      </c>
      <c r="G21" s="222">
        <f>ROUND(data!V61,0)</f>
        <v>2737</v>
      </c>
      <c r="H21" s="222">
        <f>ROUND(data!V62,0)</f>
        <v>1526</v>
      </c>
      <c r="I21" s="222">
        <f>ROUND(data!V63,0)</f>
        <v>24</v>
      </c>
      <c r="J21" s="222">
        <f>ROUND(data!V64,0)</f>
        <v>283</v>
      </c>
      <c r="K21" s="222">
        <f>ROUND(data!V65,0)</f>
        <v>0</v>
      </c>
      <c r="L21" s="222">
        <f>ROUND(data!V66,0)</f>
        <v>4213</v>
      </c>
      <c r="M21" s="66">
        <f>ROUND(data!V67,0)</f>
        <v>178</v>
      </c>
      <c r="N21" s="222">
        <f>ROUND(data!V68,0)</f>
        <v>0</v>
      </c>
      <c r="O21" s="222">
        <f>ROUND(data!V69,0)</f>
        <v>30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 t="e">
        <f>ROUND(data!#REF!,0)</f>
        <v>#REF!</v>
      </c>
      <c r="AD21" s="222">
        <f>ROUND(data!V83,0)</f>
        <v>30</v>
      </c>
      <c r="AE21" s="222">
        <f>ROUND(data!V89,0)</f>
        <v>96463</v>
      </c>
      <c r="AF21" s="222">
        <f>ROUND(data!V87,0)</f>
        <v>5570</v>
      </c>
      <c r="AG21" s="222">
        <f>IF(data!V90&gt;0,ROUND(data!V90,0),0)</f>
        <v>15</v>
      </c>
      <c r="AH21" s="222">
        <f>IF(data!V91&gt;0,ROUND(data!V91,0),0)</f>
        <v>0</v>
      </c>
      <c r="AI21" s="222">
        <f>IF(data!V92&gt;0,ROUND(data!V92,0),0)</f>
        <v>15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082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082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082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1276</v>
      </c>
      <c r="F24" s="212">
        <f>ROUND(data!Y60,2)</f>
        <v>5.3</v>
      </c>
      <c r="G24" s="222">
        <f>ROUND(data!Y61,0)</f>
        <v>377425</v>
      </c>
      <c r="H24" s="222">
        <f>ROUND(data!Y62,0)</f>
        <v>210378</v>
      </c>
      <c r="I24" s="222">
        <f>ROUND(data!Y63,0)</f>
        <v>228</v>
      </c>
      <c r="J24" s="222">
        <f>ROUND(data!Y64,0)</f>
        <v>2721</v>
      </c>
      <c r="K24" s="222">
        <f>ROUND(data!Y65,0)</f>
        <v>0</v>
      </c>
      <c r="L24" s="222">
        <f>ROUND(data!Y66,0)</f>
        <v>40497</v>
      </c>
      <c r="M24" s="66">
        <f>ROUND(data!Y67,0)</f>
        <v>1701</v>
      </c>
      <c r="N24" s="222">
        <f>ROUND(data!Y68,0)</f>
        <v>0</v>
      </c>
      <c r="O24" s="222">
        <f>ROUND(data!Y69,0)</f>
        <v>286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 t="e">
        <f>ROUND(data!#REF!,0)</f>
        <v>#REF!</v>
      </c>
      <c r="AD24" s="222">
        <f>ROUND(data!Y83,0)</f>
        <v>286</v>
      </c>
      <c r="AE24" s="222">
        <f>ROUND(data!Y89,0)</f>
        <v>927302</v>
      </c>
      <c r="AF24" s="222">
        <f>ROUND(data!Y87,0)</f>
        <v>65787</v>
      </c>
      <c r="AG24" s="222">
        <f>IF(data!Y90&gt;0,ROUND(data!Y90,0),0)</f>
        <v>143</v>
      </c>
      <c r="AH24" s="222">
        <f>IF(data!Y91&gt;0,ROUND(data!Y91,0),0)</f>
        <v>0</v>
      </c>
      <c r="AI24" s="222">
        <f>IF(data!Y92&gt;0,ROUND(data!Y92,0),0)</f>
        <v>143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082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082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082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0</v>
      </c>
      <c r="G27" s="222">
        <f>ROUND(data!AB61,0)</f>
        <v>0</v>
      </c>
      <c r="H27" s="222">
        <f>ROUND(data!AB62,0)</f>
        <v>0</v>
      </c>
      <c r="I27" s="222">
        <f>ROUND(data!AB63,0)</f>
        <v>194460</v>
      </c>
      <c r="J27" s="222">
        <f>ROUND(data!AB64,0)</f>
        <v>112291</v>
      </c>
      <c r="K27" s="222">
        <f>ROUND(data!AB65,0)</f>
        <v>1432</v>
      </c>
      <c r="L27" s="222">
        <f>ROUND(data!AB66,0)</f>
        <v>8903</v>
      </c>
      <c r="M27" s="66">
        <f>ROUND(data!AB67,0)</f>
        <v>678</v>
      </c>
      <c r="N27" s="222">
        <f>ROUND(data!AB68,0)</f>
        <v>0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684179</v>
      </c>
      <c r="AF27" s="222">
        <f>ROUND(data!AB87,0)</f>
        <v>262582</v>
      </c>
      <c r="AG27" s="222">
        <f>IF(data!AB90&gt;0,ROUND(data!AB90,0),0)</f>
        <v>57</v>
      </c>
      <c r="AH27" s="222">
        <f>IF(data!AB91&gt;0,ROUND(data!AB91,0),0)</f>
        <v>0</v>
      </c>
      <c r="AI27" s="222">
        <f>IF(data!AB92&gt;0,ROUND(data!AB92,0),0)</f>
        <v>57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082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082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082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1713</v>
      </c>
      <c r="F30" s="212">
        <f>ROUND(data!AE60,2)</f>
        <v>1.85</v>
      </c>
      <c r="G30" s="222">
        <f>ROUND(data!AE61,0)</f>
        <v>205409</v>
      </c>
      <c r="H30" s="222">
        <f>ROUND(data!AE62,0)</f>
        <v>114496</v>
      </c>
      <c r="I30" s="222">
        <f>ROUND(data!AE63,0)</f>
        <v>2724</v>
      </c>
      <c r="J30" s="222">
        <f>ROUND(data!AE64,0)</f>
        <v>1323</v>
      </c>
      <c r="K30" s="222">
        <f>ROUND(data!AE65,0)</f>
        <v>0</v>
      </c>
      <c r="L30" s="222">
        <f>ROUND(data!AE66,0)</f>
        <v>0</v>
      </c>
      <c r="M30" s="66">
        <f>ROUND(data!AE67,0)</f>
        <v>5959</v>
      </c>
      <c r="N30" s="222">
        <f>ROUND(data!AE68,0)</f>
        <v>0</v>
      </c>
      <c r="O30" s="222">
        <f>ROUND(data!AE69,0)</f>
        <v>580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580</v>
      </c>
      <c r="AD30" s="222">
        <f>ROUND(data!AE84,0)</f>
        <v>0</v>
      </c>
      <c r="AE30" s="222">
        <f>ROUND(data!AE89,0)</f>
        <v>385546</v>
      </c>
      <c r="AF30" s="222">
        <f>ROUND(data!AE87,0)</f>
        <v>52931</v>
      </c>
      <c r="AG30" s="222">
        <f>IF(data!AE90&gt;0,ROUND(data!AE90,0),0)</f>
        <v>501</v>
      </c>
      <c r="AH30" s="222">
        <f>IF(data!AE91&gt;0,ROUND(data!AE91,0),0)</f>
        <v>0</v>
      </c>
      <c r="AI30" s="222">
        <f>IF(data!AE92&gt;0,ROUND(data!AE92,0),0)</f>
        <v>501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082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082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947</v>
      </c>
      <c r="F32" s="212">
        <f>ROUND(data!AG60,2)</f>
        <v>2.41</v>
      </c>
      <c r="G32" s="222">
        <f>ROUND(data!AG61,0)</f>
        <v>769264</v>
      </c>
      <c r="H32" s="222">
        <f>ROUND(data!AG62,0)</f>
        <v>428790</v>
      </c>
      <c r="I32" s="222">
        <f>ROUND(data!AG63,0)</f>
        <v>126</v>
      </c>
      <c r="J32" s="222">
        <f>ROUND(data!AG64,0)</f>
        <v>39953</v>
      </c>
      <c r="K32" s="222">
        <f>ROUND(data!AG65,0)</f>
        <v>813</v>
      </c>
      <c r="L32" s="222">
        <f>ROUND(data!AG66,0)</f>
        <v>3003</v>
      </c>
      <c r="M32" s="66">
        <f>ROUND(data!AG67,0)</f>
        <v>7506</v>
      </c>
      <c r="N32" s="222">
        <f>ROUND(data!AG68,0)</f>
        <v>9718</v>
      </c>
      <c r="O32" s="222">
        <f>ROUND(data!AG69,0)</f>
        <v>9823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9823</v>
      </c>
      <c r="AD32" s="222">
        <f>ROUND(data!AG84,0)</f>
        <v>0</v>
      </c>
      <c r="AE32" s="222">
        <f>ROUND(data!AG89,0)</f>
        <v>1602080</v>
      </c>
      <c r="AF32" s="222">
        <f>ROUND(data!AG87,0)</f>
        <v>-773</v>
      </c>
      <c r="AG32" s="222">
        <f>IF(data!AG90&gt;0,ROUND(data!AG90,0),0)</f>
        <v>631</v>
      </c>
      <c r="AH32" s="222">
        <f>IF(data!AG91&gt;0,ROUND(data!AG91,0),0)</f>
        <v>0</v>
      </c>
      <c r="AI32" s="222">
        <f>IF(data!AG92&gt;0,ROUND(data!AG92,0),0)</f>
        <v>631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082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082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082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3540</v>
      </c>
      <c r="F35" s="212">
        <f>ROUND(data!AJ60,2)</f>
        <v>5.92</v>
      </c>
      <c r="G35" s="222">
        <f>ROUND(data!AJ61,0)</f>
        <v>629144</v>
      </c>
      <c r="H35" s="222">
        <f>ROUND(data!AJ62,0)</f>
        <v>350687</v>
      </c>
      <c r="I35" s="222">
        <f>ROUND(data!AJ63,0)</f>
        <v>30268</v>
      </c>
      <c r="J35" s="222">
        <f>ROUND(data!AJ64,0)</f>
        <v>35273</v>
      </c>
      <c r="K35" s="222">
        <f>ROUND(data!AJ65,0)</f>
        <v>0</v>
      </c>
      <c r="L35" s="222">
        <f>ROUND(data!AJ66,0)</f>
        <v>10659</v>
      </c>
      <c r="M35" s="66">
        <f>ROUND(data!AJ67,0)</f>
        <v>12323</v>
      </c>
      <c r="N35" s="222">
        <f>ROUND(data!AJ68,0)</f>
        <v>3062</v>
      </c>
      <c r="O35" s="222">
        <f>ROUND(data!AJ69,0)</f>
        <v>4368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4368</v>
      </c>
      <c r="AD35" s="222">
        <f>ROUND(data!AJ84,0)</f>
        <v>0</v>
      </c>
      <c r="AE35" s="222">
        <f>ROUND(data!AJ89,0)</f>
        <v>582422</v>
      </c>
      <c r="AF35" s="222">
        <f>ROUND(data!AJ87,0)</f>
        <v>166</v>
      </c>
      <c r="AG35" s="222">
        <f>IF(data!AJ90&gt;0,ROUND(data!AJ90,0),0)</f>
        <v>1036</v>
      </c>
      <c r="AH35" s="222">
        <f>IF(data!AJ91&gt;0,ROUND(data!AJ91,0),0)</f>
        <v>0</v>
      </c>
      <c r="AI35" s="222">
        <f>IF(data!AJ92&gt;0,ROUND(data!AJ92,0),0)</f>
        <v>1036</v>
      </c>
      <c r="AJ35" s="222">
        <f>IF(data!AJ93&gt;0,ROUND(data!AJ93,0),0)</f>
        <v>0</v>
      </c>
      <c r="AK35" s="212">
        <f>IF(data!AJ94&gt;0,ROUND(data!AJ94,2),0)</f>
        <v>1.91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082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082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082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082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082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600</v>
      </c>
      <c r="F40" s="212">
        <f>ROUND(data!AO60,2)</f>
        <v>0.1</v>
      </c>
      <c r="G40" s="222">
        <f>ROUND(data!AO61,0)</f>
        <v>6886</v>
      </c>
      <c r="H40" s="222">
        <f>ROUND(data!AO62,0)</f>
        <v>3838</v>
      </c>
      <c r="I40" s="222">
        <f>ROUND(data!AO63,0)</f>
        <v>7567</v>
      </c>
      <c r="J40" s="222">
        <f>ROUND(data!AO64,0)</f>
        <v>637</v>
      </c>
      <c r="K40" s="222">
        <f>ROUND(data!AO65,0)</f>
        <v>19</v>
      </c>
      <c r="L40" s="222">
        <f>ROUND(data!AO66,0)</f>
        <v>169</v>
      </c>
      <c r="M40" s="66">
        <f>ROUND(data!AO67,0)</f>
        <v>452</v>
      </c>
      <c r="N40" s="222">
        <f>ROUND(data!AO68,0)</f>
        <v>63</v>
      </c>
      <c r="O40" s="222">
        <f>ROUND(data!AO69,0)</f>
        <v>182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 t="e">
        <f>ROUND(data!#REF!,0)</f>
        <v>#REF!</v>
      </c>
      <c r="AD40" s="222">
        <f>ROUND(data!AO83,0)</f>
        <v>182</v>
      </c>
      <c r="AE40" s="222">
        <f>ROUND(data!AO89,0)</f>
        <v>223050</v>
      </c>
      <c r="AF40" s="222">
        <f>ROUND(data!AO87,0)</f>
        <v>6188</v>
      </c>
      <c r="AG40" s="222">
        <f>IF(data!AO90&gt;0,ROUND(data!AO90,0),0)</f>
        <v>38</v>
      </c>
      <c r="AH40" s="222">
        <f>IF(data!AO91&gt;0,ROUND(data!AO91,0),0)</f>
        <v>66</v>
      </c>
      <c r="AI40" s="222">
        <f>IF(data!AO92&gt;0,ROUND(data!AO92,0),0)</f>
        <v>38</v>
      </c>
      <c r="AJ40" s="222">
        <f>IF(data!AO93&gt;0,ROUND(data!AO93,0),0)</f>
        <v>25</v>
      </c>
      <c r="AK40" s="212">
        <f>IF(data!AO94&gt;0,ROUND(data!AO94,2),0)</f>
        <v>0.09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082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082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082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082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082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082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082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082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082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082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17145</v>
      </c>
      <c r="F50" s="212">
        <f>ROUND(data!AY60,2)</f>
        <v>5.99</v>
      </c>
      <c r="G50" s="222">
        <f>ROUND(data!AY61,0)</f>
        <v>255523</v>
      </c>
      <c r="H50" s="222">
        <f>ROUND(data!AY62,0)</f>
        <v>142429</v>
      </c>
      <c r="I50" s="222">
        <f>ROUND(data!AY63,0)</f>
        <v>25262</v>
      </c>
      <c r="J50" s="222">
        <f>ROUND(data!AY64,0)</f>
        <v>81597</v>
      </c>
      <c r="K50" s="222">
        <f>ROUND(data!AY65,0)</f>
        <v>0</v>
      </c>
      <c r="L50" s="222">
        <f>ROUND(data!AY66,0)</f>
        <v>6114</v>
      </c>
      <c r="M50" s="66">
        <f>ROUND(data!AY67,0)</f>
        <v>13513</v>
      </c>
      <c r="N50" s="222">
        <f>ROUND(data!AY68,0)</f>
        <v>43</v>
      </c>
      <c r="O50" s="222">
        <f>ROUND(data!AY69,0)</f>
        <v>119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119</v>
      </c>
      <c r="AD50" s="222">
        <f>ROUND(data!AY84,0)</f>
        <v>0</v>
      </c>
      <c r="AE50" s="222"/>
      <c r="AF50" s="222"/>
      <c r="AG50" s="222">
        <f>IF(data!AY90&gt;0,ROUND(data!AY90,0),0)</f>
        <v>1136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082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082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0.86</v>
      </c>
      <c r="G52" s="222">
        <f>ROUND(data!BA61,0)</f>
        <v>31520</v>
      </c>
      <c r="H52" s="222">
        <f>ROUND(data!BA62,0)</f>
        <v>17569</v>
      </c>
      <c r="I52" s="222">
        <f>ROUND(data!BA63,0)</f>
        <v>0</v>
      </c>
      <c r="J52" s="222">
        <f>ROUND(data!BA64,0)</f>
        <v>20079</v>
      </c>
      <c r="K52" s="222">
        <f>ROUND(data!BA65,0)</f>
        <v>0</v>
      </c>
      <c r="L52" s="222">
        <f>ROUND(data!BA66,0)</f>
        <v>383</v>
      </c>
      <c r="M52" s="66">
        <f>ROUND(data!BA67,0)</f>
        <v>8838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743</v>
      </c>
      <c r="AH52" s="222">
        <f>IFERROR(IF(data!BA$91&gt;0,ROUND(data!BA$91,0),0),0)</f>
        <v>0</v>
      </c>
      <c r="AI52" s="222">
        <f>IFERROR(IF(data!BA$92&gt;0,ROUND(data!BA$92,0),0),0)</f>
        <v>743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082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1.85</v>
      </c>
      <c r="G53" s="222">
        <f>ROUND(data!BB61,0)</f>
        <v>115752</v>
      </c>
      <c r="H53" s="222">
        <f>ROUND(data!BB62,0)</f>
        <v>64520</v>
      </c>
      <c r="I53" s="222">
        <f>ROUND(data!BB63,0)</f>
        <v>47</v>
      </c>
      <c r="J53" s="222">
        <f>ROUND(data!BB64,0)</f>
        <v>2017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566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566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082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082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082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20923</v>
      </c>
      <c r="F56" s="212">
        <f>ROUND(data!BE60,2)</f>
        <v>2.58</v>
      </c>
      <c r="G56" s="222">
        <f>ROUND(data!BE61,0)</f>
        <v>137867</v>
      </c>
      <c r="H56" s="222">
        <f>ROUND(data!BE62,0)</f>
        <v>76847</v>
      </c>
      <c r="I56" s="222">
        <f>ROUND(data!BE63,0)</f>
        <v>2471</v>
      </c>
      <c r="J56" s="222">
        <f>ROUND(data!BE64,0)</f>
        <v>43254</v>
      </c>
      <c r="K56" s="222">
        <f>ROUND(data!BE65,0)</f>
        <v>131604</v>
      </c>
      <c r="L56" s="222">
        <f>ROUND(data!BE66,0)</f>
        <v>43830</v>
      </c>
      <c r="M56" s="66">
        <f>ROUND(data!BE67,0)</f>
        <v>17521</v>
      </c>
      <c r="N56" s="222">
        <f>ROUND(data!BE68,0)</f>
        <v>4734</v>
      </c>
      <c r="O56" s="222">
        <f>ROUND(data!BE69,0)</f>
        <v>1527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1527</v>
      </c>
      <c r="AD56" s="222">
        <f>ROUND(data!BE84,0)</f>
        <v>0</v>
      </c>
      <c r="AE56" s="222"/>
      <c r="AF56" s="222"/>
      <c r="AG56" s="222">
        <f>IF(data!BE90&gt;0,ROUND(data!BE90,0),0)</f>
        <v>1473</v>
      </c>
      <c r="AH56" s="222">
        <f>IFERROR(IF(data!BE$91&gt;0,ROUND(data!BE$91,0),0),0)</f>
        <v>0</v>
      </c>
      <c r="AI56" s="222">
        <f>IFERROR(IF(data!BE$92&gt;0,ROUND(data!BE$92,0),0),0)</f>
        <v>1473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082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3.77</v>
      </c>
      <c r="G57" s="222">
        <f>ROUND(data!BF61,0)</f>
        <v>131581</v>
      </c>
      <c r="H57" s="222">
        <f>ROUND(data!BF62,0)</f>
        <v>73344</v>
      </c>
      <c r="I57" s="222">
        <f>ROUND(data!BF63,0)</f>
        <v>95</v>
      </c>
      <c r="J57" s="222">
        <f>ROUND(data!BF64,0)</f>
        <v>12426</v>
      </c>
      <c r="K57" s="222">
        <f>ROUND(data!BF65,0)</f>
        <v>0</v>
      </c>
      <c r="L57" s="222">
        <f>ROUND(data!BF66,0)</f>
        <v>184</v>
      </c>
      <c r="M57" s="66">
        <f>ROUND(data!BF67,0)</f>
        <v>2486</v>
      </c>
      <c r="N57" s="222">
        <f>ROUND(data!BF68,0)</f>
        <v>0</v>
      </c>
      <c r="O57" s="222">
        <f>ROUND(data!BF69,0)</f>
        <v>120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120</v>
      </c>
      <c r="AD57" s="222">
        <f>ROUND(data!BF84,0)</f>
        <v>0</v>
      </c>
      <c r="AE57" s="222"/>
      <c r="AF57" s="222"/>
      <c r="AG57" s="222">
        <f>IF(data!BF90&gt;0,ROUND(data!BF90,0),0)</f>
        <v>209</v>
      </c>
      <c r="AH57" s="222">
        <f>IFERROR(IF(data!BF$91&gt;0,ROUND(data!BF$91,0),0),0)</f>
        <v>0</v>
      </c>
      <c r="AI57" s="222">
        <f>IFERROR(IF(data!BF$92&gt;0,ROUND(data!BF$92,0),0),0)</f>
        <v>209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082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082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0.76</v>
      </c>
      <c r="G59" s="222">
        <f>ROUND(data!BH61,0)</f>
        <v>43651</v>
      </c>
      <c r="H59" s="222">
        <f>ROUND(data!BH62,0)</f>
        <v>24331</v>
      </c>
      <c r="I59" s="222">
        <f>ROUND(data!BH63,0)</f>
        <v>42</v>
      </c>
      <c r="J59" s="222">
        <f>ROUND(data!BH64,0)</f>
        <v>13012</v>
      </c>
      <c r="K59" s="222">
        <f>ROUND(data!BH65,0)</f>
        <v>42689</v>
      </c>
      <c r="L59" s="222">
        <f>ROUND(data!BH66,0)</f>
        <v>136113</v>
      </c>
      <c r="M59" s="66">
        <f>ROUND(data!BH67,0)</f>
        <v>0</v>
      </c>
      <c r="N59" s="222">
        <f>ROUND(data!BH68,0)</f>
        <v>0</v>
      </c>
      <c r="O59" s="222">
        <f>ROUND(data!BH69,0)</f>
        <v>66091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66091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082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082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1.91</v>
      </c>
      <c r="G61" s="222">
        <f>ROUND(data!BJ61,0)</f>
        <v>138081</v>
      </c>
      <c r="H61" s="222">
        <f>ROUND(data!BJ62,0)</f>
        <v>76967</v>
      </c>
      <c r="I61" s="222">
        <f>ROUND(data!BJ63,0)</f>
        <v>12417</v>
      </c>
      <c r="J61" s="222">
        <f>ROUND(data!BJ64,0)</f>
        <v>2658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-8644</v>
      </c>
      <c r="O61" s="222">
        <f>ROUND(data!BJ69,0)</f>
        <v>41381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41381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082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082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082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082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1.1299999999999999</v>
      </c>
      <c r="G65" s="222">
        <f>ROUND(data!BN61,0)</f>
        <v>110698</v>
      </c>
      <c r="H65" s="222">
        <f>ROUND(data!BN62,0)</f>
        <v>61703</v>
      </c>
      <c r="I65" s="222">
        <f>ROUND(data!BN63,0)</f>
        <v>259272</v>
      </c>
      <c r="J65" s="222">
        <f>ROUND(data!BN64,0)</f>
        <v>10983</v>
      </c>
      <c r="K65" s="222">
        <f>ROUND(data!BN65,0)</f>
        <v>14</v>
      </c>
      <c r="L65" s="222">
        <f>ROUND(data!BN66,0)</f>
        <v>10750</v>
      </c>
      <c r="M65" s="66">
        <f>ROUND(data!BN67,0)</f>
        <v>42762</v>
      </c>
      <c r="N65" s="222">
        <f>ROUND(data!BN68,0)</f>
        <v>3461</v>
      </c>
      <c r="O65" s="222">
        <f>ROUND(data!BN69,0)</f>
        <v>149419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149419</v>
      </c>
      <c r="AD65" s="222">
        <f>ROUND(data!BN84,0)</f>
        <v>0</v>
      </c>
      <c r="AE65" s="222"/>
      <c r="AF65" s="222"/>
      <c r="AG65" s="222">
        <f>IF(data!BN90&gt;0,ROUND(data!BN90,0),0)</f>
        <v>3595</v>
      </c>
      <c r="AH65" s="222">
        <f>IFERROR(IF(data!BN$91&gt;0,ROUND(data!BN$91,0),0),0)</f>
        <v>0</v>
      </c>
      <c r="AI65" s="222">
        <f>IFERROR(IF(data!BN$92&gt;0,ROUND(data!BN$92,0),0),0)</f>
        <v>3595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082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082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082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082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1</v>
      </c>
      <c r="G69" s="222">
        <f>ROUND(data!BR61,0)</f>
        <v>83912</v>
      </c>
      <c r="H69" s="222">
        <f>ROUND(data!BR62,0)</f>
        <v>46773</v>
      </c>
      <c r="I69" s="222">
        <f>ROUND(data!BR63,0)</f>
        <v>25775</v>
      </c>
      <c r="J69" s="222">
        <f>ROUND(data!BR64,0)</f>
        <v>430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12324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12324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082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082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082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082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5.45</v>
      </c>
      <c r="G73" s="222">
        <f>ROUND(data!BV61,0)</f>
        <v>277317</v>
      </c>
      <c r="H73" s="222">
        <f>ROUND(data!BV62,0)</f>
        <v>154577</v>
      </c>
      <c r="I73" s="222">
        <f>ROUND(data!BV63,0)</f>
        <v>310604</v>
      </c>
      <c r="J73" s="222">
        <f>ROUND(data!BV64,0)</f>
        <v>3022</v>
      </c>
      <c r="K73" s="222">
        <f>ROUND(data!BV65,0)</f>
        <v>0</v>
      </c>
      <c r="L73" s="222">
        <f>ROUND(data!BV66,0)</f>
        <v>86</v>
      </c>
      <c r="M73" s="66">
        <f>ROUND(data!BV67,0)</f>
        <v>4235</v>
      </c>
      <c r="N73" s="222">
        <f>ROUND(data!BV68,0)</f>
        <v>2550</v>
      </c>
      <c r="O73" s="222">
        <f>ROUND(data!BV69,0)</f>
        <v>11104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11104</v>
      </c>
      <c r="AD73" s="222">
        <f>ROUND(data!BV84,0)</f>
        <v>0</v>
      </c>
      <c r="AE73" s="222"/>
      <c r="AF73" s="222"/>
      <c r="AG73" s="222">
        <f>IF(data!BV90&gt;0,ROUND(data!BV90,0),0)</f>
        <v>356</v>
      </c>
      <c r="AH73" s="222">
        <f>IF(data!BV91&gt;0,ROUND(data!BV91,0),0)</f>
        <v>0</v>
      </c>
      <c r="AI73" s="222">
        <f>IF(data!BV92&gt;0,ROUND(data!BV92,0),0)</f>
        <v>356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082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082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082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</v>
      </c>
      <c r="G76" s="222">
        <f>ROUND(data!BY61,0)</f>
        <v>181026</v>
      </c>
      <c r="H76" s="222">
        <f>ROUND(data!BY62,0)</f>
        <v>100904</v>
      </c>
      <c r="I76" s="222">
        <f>ROUND(data!BY63,0)</f>
        <v>5891</v>
      </c>
      <c r="J76" s="222">
        <f>ROUND(data!BY64,0)</f>
        <v>79107</v>
      </c>
      <c r="K76" s="222">
        <f>ROUND(data!BY65,0)</f>
        <v>180</v>
      </c>
      <c r="L76" s="222">
        <f>ROUND(data!BY66,0)</f>
        <v>22468</v>
      </c>
      <c r="M76" s="66">
        <f>ROUND(data!BY67,0)</f>
        <v>2343</v>
      </c>
      <c r="N76" s="222">
        <f>ROUND(data!BY68,0)</f>
        <v>0</v>
      </c>
      <c r="O76" s="222">
        <f>ROUND(data!BY69,0)</f>
        <v>321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321</v>
      </c>
      <c r="AD76" s="222">
        <f>ROUND(data!BY84,0)</f>
        <v>0</v>
      </c>
      <c r="AE76" s="222"/>
      <c r="AF76" s="222"/>
      <c r="AG76" s="222">
        <f>IF(data!BY90&gt;0,ROUND(data!BY90,0),0)</f>
        <v>197</v>
      </c>
      <c r="AH76" s="222">
        <f>IF(data!BY91&gt;0,ROUND(data!BY91,0),0)</f>
        <v>0</v>
      </c>
      <c r="AI76" s="222">
        <f>IF(data!BY92&gt;0,ROUND(data!BY92,0),0)</f>
        <v>197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082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082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082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082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2023-06-07T21:02:21Z</cp:lastPrinted>
  <dcterms:created xsi:type="dcterms:W3CDTF">1999-06-02T22:01:56Z</dcterms:created>
  <dcterms:modified xsi:type="dcterms:W3CDTF">2023-06-08T20:30:07Z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